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421AB4A8-E08F-4646-B0B9-B4306B218E03}"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19" sheetId="184" r:id="rId29"/>
    <sheet name="SEFA NOTES" sheetId="173" r:id="rId30"/>
    <sheet name="SF&amp;QC Sec-1" sheetId="174" r:id="rId31"/>
    <sheet name="SF&amp;QC Sec-2" sheetId="175" r:id="rId32"/>
    <sheet name="SF&amp;QC Sec-3" sheetId="176" r:id="rId33"/>
    <sheet name="SSPAF" sheetId="177" r:id="rId34"/>
  </sheets>
  <definedNames>
    <definedName name="goof">#REF!</definedName>
    <definedName name="oops">#REF!</definedName>
    <definedName name="_xlnm.Print_Area" localSheetId="27">' SEFA'!$B$1:$M$46</definedName>
    <definedName name="_xlnm.Print_Area" localSheetId="28">'SEFA 19'!$A$1:$S$93</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Print_Area_MI" localSheetId="28">'SEFA 19'!$B$28:$S$71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19'!$1:$14</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EFA19">#REF!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 name="Z_11C3950E_E1AD_46EF_BD3F_576593C7D4EA_.wvu.PrintArea" localSheetId="28" hidden="1">'SEFA 19'!$A$1:$S$93</definedName>
    <definedName name="Z_11C3950E_E1AD_46EF_BD3F_576593C7D4EA_.wvu.PrintTitles" localSheetId="28" hidden="1">'SEFA 19'!$1:$14</definedName>
    <definedName name="Z_11C3950E_E1AD_46EF_BD3F_576593C7D4EA_.wvu.Rows" localSheetId="28" hidden="1">'SEFA 19'!$1:$3,'SEFA 19'!$32:$32,'SEFA 19'!$68:$68</definedName>
    <definedName name="Z_5B119C69_C4B2_4745_B7BB_800551DA321A_.wvu.PrintArea" localSheetId="28" hidden="1">'SEFA 19'!$A$1:$S$93</definedName>
    <definedName name="Z_5B119C69_C4B2_4745_B7BB_800551DA321A_.wvu.PrintTitles" localSheetId="28" hidden="1">'SEFA 19'!$1:$14</definedName>
    <definedName name="Z_5B119C69_C4B2_4745_B7BB_800551DA321A_.wvu.Rows" localSheetId="28" hidden="1">'SEFA 19'!$1:$3,'SEFA 19'!$32:$32,'SEFA 19'!$68:$68</definedName>
    <definedName name="Z_98E73BED_02DF_4792_A0B6_65D3606E16ED_.wvu.PrintArea" localSheetId="28" hidden="1">'SEFA 19'!$A$1:$S$93</definedName>
    <definedName name="Z_98E73BED_02DF_4792_A0B6_65D3606E16ED_.wvu.PrintTitles" localSheetId="28" hidden="1">'SEFA 19'!$1:$14</definedName>
    <definedName name="Z_98E73BED_02DF_4792_A0B6_65D3606E16ED_.wvu.Rows" localSheetId="28" hidden="1">'SEFA 19'!$1:$3,'SEFA 19'!$32:$32,'SEFA 19'!$68:$68</definedName>
    <definedName name="Z_B063EF6D_9F3C_410E_8268_51A73B66A223_.wvu.PrintArea" localSheetId="28" hidden="1">'SEFA 19'!$A$1:$S$93</definedName>
    <definedName name="Z_B063EF6D_9F3C_410E_8268_51A73B66A223_.wvu.PrintTitles" localSheetId="28" hidden="1">'SEFA 19'!$1:$14</definedName>
    <definedName name="Z_B063EF6D_9F3C_410E_8268_51A73B66A223_.wvu.Rows" localSheetId="28" hidden="1">'SEFA 19'!$1:$3,'SEFA 19'!$32:$32,'SEFA 19'!$68:$68</definedName>
    <definedName name="Z_C5D318CB_EA53_4F9A_AC62_9658C0582B07_.wvu.PrintArea" localSheetId="28" hidden="1">'SEFA 19'!$A$1:$S$93</definedName>
    <definedName name="Z_C5D318CB_EA53_4F9A_AC62_9658C0582B07_.wvu.PrintTitles" localSheetId="28" hidden="1">'SEFA 19'!$1:$14</definedName>
    <definedName name="Z_C5D318CB_EA53_4F9A_AC62_9658C0582B07_.wvu.Rows" localSheetId="28" hidden="1">'SEFA 19'!$1:$3,'SEFA 19'!$32:$32,'SEFA 19'!$68:$68</definedName>
    <definedName name="Z_F252E715_53BC_4AA1_B324_042FBA50142A_.wvu.PrintArea" localSheetId="28" hidden="1">'SEFA 19'!$A$1:$S$93</definedName>
    <definedName name="Z_F252E715_53BC_4AA1_B324_042FBA50142A_.wvu.PrintTitles" localSheetId="28" hidden="1">'SEFA 19'!$1:$14</definedName>
    <definedName name="Z_F252E715_53BC_4AA1_B324_042FBA50142A_.wvu.Rows" localSheetId="28" hidden="1">'SEFA 19'!$1:$3,'SEFA 19'!$32:$32,'SEFA 19'!$68:$68</definedName>
    <definedName name="Z_FB153465_B060_4D8B_8214_DA59E6E3F7C0_.wvu.PrintArea" localSheetId="28" hidden="1">'SEFA 19'!$A$1:$S$93</definedName>
    <definedName name="Z_FB153465_B060_4D8B_8214_DA59E6E3F7C0_.wvu.PrintTitles" localSheetId="28" hidden="1">'SEFA 19'!$1:$14</definedName>
    <definedName name="Z_FB153465_B060_4D8B_8214_DA59E6E3F7C0_.wvu.Rows" localSheetId="28" hidden="1">'SEFA 19'!$1:$3,'SEFA 19'!$32:$32,'SEFA 19'!$68:$68</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91" i="184" l="1"/>
  <c r="E91" i="184"/>
  <c r="C91" i="184"/>
  <c r="I88" i="184"/>
  <c r="I83" i="184"/>
  <c r="I82" i="184"/>
  <c r="I79" i="184"/>
  <c r="I78" i="184"/>
  <c r="I77" i="184"/>
  <c r="I75" i="184"/>
  <c r="I72" i="184"/>
  <c r="I70" i="184"/>
  <c r="Q63" i="184"/>
  <c r="O63" i="184"/>
  <c r="M63" i="184"/>
  <c r="K63" i="184"/>
  <c r="I63" i="184"/>
  <c r="G63" i="184"/>
  <c r="O62" i="184"/>
  <c r="M62" i="184"/>
  <c r="K62" i="184"/>
  <c r="Q62" i="184" s="1"/>
  <c r="I62" i="184"/>
  <c r="G62" i="184"/>
  <c r="Q56" i="184"/>
  <c r="Q55" i="184"/>
  <c r="O50" i="184"/>
  <c r="M50" i="184"/>
  <c r="K50" i="184"/>
  <c r="I50" i="184"/>
  <c r="G50" i="184"/>
  <c r="Q49" i="184"/>
  <c r="Q48" i="184"/>
  <c r="Q46" i="184"/>
  <c r="Q45" i="184"/>
  <c r="P40" i="184"/>
  <c r="L40" i="184"/>
  <c r="J40" i="184"/>
  <c r="O39" i="184"/>
  <c r="K39" i="184"/>
  <c r="G39" i="184"/>
  <c r="S38" i="184"/>
  <c r="M38" i="184"/>
  <c r="Q38" i="184" s="1"/>
  <c r="I38" i="184"/>
  <c r="I39" i="184" s="1"/>
  <c r="Q37" i="184"/>
  <c r="S36" i="184"/>
  <c r="M36" i="184"/>
  <c r="Q36" i="184" s="1"/>
  <c r="Q35" i="184"/>
  <c r="O33" i="184"/>
  <c r="K33" i="184"/>
  <c r="K40" i="184" s="1"/>
  <c r="I33" i="184"/>
  <c r="G33" i="184"/>
  <c r="G40" i="184" s="1"/>
  <c r="Q32" i="184"/>
  <c r="Q31" i="184"/>
  <c r="M30" i="184"/>
  <c r="Q30" i="184" s="1"/>
  <c r="M24" i="184"/>
  <c r="K24" i="184"/>
  <c r="I24" i="184"/>
  <c r="G24" i="184"/>
  <c r="Q23" i="184"/>
  <c r="Q22" i="184"/>
  <c r="Q20" i="184"/>
  <c r="Q19" i="184"/>
  <c r="M12" i="184"/>
  <c r="K12" i="184"/>
  <c r="M11" i="184"/>
  <c r="M39" i="184" l="1"/>
  <c r="M40" i="184" s="1"/>
  <c r="M61" i="184" s="1"/>
  <c r="I40" i="184"/>
  <c r="I91" i="184"/>
  <c r="M33" i="184"/>
  <c r="O40" i="184"/>
  <c r="Q50" i="184"/>
  <c r="Q24" i="184"/>
  <c r="Q33" i="184"/>
  <c r="Q40" i="184"/>
  <c r="K57" i="184"/>
  <c r="K59" i="184" s="1"/>
  <c r="K64" i="184" s="1"/>
  <c r="K61" i="184"/>
  <c r="G57" i="184"/>
  <c r="G59" i="184" s="1"/>
  <c r="G64" i="184" s="1"/>
  <c r="G61" i="184"/>
  <c r="O61" i="184"/>
  <c r="O57" i="184"/>
  <c r="O59" i="184" s="1"/>
  <c r="O64" i="184" s="1"/>
  <c r="I57" i="184"/>
  <c r="I59" i="184" s="1"/>
  <c r="I64" i="184" s="1"/>
  <c r="I61" i="184"/>
  <c r="Q39" i="184"/>
  <c r="M57" i="184" l="1"/>
  <c r="M59" i="184" s="1"/>
  <c r="M64" i="184" s="1"/>
  <c r="Q61" i="184"/>
  <c r="Q57" i="184"/>
  <c r="Q59" i="184" s="1"/>
  <c r="Q64" i="184" s="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B7758" i="106"/>
  <c r="D7758" i="106" s="1"/>
  <c r="K6" i="29"/>
  <c r="B7763" i="106" s="1"/>
  <c r="D7763" i="106" s="1"/>
  <c r="B7762" i="106"/>
  <c r="K12" i="12"/>
  <c r="K23" i="12"/>
  <c r="J12" i="12"/>
  <c r="J21" i="12"/>
  <c r="J23" i="12"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82" i="36"/>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0" i="106"/>
  <c r="D7080" i="106" s="1"/>
  <c r="B7081" i="106"/>
  <c r="D7081" i="106" s="1"/>
  <c r="B7083" i="106"/>
  <c r="D7083" i="106" s="1"/>
  <c r="B7085" i="106"/>
  <c r="D7085" i="106" s="1"/>
  <c r="B7086" i="106"/>
  <c r="D7086" i="106" s="1"/>
  <c r="B7087" i="106"/>
  <c r="D7087" i="106" s="1"/>
  <c r="B7088" i="106"/>
  <c r="D7088"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F26" i="108"/>
  <c r="E27" i="108"/>
  <c r="G27" i="108"/>
  <c r="F31" i="108"/>
  <c r="G28" i="108"/>
  <c r="E30" i="108"/>
  <c r="D31"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D22" i="37"/>
  <c r="J22" i="37"/>
  <c r="D24" i="37"/>
  <c r="B4270" i="106" s="1"/>
  <c r="D4270" i="106" s="1"/>
  <c r="L5" i="11" l="1"/>
  <c r="B2056" i="106" s="1"/>
  <c r="D2056" i="106" s="1"/>
  <c r="F49" i="34"/>
  <c r="H33" i="118"/>
  <c r="F46" i="34"/>
  <c r="B6289" i="106"/>
  <c r="D6289" i="106" s="1"/>
  <c r="F67" i="34"/>
  <c r="B7078" i="106"/>
  <c r="D7078" i="106" s="1"/>
  <c r="F64" i="34"/>
  <c r="G30" i="108"/>
  <c r="B6995" i="106"/>
  <c r="D6995" i="106" s="1"/>
  <c r="I210" i="29"/>
  <c r="B7071" i="106" s="1"/>
  <c r="D7071" i="106" s="1"/>
  <c r="F50" i="34"/>
  <c r="F42" i="34"/>
  <c r="J210" i="29"/>
  <c r="B7072" i="106" s="1"/>
  <c r="D7072" i="106" s="1"/>
  <c r="F36" i="34"/>
  <c r="H76" i="4"/>
  <c r="B3298" i="106" s="1"/>
  <c r="D3298" i="106" s="1"/>
  <c r="F36" i="108"/>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L151" i="29"/>
  <c r="C266" i="5"/>
  <c r="J24" i="12"/>
  <c r="B7730" i="106"/>
  <c r="D7730" i="106" s="1"/>
  <c r="B7270" i="106"/>
  <c r="B1328" i="106" l="1"/>
  <c r="D1328" i="106" s="1"/>
  <c r="D7256" i="106"/>
  <c r="J16" i="4"/>
  <c r="B6226" i="106" s="1"/>
  <c r="D6226" i="106" s="1"/>
  <c r="C367" i="29"/>
  <c r="B3622" i="106" s="1"/>
  <c r="D3622" i="106" s="1"/>
  <c r="L16" i="11"/>
  <c r="B2061" i="106" s="1"/>
  <c r="D2061" i="106" s="1"/>
  <c r="B2031" i="106"/>
  <c r="D203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 r="L100" i="29" l="1"/>
  <c r="L102" i="29" l="1"/>
  <c r="L114" i="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<sst xmlns="http://schemas.openxmlformats.org/spreadsheetml/2006/main" count="5314" uniqueCount="2242">
  <si>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</si>
  <si>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</si>
  <si>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</si>
  <si>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</si>
  <si>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</si>
  <si>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</si>
  <si>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</si>
  <si>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</si>
  <si>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</si>
  <si>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</si>
  <si>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</si>
  <si>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</si>
  <si>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</si>
  <si>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</si>
  <si>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</si>
  <si>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</si>
  <si>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</si>
  <si>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</si>
  <si>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</si>
  <si>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</si>
  <si>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</si>
  <si>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</si>
  <si>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</si>
  <si>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</si>
  <si>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</si>
  <si>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</si>
  <si>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</si>
  <si>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</si>
  <si>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</si>
  <si>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</si>
  <si>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</si>
  <si>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</si>
  <si>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</si>
  <si>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</si>
  <si>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</si>
  <si>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</si>
  <si>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</si>
  <si>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</si>
  <si>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</si>
  <si>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</si>
  <si>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</si>
  <si>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</si>
  <si>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</si>
  <si>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</si>
  <si>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</si>
  <si>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</si>
  <si>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</si>
  <si>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</si>
  <si>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</si>
  <si>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</si>
  <si>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</si>
  <si>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</si>
  <si>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</si>
  <si>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</si>
  <si>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</si>
  <si>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</si>
  <si>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</si>
  <si>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</si>
  <si>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</si>
  <si>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</si>
  <si>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</si>
  <si>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</si>
  <si>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</si>
  <si>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</si>
  <si>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</si>
  <si>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</si>
  <si>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</si>
  <si>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</si>
  <si>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</si>
  <si>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</si>
  <si>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</si>
  <si>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</si>
  <si>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</si>
  <si>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</si>
  <si>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</si>
  <si>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</si>
  <si>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</si>
  <si>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</si>
  <si>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</si>
  <si>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</si>
  <si>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</si>
  <si>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</si>
  <si>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</si>
  <si>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</si>
  <si>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</si>
  <si>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</si>
  <si>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</si>
  <si>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</si>
  <si>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</si>
  <si>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</si>
  <si>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</si>
  <si>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</si>
  <si>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</si>
  <si>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</si>
  <si>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</si>
  <si>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</si>
  <si>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</si>
  <si>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</si>
  <si>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</si>
  <si>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</si>
  <si>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</si>
  <si>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</si>
  <si>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</si>
  <si>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</si>
  <si>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</si>
  <si>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</si>
  <si>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</si>
  <si>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</si>
  <si>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</si>
  <si>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</si>
  <si>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</si>
  <si>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</si>
  <si>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</si>
  <si>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</si>
  <si>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</si>
  <si>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</si>
  <si>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</si>
  <si>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</si>
  <si>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</si>
  <si>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</si>
  <si>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</si>
  <si>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</si>
  <si>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</si>
  <si>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</si>
  <si>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</si>
  <si>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</si>
  <si>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</si>
  <si>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</si>
  <si>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</si>
  <si>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</si>
  <si>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</si>
  <si>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</si>
  <si>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</si>
  <si>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</si>
  <si>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</si>
  <si>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</si>
  <si>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</si>
  <si>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</si>
  <si>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</si>
  <si>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</si>
  <si>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</si>
  <si>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</si>
  <si>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</si>
  <si>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</si>
  <si>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</si>
  <si>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</si>
  <si>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</si>
  <si>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</si>
  <si>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</si>
  <si>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</si>
  <si>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</si>
  <si>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</si>
  <si>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</si>
  <si>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</si>
  <si>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</si>
  <si>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</si>
  <si>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</si>
  <si>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</si>
  <si>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</si>
  <si>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</si>
  <si>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</si>
  <si>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</si>
  <si>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</si>
  <si>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</si>
  <si>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</si>
  <si>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</si>
  <si>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</si>
  <si>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</si>
  <si>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</si>
  <si>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</si>
  <si>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</si>
  <si>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</si>
  <si>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</si>
  <si>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</si>
  <si>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</si>
  <si>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</si>
  <si>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</si>
  <si>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</si>
  <si>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</si>
  <si>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</si>
  <si>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</si>
  <si>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</si>
  <si>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</si>
  <si>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</si>
  <si>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</si>
  <si>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</si>
  <si>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</si>
  <si>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</si>
  <si>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</si>
  <si>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</si>
  <si>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</si>
  <si>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</si>
  <si>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</si>
  <si>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</si>
  <si>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</si>
  <si>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</si>
  <si>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</si>
  <si>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</si>
  <si>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</si>
  <si>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</si>
  <si>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</si>
  <si>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</si>
  <si>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</si>
  <si>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</si>
  <si>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</si>
  <si>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</si>
  <si>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</si>
  <si>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</si>
  <si>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</si>
  <si>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</si>
  <si>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</si>
  <si>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</si>
  <si>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</si>
  <si>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</si>
  <si>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</si>
  <si>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</si>
  <si>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</si>
  <si>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</si>
  <si>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</si>
  <si>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</si>
  <si>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</si>
  <si>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</si>
  <si>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</si>
  <si>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</si>
  <si>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</si>
  <si>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</si>
  <si>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</si>
  <si>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</si>
  <si>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</si>
  <si>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</si>
  <si>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</si>
  <si>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</si>
  <si>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</si>
  <si>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</si>
  <si>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</si>
  <si>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</si>
  <si>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</si>
  <si>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</si>
  <si>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</si>
  <si>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</si>
  <si>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</si>
  <si>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</si>
  <si>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</si>
  <si>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</si>
  <si>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</si>
  <si>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</si>
  <si>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</si>
  <si>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</si>
  <si>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</si>
  <si>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</si>
  <si>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</si>
  <si>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</si>
  <si>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</si>
  <si>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</si>
  <si>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</si>
  <si>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</si>
  <si>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</si>
  <si>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</si>
  <si>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</si>
  <si>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</si>
  <si>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</si>
  <si>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</si>
  <si>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</si>
  <si>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</si>
  <si>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</si>
  <si>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</si>
  <si>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</si>
  <si>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</si>
  <si>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</si>
  <si>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</si>
  <si>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</si>
  <si>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</si>
  <si>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</si>
  <si>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</si>
  <si>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</si>
  <si>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</si>
  <si>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</si>
  <si>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</si>
  <si>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</si>
  <si>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</si>
  <si>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</si>
  <si>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</si>
  <si>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</si>
  <si>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</si>
  <si>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</si>
  <si>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</si>
  <si>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</si>
  <si>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</si>
  <si>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</si>
  <si>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</si>
  <si>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</si>
  <si>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</si>
  <si>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</si>
  <si>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</si>
  <si>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</si>
  <si>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</si>
  <si>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</si>
  <si>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</si>
  <si>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</si>
  <si>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</si>
  <si>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</si>
  <si>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</si>
  <si>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</si>
  <si>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</si>
  <si>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</si>
  <si>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</si>
  <si>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</si>
  <si>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</si>
  <si>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</si>
  <si>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</si>
  <si>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</si>
  <si>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</si>
  <si>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</si>
  <si>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</si>
  <si>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</si>
  <si>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</si>
  <si>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</si>
  <si>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</si>
  <si>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</si>
  <si>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</si>
  <si>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</si>
  <si>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</si>
  <si>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</si>
  <si>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</si>
  <si>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</si>
  <si>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</si>
  <si>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</si>
  <si>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</si>
  <si>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</si>
  <si>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</si>
  <si>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</si>
  <si>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</si>
  <si>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</si>
  <si>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</si>
  <si>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</si>
  <si>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</si>
  <si>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</si>
  <si>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</si>
  <si>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</si>
  <si>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</si>
  <si>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</si>
  <si>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</si>
  <si>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</si>
  <si>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</si>
  <si>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</si>
  <si>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</si>
  <si>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</si>
  <si>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</si>
  <si>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</si>
  <si>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</si>
  <si>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</si>
  <si>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</si>
  <si>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</si>
  <si>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</si>
  <si>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</si>
  <si>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</si>
  <si>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</si>
  <si>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</si>
  <si>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</si>
  <si>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</si>
  <si>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</si>
  <si>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</si>
  <si>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</si>
  <si>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</si>
  <si>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</si>
  <si>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</si>
  <si>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</si>
  <si>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</si>
  <si>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</si>
  <si>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</si>
  <si>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</si>
  <si>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</si>
  <si>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</si>
  <si>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</si>
  <si>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</si>
  <si>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</si>
  <si>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</si>
  <si>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</si>
  <si>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</si>
  <si>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</si>
  <si>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</si>
  <si>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</si>
  <si>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</si>
  <si>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</si>
  <si>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</si>
  <si>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</si>
  <si>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</si>
  <si>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</si>
  <si>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</si>
  <si>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</si>
  <si>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</si>
  <si>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</si>
  <si>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</si>
  <si>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</si>
  <si>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</si>
  <si>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</si>
  <si>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</si>
  <si>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</si>
  <si>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</si>
  <si>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</si>
  <si>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</si>
  <si>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</si>
  <si>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</si>
  <si>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</si>
  <si>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</si>
  <si>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</si>
  <si>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</si>
  <si>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</si>
  <si>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</si>
  <si>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</si>
  <si>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</si>
  <si>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</si>
  <si>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</si>
  <si>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</si>
  <si>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</si>
  <si>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</si>
  <si>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</si>
  <si>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</si>
  <si>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</si>
  <si>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</si>
  <si>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</si>
  <si>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</si>
  <si>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</si>
  <si>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</si>
  <si>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</si>
  <si>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</si>
  <si>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</si>
  <si>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</si>
  <si>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</si>
  <si>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</si>
  <si>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</si>
  <si>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</si>
  <si>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</si>
  <si>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</si>
  <si>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</si>
  <si>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</si>
  <si>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</si>
  <si>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</si>
  <si>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</si>
  <si>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</si>
  <si>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</si>
  <si>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</si>
  <si>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</si>
  <si>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</si>
  <si>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</si>
  <si>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</si>
  <si>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</si>
  <si>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</si>
  <si>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</si>
  <si>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</si>
  <si>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</si>
  <si>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</si>
  <si>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</si>
  <si>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</si>
  <si>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</si>
  <si>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</si>
  <si>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</si>
  <si>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</si>
  <si>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</si>
  <si>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</si>
  <si>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</si>
  <si>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</si>
  <si>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</si>
  <si>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</si>
  <si>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</si>
  <si>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</si>
  <si>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</si>
  <si>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</si>
  <si>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</si>
  <si>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</si>
  <si>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</si>
  <si>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</si>
  <si>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</si>
  <si>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</si>
  <si>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</si>
  <si>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</si>
  <si>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</si>
  <si>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</si>
  <si>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</si>
  <si>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</si>
  <si>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</si>
  <si>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</si>
  <si>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</si>
  <si>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</si>
  <si>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</si>
  <si>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</si>
  <si>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</si>
  <si>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</si>
  <si>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</si>
  <si>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</si>
  <si>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</si>
  <si>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</si>
  <si>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</si>
  <si>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</si>
  <si>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</si>
  <si>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</si>
  <si>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</si>
  <si>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</si>
  <si>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</si>
  <si>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</si>
  <si>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</si>
  <si>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</si>
  <si>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</si>
  <si>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</si>
  <si>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</si>
  <si>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</si>
  <si>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</si>
  <si>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</si>
  <si>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</si>
  <si>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</si>
  <si>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</si>
  <si>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</si>
  <si>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</si>
  <si>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</si>
  <si>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</si>
  <si>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</si>
  <si>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</si>
  <si>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</si>
  <si>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</si>
  <si>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</si>
  <si>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</si>
  <si>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</si>
  <si>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</si>
  <si>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</si>
  <si>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</si>
  <si>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</si>
  <si>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</si>
  <si>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</si>
  <si>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</si>
  <si>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</si>
  <si>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</si>
  <si>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</si>
  <si>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</si>
  <si>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</si>
  <si>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</si>
  <si>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</si>
  <si>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</si>
  <si>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</si>
  <si>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</si>
  <si>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</si>
  <si>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</si>
  <si>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</si>
  <si>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</si>
  <si>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</si>
  <si>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</si>
  <si>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</si>
  <si>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</si>
  <si>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</si>
  <si>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</si>
  <si>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</si>
  <si>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</si>
  <si>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</si>
  <si>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</si>
  <si>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</si>
  <si>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</si>
  <si>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</si>
  <si>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</si>
  <si>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</si>
  <si>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</si>
  <si>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</si>
  <si>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</si>
  <si>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</si>
  <si>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</si>
  <si>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</si>
  <si>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</si>
  <si>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</si>
  <si>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</si>
  <si>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</si>
  <si>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</si>
  <si>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</si>
  <si>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</si>
  <si>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</si>
  <si>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</si>
  <si>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</si>
  <si>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</si>
  <si>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</si>
  <si>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</si>
  <si>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</si>
  <si>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</si>
  <si>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</si>
  <si>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</si>
  <si>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</si>
  <si>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</si>
  <si>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</si>
  <si>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</si>
  <si>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</si>
  <si>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</si>
  <si>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</si>
  <si>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</si>
  <si>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</si>
  <si>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</si>
  <si>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</si>
  <si>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</si>
  <si>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</si>
  <si>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</si>
  <si>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</si>
  <si>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</si>
  <si>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</si>
  <si>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</si>
  <si>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</si>
  <si>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</si>
  <si>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</si>
  <si>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</si>
  <si>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</si>
  <si>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</si>
  <si>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</si>
  <si>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</si>
  <si>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</si>
  <si>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</si>
  <si>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</si>
  <si>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</si>
  <si>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</si>
  <si>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</si>
  <si>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</si>
  <si>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</si>
  <si>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</si>
  <si>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</si>
  <si>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</si>
  <si>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</si>
  <si>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</si>
  <si>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</si>
  <si>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</si>
  <si>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</si>
  <si>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</si>
  <si>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</si>
  <si>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</si>
  <si>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</si>
  <si>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</si>
  <si>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</si>
  <si>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</si>
  <si>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</si>
  <si>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</si>
  <si>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</si>
  <si>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</si>
  <si>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</si>
  <si>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</si>
  <si>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</si>
  <si>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</si>
  <si>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</si>
  <si>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</si>
  <si>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</si>
  <si>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</si>
  <si>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</si>
  <si>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</si>
  <si>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</si>
  <si>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</si>
  <si>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</si>
  <si>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</si>
  <si>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</si>
  <si>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</si>
  <si>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</si>
  <si>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</si>
  <si>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</si>
  <si>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</si>
  <si>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</si>
  <si>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</si>
  <si>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</si>
  <si>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</si>
  <si>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</si>
  <si>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</si>
  <si>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</si>
  <si>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</si>
  <si>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</si>
  <si>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</si>
  <si>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</si>
  <si>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</si>
  <si>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</si>
  <si>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</si>
  <si>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</si>
  <si>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</si>
  <si>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</si>
  <si>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</si>
  <si>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</si>
  <si>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</si>
  <si>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</si>
  <si>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</si>
  <si>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</si>
  <si>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</si>
  <si>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</si>
  <si>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</si>
  <si>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</si>
  <si>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</si>
  <si>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</si>
  <si>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</si>
  <si>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</si>
  <si>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</si>
  <si>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</si>
  <si>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</si>
  <si>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</si>
  <si>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</si>
  <si>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</si>
  <si>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</si>
  <si>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</si>
  <si>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</si>
  <si>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</si>
  <si>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</si>
  <si>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</si>
  <si>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</si>
  <si>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</si>
  <si>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</si>
  <si>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</si>
  <si>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</si>
  <si>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</si>
  <si>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</si>
  <si>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</si>
  <si>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</si>
  <si>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</si>
  <si>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</si>
  <si>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</si>
  <si>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</si>
  <si>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</si>
  <si>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</si>
  <si>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</si>
  <si>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</si>
  <si>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</si>
  <si>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</si>
  <si>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</si>
  <si>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</si>
  <si>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</si>
  <si>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</si>
  <si>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</si>
  <si>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</si>
  <si>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</si>
  <si>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</si>
  <si>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</si>
  <si>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</si>
  <si>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</si>
  <si>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</si>
  <si>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</si>
  <si>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</si>
  <si>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</si>
  <si>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</si>
  <si>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</si>
  <si>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</si>
  <si>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</si>
  <si>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</si>
  <si>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</si>
  <si>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</si>
  <si>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</si>
  <si>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</si>
  <si>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</si>
  <si>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</si>
  <si>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</si>
  <si>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</si>
  <si>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</si>
  <si>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</si>
  <si>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</si>
  <si>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</si>
  <si>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</si>
  <si>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</si>
  <si>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</si>
  <si>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</si>
  <si>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</si>
  <si>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</si>
  <si>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</si>
  <si>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</si>
  <si>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</si>
  <si>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</si>
  <si>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</si>
  <si>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</si>
  <si>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</si>
  <si>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</si>
  <si>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</si>
  <si>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</si>
  <si>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</si>
  <si>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</si>
  <si>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</si>
  <si>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</si>
  <si>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</si>
  <si>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</si>
  <si>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</si>
  <si>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</si>
  <si>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</si>
  <si>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</si>
  <si>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</si>
  <si>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</si>
  <si>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</si>
  <si>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</si>
  <si>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</si>
  <si>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</si>
  <si>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</si>
  <si>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</si>
  <si>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</si>
  <si>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</si>
  <si>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</si>
  <si>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</si>
  <si>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</si>
  <si>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</si>
  <si>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</si>
  <si>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</si>
  <si>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</si>
  <si>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</si>
  <si>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</si>
  <si>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</si>
  <si>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</si>
  <si>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</si>
  <si>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</si>
  <si>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</si>
  <si>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</si>
  <si>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</si>
  <si>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</si>
  <si>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</si>
  <si>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</si>
  <si>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</si>
  <si>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</si>
  <si>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</si>
  <si>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</si>
  <si>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</si>
  <si>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</si>
  <si>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</si>
  <si>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</si>
  <si>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</si>
  <si>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</si>
  <si>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</si>
  <si>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</si>
  <si>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</si>
  <si>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</si>
  <si>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</si>
  <si>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</si>
  <si>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</si>
  <si>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</si>
  <si>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</si>
  <si>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</si>
  <si>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</si>
  <si>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</si>
  <si>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</si>
  <si>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</si>
  <si>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</si>
  <si>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</si>
  <si>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</si>
  <si>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</si>
  <si>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</si>
  <si>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</si>
  <si>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</si>
  <si>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</si>
  <si>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</si>
  <si>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</si>
  <si>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</si>
  <si>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</si>
  <si>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</si>
  <si>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</si>
  <si>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</si>
  <si>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</si>
  <si>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</si>
  <si>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</si>
  <si>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</si>
  <si>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</si>
  <si>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</si>
  <si>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</si>
  <si>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</si>
  <si>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</si>
  <si>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</si>
  <si>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</si>
  <si>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</si>
  <si>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</si>
  <si>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</si>
  <si>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</si>
  <si>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</si>
  <si>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</si>
  <si>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</si>
  <si>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</si>
  <si>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</si>
  <si>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</si>
  <si>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</si>
  <si>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</si>
  <si>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</si>
  <si>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</si>
  <si>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</si>
  <si>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</si>
  <si>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</si>
  <si>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</si>
  <si>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</si>
  <si>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</si>
  <si>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</si>
  <si>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</si>
  <si>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</si>
  <si>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</si>
  <si>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</si>
  <si>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</si>
  <si>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</si>
  <si>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</si>
  <si>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</si>
  <si>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</si>
  <si>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</si>
  <si>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</si>
  <si>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</si>
  <si>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</si>
  <si>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</si>
  <si>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</si>
  <si>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</si>
  <si>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</si>
  <si>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</si>
  <si>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</si>
  <si>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</si>
  <si>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</si>
  <si>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</si>
  <si>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</si>
  <si>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</si>
  <si>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</si>
  <si>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</si>
  <si>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</si>
  <si>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</si>
  <si>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</si>
  <si>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</si>
  <si>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</si>
  <si>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</si>
  <si>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</si>
  <si>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</si>
  <si>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</si>
  <si>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</si>
  <si>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</si>
  <si>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</si>
  <si>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</si>
  <si>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</si>
  <si>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</si>
  <si>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</si>
  <si>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</si>
  <si>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</si>
  <si>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</si>
  <si>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</si>
  <si>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</si>
  <si>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</si>
  <si>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</si>
  <si>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</si>
  <si>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</si>
  <si>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</si>
  <si>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</si>
  <si>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</si>
  <si>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</si>
  <si>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</si>
  <si>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</si>
  <si>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</si>
  <si>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</si>
  <si>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</si>
  <si>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</si>
  <si>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</si>
  <si>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</si>
  <si>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</si>
  <si>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</si>
  <si>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</si>
  <si>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</si>
  <si>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</si>
  <si>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</si>
  <si>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</si>
  <si>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</si>
  <si>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</si>
  <si>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</si>
  <si>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</si>
  <si>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</si>
  <si>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</si>
  <si>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</si>
  <si>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</si>
  <si>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</si>
  <si>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</si>
  <si>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</si>
  <si>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</si>
  <si>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</si>
  <si>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</si>
  <si>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</si>
  <si>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</si>
  <si>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</si>
  <si>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</si>
  <si>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</si>
  <si>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</si>
  <si>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</si>
  <si>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</si>
  <si>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</si>
  <si>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</si>
  <si>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</si>
  <si>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</si>
  <si>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</si>
  <si>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</si>
  <si>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</si>
  <si>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</si>
  <si>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</si>
  <si>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</si>
  <si>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</si>
  <si>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</si>
  <si>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</si>
  <si>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</si>
  <si>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</si>
  <si>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</si>
  <si>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</si>
  <si>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</si>
  <si>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</si>
  <si>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</si>
  <si>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</si>
  <si>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</si>
  <si>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</si>
  <si>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</si>
  <si>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</si>
  <si>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</si>
  <si>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</si>
  <si>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</si>
  <si>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</si>
  <si>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</si>
  <si>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</si>
  <si>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</si>
  <si>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</si>
  <si>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</si>
  <si>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</si>
  <si>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</si>
  <si>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</si>
  <si>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</si>
  <si>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</si>
  <si>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</si>
  <si>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</si>
  <si>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</si>
  <si>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</si>
  <si>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</si>
  <si>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</si>
  <si>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</si>
  <si>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</si>
  <si>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</si>
  <si>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</si>
  <si>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</si>
  <si>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</si>
  <si>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</si>
  <si>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</si>
  <si>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</si>
  <si>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</si>
  <si>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</si>
  <si>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</si>
  <si>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</si>
  <si>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</si>
  <si>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</si>
  <si>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</si>
  <si>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</si>
  <si>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</si>
  <si>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</si>
  <si>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</si>
  <si>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</si>
  <si>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</si>
  <si>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</si>
  <si>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</si>
  <si>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</si>
  <si>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</si>
  <si>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</si>
  <si>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</si>
  <si>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</si>
  <si>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</si>
  <si>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</si>
  <si>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</si>
  <si>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</si>
  <si>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</si>
  <si>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</si>
  <si>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</si>
  <si>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</si>
  <si>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</si>
  <si>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</si>
  <si>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</si>
  <si>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</si>
  <si>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</si>
  <si>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</si>
  <si>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</si>
  <si>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</si>
  <si>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</si>
  <si>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</si>
  <si>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</si>
  <si>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</si>
  <si>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</si>
  <si>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</si>
  <si>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</si>
  <si>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</si>
  <si>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</si>
  <si>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</si>
  <si>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</si>
  <si>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</si>
  <si>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</si>
  <si>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</si>
  <si>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</si>
  <si>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</si>
  <si>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</si>
  <si>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</si>
  <si>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</si>
  <si>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</si>
  <si>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</si>
  <si>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</si>
  <si>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</si>
  <si>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</si>
  <si>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</si>
  <si>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</si>
  <si>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</si>
  <si>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</si>
  <si>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</si>
  <si>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</si>
  <si>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</si>
  <si>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</si>
  <si>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</si>
  <si>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</si>
  <si>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</si>
  <si>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</si>
  <si>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</si>
  <si>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</si>
  <si>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</si>
  <si>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</si>
  <si>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</si>
  <si>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</si>
  <si>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</si>
  <si>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</si>
  <si>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</si>
  <si>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</si>
  <si>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</si>
  <si>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</si>
  <si>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</si>
  <si>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</si>
  <si>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</si>
  <si>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</si>
  <si>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</si>
  <si>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</si>
  <si>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</si>
  <si>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</si>
  <si>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</si>
  <si>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</si>
  <si>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</si>
  <si>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</si>
  <si>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</si>
  <si>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</si>
  <si>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</si>
  <si>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</si>
  <si>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</si>
  <si>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</si>
  <si>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</si>
  <si>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</si>
  <si>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</si>
  <si>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</si>
  <si>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</si>
  <si>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</si>
  <si>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</si>
  <si>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</si>
  <si>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</si>
  <si>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</si>
  <si>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</si>
  <si>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</si>
  <si>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</si>
  <si>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</si>
  <si>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</si>
  <si>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</si>
  <si>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</si>
  <si>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</si>
  <si>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</si>
  <si>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</si>
  <si>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</si>
  <si>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</si>
  <si>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</si>
  <si>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</si>
  <si>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</si>
  <si>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</si>
  <si>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</si>
  <si>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</si>
  <si>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</si>
  <si>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</si>
  <si>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</si>
  <si>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</si>
  <si>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</si>
  <si>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</si>
  <si>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</si>
  <si>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</si>
  <si>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</si>
  <si>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</si>
  <si>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</si>
  <si>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</si>
  <si>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</si>
  <si>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</si>
  <si>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</si>
  <si>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</si>
  <si>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</si>
  <si>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</si>
  <si>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</si>
  <si>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</si>
  <si>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</si>
  <si>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</si>
  <si>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</si>
  <si>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</si>
  <si>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</si>
  <si>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</si>
  <si>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</si>
  <si>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</si>
  <si>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</si>
  <si>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</si>
  <si>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</si>
  <si>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</si>
  <si>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</si>
  <si>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</si>
  <si>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</si>
  <si>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</si>
  <si>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</si>
  <si>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</si>
  <si>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</si>
  <si>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</si>
  <si>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</si>
  <si>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</si>
  <si>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</si>
  <si>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</si>
  <si>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</si>
  <si>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</si>
  <si>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</si>
  <si>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</si>
  <si>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</si>
  <si>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</si>
  <si>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</si>
  <si>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</si>
  <si>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</si>
  <si>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</si>
  <si>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</si>
  <si>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</si>
  <si>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</si>
  <si>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</si>
  <si>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</si>
  <si>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</si>
  <si>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</si>
  <si>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</si>
  <si>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</si>
  <si>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</si>
  <si>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</si>
  <si>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</si>
  <si>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</si>
  <si>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</si>
  <si>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</si>
  <si>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</si>
  <si>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</si>
  <si>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</si>
  <si>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</si>
  <si>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</si>
  <si>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</si>
  <si>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</si>
  <si>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</si>
  <si>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</si>
  <si>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</si>
  <si>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</si>
  <si>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</si>
  <si>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</si>
  <si>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</si>
  <si>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</si>
  <si>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</si>
  <si>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</si>
  <si>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</si>
  <si>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</si>
  <si>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</si>
  <si>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</si>
  <si>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</si>
  <si>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</si>
  <si>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</si>
  <si>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</si>
  <si>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</si>
  <si>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</si>
  <si>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</si>
  <si>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</si>
  <si>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</si>
  <si>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</si>
  <si>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</si>
  <si>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</si>
  <si>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</si>
  <si>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</si>
  <si>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</si>
  <si>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</si>
  <si>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</si>
  <si>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</si>
  <si>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</si>
  <si>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</si>
  <si>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</si>
  <si>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</si>
  <si>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</si>
  <si>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</si>
  <si>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</si>
  <si>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</si>
  <si>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</si>
  <si>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</si>
  <si>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</si>
  <si>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</si>
  <si>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</si>
  <si>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</si>
  <si>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</si>
  <si>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</si>
  <si>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</si>
  <si>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</si>
  <si>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</si>
  <si>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</si>
  <si>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</si>
  <si>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</si>
  <si>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</si>
  <si>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</si>
  <si>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</si>
  <si>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</si>
  <si>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</si>
  <si>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</si>
  <si>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</si>
  <si>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</si>
  <si>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</si>
  <si>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</si>
  <si>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</si>
  <si>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</si>
  <si>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</si>
  <si>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</si>
  <si>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</si>
  <si>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</si>
  <si>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</si>
  <si>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</si>
  <si>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</si>
  <si>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</si>
  <si>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</si>
  <si>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</si>
  <si>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</si>
  <si>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</si>
  <si>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</si>
  <si>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</si>
  <si>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</si>
  <si>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</si>
  <si>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</si>
  <si>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</si>
  <si>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</si>
  <si>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</si>
  <si>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</si>
  <si>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</si>
  <si>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</si>
  <si>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</si>
  <si>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</si>
  <si>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</si>
  <si>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</si>
  <si>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</si>
  <si>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</si>
  <si>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</si>
  <si>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</si>
  <si>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</si>
  <si>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</si>
  <si>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</si>
  <si>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</si>
  <si>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</si>
  <si>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</si>
  <si>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</si>
  <si>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</si>
  <si>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</si>
  <si>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</si>
  <si>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</si>
  <si>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</si>
  <si>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</si>
  <si>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</si>
  <si>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</si>
  <si>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</si>
  <si>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</si>
  <si>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</si>
  <si>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</si>
  <si>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</si>
  <si>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</si>
  <si>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</si>
  <si>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</si>
  <si>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</si>
  <si>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</si>
  <si>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</si>
  <si>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</si>
  <si>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</si>
  <si>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</si>
  <si>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</si>
  <si>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</si>
  <si>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</si>
  <si>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</si>
  <si>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</si>
  <si>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</si>
  <si>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</si>
  <si>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</si>
  <si>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</si>
  <si>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</si>
  <si>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</si>
  <si>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</si>
  <si>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</si>
  <si>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</si>
  <si>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</si>
  <si>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</si>
  <si>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</si>
  <si>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</si>
  <si>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</si>
  <si>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</si>
  <si>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</si>
  <si>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</si>
  <si>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</si>
  <si>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</si>
  <si>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</si>
  <si>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</si>
  <si>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</si>
  <si>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</si>
  <si>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</si>
  <si>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</si>
  <si>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</si>
  <si>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</si>
  <si>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</si>
  <si>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</si>
  <si>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</si>
  <si>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</si>
  <si>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</si>
  <si>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</si>
  <si>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</si>
  <si>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</si>
  <si>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</si>
  <si>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</si>
  <si>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</si>
  <si>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</si>
  <si>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</si>
  <si>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</si>
  <si>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</si>
  <si>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</si>
  <si>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</si>
  <si>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</si>
  <si>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</si>
  <si>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</si>
  <si>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</si>
  <si>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</si>
  <si>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</si>
  <si>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</si>
  <si>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</si>
  <si>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</si>
  <si>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</si>
  <si>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</si>
  <si>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</si>
  <si>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</si>
  <si>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</si>
  <si>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</si>
  <si>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</si>
  <si>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</si>
  <si>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</si>
  <si>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</si>
  <si>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</si>
  <si>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</si>
  <si>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</si>
  <si>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</si>
  <si>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</si>
  <si>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</si>
  <si>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</si>
  <si>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</si>
  <si>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</si>
  <si>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</si>
  <si>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</si>
  <si>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</si>
  <si>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</si>
  <si>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</si>
  <si>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</si>
  <si>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</si>
  <si>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</si>
  <si>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</si>
  <si>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</si>
  <si>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</si>
  <si>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</si>
  <si>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</si>
  <si>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</si>
  <si>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</si>
  <si>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</si>
  <si>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</si>
  <si>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</si>
  <si>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</si>
  <si>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</si>
  <si>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</si>
  <si>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</si>
  <si>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</si>
  <si>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</si>
  <si>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</si>
  <si>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</si>
  <si>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</si>
  <si>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</si>
  <si>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</si>
  <si>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</si>
  <si>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</si>
  <si>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</si>
  <si>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</si>
  <si>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</si>
  <si>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</si>
  <si>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</si>
  <si>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</si>
  <si>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</si>
  <si>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</si>
  <si>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</si>
  <si>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</si>
  <si>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</si>
  <si>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</si>
  <si>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</si>
  <si>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</si>
  <si>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</si>
  <si>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</si>
  <si>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</si>
  <si>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</si>
  <si>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</si>
  <si>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</si>
  <si>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</si>
  <si>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</si>
  <si>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</si>
  <si>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</si>
  <si>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</si>
  <si>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</si>
  <si>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</si>
  <si>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</si>
  <si>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</si>
  <si>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</si>
  <si>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</si>
  <si>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</si>
  <si>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</si>
  <si>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</si>
  <si>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</si>
  <si>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</si>
  <si>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</si>
  <si>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</si>
  <si>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</si>
  <si>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</si>
  <si>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</si>
  <si>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</si>
  <si>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</si>
  <si>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</si>
  <si>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</si>
  <si>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</si>
  <si>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</si>
  <si>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</si>
  <si>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</si>
  <si>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</si>
  <si>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</si>
  <si>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</si>
  <si>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</si>
  <si>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</si>
  <si>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</si>
  <si>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</si>
  <si>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</si>
  <si>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</si>
  <si>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</si>
  <si>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</si>
  <si>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</si>
  <si>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</si>
  <si>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</si>
  <si>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</si>
  <si>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</si>
  <si>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</si>
  <si>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</si>
  <si>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</si>
  <si>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</si>
  <si>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</si>
  <si>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</si>
  <si>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</si>
  <si>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</si>
  <si>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</si>
  <si>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</si>
  <si>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</si>
  <si>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</si>
  <si>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</si>
  <si>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</si>
  <si>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</si>
  <si>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</si>
  <si>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</si>
  <si>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</si>
  <si>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</si>
  <si>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</si>
  <si>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</si>
  <si>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</si>
  <si>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</si>
  <si>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</si>
  <si>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</si>
  <si>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</si>
  <si>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</si>
  <si>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</si>
  <si>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</si>
  <si>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</si>
  <si>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</si>
  <si>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</si>
  <si>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</si>
  <si>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</si>
  <si>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</si>
  <si>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</si>
  <si>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</si>
  <si>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</si>
  <si>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</si>
  <si>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</si>
  <si>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</si>
  <si>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</si>
  <si>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</si>
  <si>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</si>
  <si>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</si>
  <si>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</si>
  <si>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</si>
  <si>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</si>
  <si>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</si>
  <si>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</si>
  <si>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</si>
  <si>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</si>
  <si>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</si>
  <si>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</si>
  <si>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</si>
  <si>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</si>
  <si>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</si>
  <si>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</si>
  <si>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</si>
  <si>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</si>
  <si>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</si>
  <si>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</si>
  <si>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</si>
  <si>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</si>
  <si>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</si>
  <si>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</si>
  <si>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</si>
  <si>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</si>
  <si>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</si>
  <si>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</si>
  <si>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</si>
  <si>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</si>
  <si>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</si>
  <si>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</si>
  <si>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</si>
  <si>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</si>
  <si>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</si>
  <si>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</si>
  <si>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</si>
  <si>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</si>
  <si>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</si>
  <si>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</si>
  <si>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</si>
  <si>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</si>
  <si>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</si>
  <si>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</si>
  <si>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</si>
  <si>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</si>
  <si>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</si>
  <si>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</si>
  <si>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</si>
  <si>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</si>
  <si>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</si>
  <si>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</si>
  <si>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</si>
  <si>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</si>
  <si>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</si>
  <si>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</si>
  <si>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</si>
  <si>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</si>
  <si>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</si>
  <si>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</si>
  <si>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</si>
  <si>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</si>
  <si>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</si>
  <si>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</si>
  <si>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</si>
  <si>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</si>
  <si>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</si>
  <si>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</si>
  <si>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</si>
  <si>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</si>
  <si>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</si>
  <si>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</si>
  <si>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</si>
  <si>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</si>
  <si>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</si>
  <si>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</si>
  <si>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</si>
  <si>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</si>
  <si>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</si>
  <si>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</si>
  <si>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</si>
  <si>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</si>
  <si>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</si>
  <si>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</si>
  <si>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</si>
  <si>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</si>
  <si>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</si>
  <si>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</si>
  <si>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</si>
  <si>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</si>
  <si>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</si>
  <si>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</si>
  <si>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</si>
  <si>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</si>
  <si>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</si>
  <si>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</si>
  <si>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</si>
  <si>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</si>
  <si>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</si>
  <si>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</si>
  <si>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</si>
  <si>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</si>
  <si>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</si>
  <si>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</si>
  <si>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</si>
  <si>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</si>
  <si>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</si>
  <si>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</si>
  <si>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</si>
  <si>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</si>
  <si>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</si>
  <si>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</si>
  <si>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</si>
  <si>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</si>
  <si>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</si>
  <si>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</si>
  <si>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</si>
  <si>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</si>
  <si>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</si>
  <si>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</si>
  <si>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</si>
  <si>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</si>
  <si>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</si>
  <si>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</si>
  <si>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</si>
  <si>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</si>
  <si>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</si>
  <si>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</si>
  <si>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</si>
  <si>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</si>
  <si>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</si>
  <si>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</si>
  <si>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</si>
  <si>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</si>
  <si>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</si>
  <si>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</si>
  <si>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</si>
  <si>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</si>
  <si>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</si>
  <si>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</si>
  <si>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</si>
  <si>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</si>
  <si>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</si>
  <si>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</si>
  <si>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</si>
  <si>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</si>
  <si>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</si>
  <si>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</si>
  <si>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</si>
  <si>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</si>
  <si>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</si>
  <si>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</si>
  <si>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</si>
  <si>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</si>
  <si>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</si>
  <si>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</si>
  <si>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</si>
  <si>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</si>
  <si>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</si>
  <si>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</si>
  <si>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</si>
  <si>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</si>
  <si>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</si>
  <si>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</si>
  <si>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</si>
  <si>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</si>
  <si>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</si>
  <si>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</si>
  <si>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</si>
  <si>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</si>
  <si>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</si>
  <si>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</si>
  <si>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</si>
  <si>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</si>
  <si>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</si>
  <si>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</si>
  <si>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</si>
  <si>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</si>
  <si>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</si>
  <si>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</si>
  <si>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</si>
  <si>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</si>
  <si>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</si>
  <si>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</si>
  <si>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</si>
  <si>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</si>
  <si>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</si>
  <si>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</si>
  <si>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</si>
  <si>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</si>
  <si>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</si>
  <si>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</si>
  <si>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</si>
  <si>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</si>
  <si>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</si>
  <si>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</si>
  <si>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</si>
  <si>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</si>
  <si>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</si>
  <si>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</si>
  <si>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</si>
  <si>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</si>
  <si>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</si>
  <si>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</si>
  <si>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</si>
  <si>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</si>
  <si>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</si>
  <si>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</si>
  <si>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</si>
  <si>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</si>
  <si>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</si>
  <si>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</si>
  <si>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</si>
  <si>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</si>
  <si>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</si>
  <si>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</si>
  <si>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</si>
  <si>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</si>
  <si>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</si>
  <si>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</si>
  <si>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</si>
  <si>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</si>
  <si>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</si>
  <si>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</si>
  <si>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</si>
  <si>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</si>
  <si>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</si>
  <si>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</si>
  <si>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</si>
  <si>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</si>
  <si>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</si>
  <si>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</si>
  <si>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</si>
  <si>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</si>
  <si>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</si>
  <si>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</si>
  <si>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</si>
  <si>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</si>
  <si>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</si>
  <si>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</si>
  <si>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</si>
  <si>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</si>
  <si>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</si>
  <si>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</si>
  <si>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</si>
  <si>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</si>
  <si>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</si>
  <si>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</si>
  <si>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</si>
  <si>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</si>
  <si>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</si>
  <si>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</si>
  <si>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</si>
  <si>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</si>
  <si>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</si>
  <si>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</si>
  <si>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</si>
  <si>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</si>
  <si>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</si>
  <si>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</si>
  <si>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</si>
  <si>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</si>
  <si>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</si>
  <si>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</si>
  <si>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</si>
  <si>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</si>
  <si>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</si>
  <si>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</si>
  <si>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</si>
  <si>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</si>
  <si>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</si>
  <si>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</si>
  <si>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</si>
  <si>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</si>
  <si>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</si>
  <si>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</si>
  <si>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</si>
  <si>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</si>
  <si>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</si>
  <si>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</si>
  <si>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</si>
  <si>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</si>
  <si>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</si>
  <si>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</si>
  <si>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</si>
  <si>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</si>
  <si>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</si>
  <si>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</si>
  <si>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</si>
  <si>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</si>
  <si>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</si>
  <si>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</si>
  <si>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</si>
  <si>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</si>
  <si>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</si>
  <si>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</si>
  <si>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</si>
  <si>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</si>
  <si>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</si>
  <si>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</si>
  <si>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</si>
  <si>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</si>
  <si>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</si>
  <si>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</si>
  <si>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</si>
  <si>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</si>
  <si>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</si>
  <si>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</si>
  <si>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</si>
  <si>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</si>
  <si>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</si>
  <si>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</si>
  <si>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</si>
  <si>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</si>
  <si>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</si>
  <si>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</si>
  <si>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</si>
  <si>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</si>
  <si>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</si>
  <si>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</si>
  <si>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</si>
  <si>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</si>
  <si>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</si>
  <si>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</si>
  <si>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</si>
  <si>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</si>
  <si>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</si>
  <si>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</si>
  <si>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</si>
  <si>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</si>
  <si>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</si>
  <si>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</si>
  <si>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</si>
  <si>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</si>
  <si>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</si>
  <si>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</si>
  <si>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</si>
  <si>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</si>
  <si>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</si>
  <si>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</si>
  <si>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</si>
  <si>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</si>
  <si>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</si>
  <si>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</si>
  <si>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</si>
  <si>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</si>
  <si>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</si>
  <si>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</si>
  <si>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</si>
  <si>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</si>
  <si>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</si>
  <si>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</si>
  <si>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</si>
  <si>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</si>
  <si>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</si>
  <si>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</si>
  <si>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</si>
  <si>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</si>
  <si>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</si>
  <si>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</si>
  <si>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</si>
  <si>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</si>
  <si>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</si>
  <si>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</si>
  <si>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</si>
  <si>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</si>
  <si>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</si>
  <si>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</si>
  <si>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</si>
  <si>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</si>
  <si>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</si>
  <si>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</si>
  <si>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</si>
  <si>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</si>
  <si>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</si>
  <si>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</si>
  <si>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</si>
  <si>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</si>
  <si>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</si>
  <si>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</si>
  <si>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</si>
  <si>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</si>
  <si>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</si>
  <si>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</si>
  <si>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</si>
  <si>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</si>
  <si>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</si>
  <si>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</si>
  <si>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</si>
  <si>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</si>
  <si>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</si>
  <si>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</si>
  <si>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</si>
  <si>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</si>
  <si>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</si>
  <si>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</si>
  <si>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</si>
  <si>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</si>
  <si>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</si>
  <si>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</si>
  <si>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</si>
  <si>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</si>
  <si>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</si>
  <si>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</si>
  <si>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</si>
  <si>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</si>
  <si>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</si>
  <si>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</si>
  <si>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</si>
  <si>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</si>
  <si>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</si>
  <si>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</si>
  <si>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</si>
  <si>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</si>
  <si>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</si>
  <si>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</si>
  <si>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</si>
  <si>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</si>
  <si>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</si>
  <si>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</si>
  <si>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</si>
  <si>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</si>
  <si>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</si>
  <si>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</si>
  <si>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</si>
  <si>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</si>
  <si>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</si>
  <si>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</si>
  <si>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</si>
  <si>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</si>
  <si>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</si>
  <si>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</si>
  <si>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</si>
  <si>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</si>
  <si>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</si>
  <si>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</si>
  <si>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</si>
  <si>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</si>
  <si>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</si>
  <si>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</si>
  <si>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</si>
  <si>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</si>
  <si>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</si>
  <si>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</si>
  <si>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</si>
  <si>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</si>
  <si>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</si>
  <si>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</si>
  <si>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</si>
  <si>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</si>
  <si>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</si>
  <si>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</si>
  <si>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</si>
  <si>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</si>
  <si>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</si>
  <si>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</si>
  <si>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</si>
  <si>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</si>
  <si>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</si>
  <si>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</si>
  <si>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</si>
  <si>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</si>
  <si>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</si>
  <si>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</si>
  <si>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</si>
  <si>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</si>
  <si>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</si>
  <si>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</si>
  <si>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</si>
  <si>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</si>
  <si>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</si>
  <si>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</si>
  <si>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</si>
  <si>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</si>
  <si>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</si>
  <si>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</si>
  <si>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</si>
  <si>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</si>
  <si>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</si>
  <si>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</si>
  <si>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</si>
  <si>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</si>
  <si>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</si>
  <si>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</si>
  <si>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</si>
  <si>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</si>
  <si>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</si>
  <si>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</si>
  <si>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</si>
  <si>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</si>
  <si>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</si>
  <si>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</si>
  <si>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</si>
  <si>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</si>
  <si>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</si>
  <si>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</si>
  <si>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</si>
  <si>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</si>
  <si>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</si>
  <si>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</si>
  <si>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</si>
  <si>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SEE SEFA19 TAB</t>
  </si>
  <si>
    <t>Gorenz and Associates, Ltd.</t>
  </si>
  <si>
    <t>Tazewell-Mason Counties Special Education Association</t>
  </si>
  <si>
    <t xml:space="preserve">Tazewell </t>
  </si>
  <si>
    <t>300 Cedar St.</t>
  </si>
  <si>
    <t>Pekin</t>
  </si>
  <si>
    <t>kneville@tmcsea.org</t>
  </si>
  <si>
    <t>Kristina Neville</t>
  </si>
  <si>
    <t>Thomas R. Peffer, CPA</t>
  </si>
  <si>
    <t>tpeffer@gorenzcpa.com</t>
  </si>
  <si>
    <t>See member disricts below.</t>
  </si>
  <si>
    <t>District 50 Schools, Central School District #51, Washington School District #52, Creve Coeur School District #76, Robein School District #85, East Peoria Grade School District #86, Rankin School District #98, North Pekin/Marquette</t>
  </si>
  <si>
    <t>Heights School District #102, Pekin Public School District #108, Havana School District #126, South Pekin School District #137, Illini Central School CUSD 189, Midwest Central CUSD 191, Pekin High School #303, Washington High</t>
  </si>
  <si>
    <t>School #308, East Peoria High School #309, Springlake School District #606, Deer Creek/ Mackinaw #701, Tremont CUSD 702, Delavan CUSD 703, Morton School District #709</t>
  </si>
  <si>
    <t>GORENZ AND ASSOCIATES, LTD.</t>
  </si>
  <si>
    <t>ED - Audiology - Purchased Services</t>
  </si>
  <si>
    <t>10-2100-300</t>
  </si>
  <si>
    <t>Children &amp; Family Hearing Associates</t>
  </si>
  <si>
    <t>ED - Operations &amp; Maintenance - Purchased Services</t>
  </si>
  <si>
    <t>Christianbury Systems</t>
  </si>
  <si>
    <t>City of Pekin</t>
  </si>
  <si>
    <t>TR - Pupil Transportation - Purchased Services</t>
  </si>
  <si>
    <t>David Burling Excavating</t>
  </si>
  <si>
    <t>Entec Services, Inc</t>
  </si>
  <si>
    <t>ED - Board of Education - Purchased Services</t>
  </si>
  <si>
    <t>E-Rate Funding Solutions</t>
  </si>
  <si>
    <t>Golf Green Lawn Care</t>
  </si>
  <si>
    <t>ED - Improvement of Instruction - Purchased Services</t>
  </si>
  <si>
    <t>Infinitec</t>
  </si>
  <si>
    <t>Dr. Andrew Morgan</t>
  </si>
  <si>
    <t>Timberline Billing Services</t>
  </si>
  <si>
    <t>Topless Tree Service</t>
  </si>
  <si>
    <t>Watts Copy System</t>
  </si>
  <si>
    <t>Wendelin Consulting Group</t>
  </si>
  <si>
    <t>10-2300-300</t>
  </si>
  <si>
    <t>10-2200-300</t>
  </si>
  <si>
    <t>Page 6, Line 107 - Other Local Revenue  E-Rate, Jury Duty, Health Insurance</t>
  </si>
  <si>
    <t>Page 10, Line 265 - Other Restricted Revenue from Federal Sources  STEP and TSP Programs</t>
  </si>
  <si>
    <t>Non-cash Commodities</t>
  </si>
  <si>
    <t>The accompanying Schedule of Expenditures of Federal Awards includes the federal grant activity of Tazewell-Mason Counties Special Education Association and is presented on the cash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</si>
  <si>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x</t>
  </si>
  <si>
    <t>IDEA Pre-School Flow-Through FY 2018</t>
  </si>
  <si>
    <t>Of the federal expenditures presented in the schedule, Tazewell-Mason Counties Special Education Association provided federal awards to subrecipients as follows:</t>
  </si>
  <si>
    <t>19,688*</t>
  </si>
  <si>
    <t>IDEA Pre-School Flow-Through FY 2019</t>
  </si>
  <si>
    <t>273,214*</t>
  </si>
  <si>
    <t>IDEA Part B Flow-Through FY 2018</t>
  </si>
  <si>
    <t>182,421*</t>
  </si>
  <si>
    <t>IDEA Part B Flow-Through FY 2019</t>
  </si>
  <si>
    <t>2,638,347*</t>
  </si>
  <si>
    <t>* See SEFA 19 schedule for detail amounts provided to individual subrecipients</t>
  </si>
  <si>
    <r>
      <t xml:space="preserve">The following amounts were expended in the form of non-cash assistance by Tazewell-Mason Counties Special Education Association and </t>
    </r>
    <r>
      <rPr>
        <b/>
        <sz val="9"/>
        <rFont val="Calibri"/>
        <family val="2"/>
        <scheme val="minor"/>
      </rPr>
      <t>should be</t>
    </r>
    <r>
      <rPr>
        <sz val="9"/>
        <rFont val="Calibri"/>
        <family val="2"/>
        <scheme val="minor"/>
      </rPr>
      <t xml:space="preserve"> included in the Schedule of Expenditures of Federal Awards:</t>
    </r>
  </si>
  <si>
    <t>Yes - see itemization</t>
  </si>
  <si>
    <t>Additional notes to SEFA 19</t>
  </si>
  <si>
    <t xml:space="preserve">  Matching Expenditures:</t>
  </si>
  <si>
    <t xml:space="preserve">        S.T.E.P    84.126  46CXF00111    Local Match    $166,776</t>
  </si>
  <si>
    <t xml:space="preserve">  Relationship to Basic Financial Statements and Program Financial Reports</t>
  </si>
  <si>
    <t xml:space="preserve">        Federal awards received are reflected in the Association's financial statements within the Educational Fund as receipts from</t>
  </si>
  <si>
    <t xml:space="preserve">        federal sources or flow-through. Amounts reported in the accompanying Schedule of Expenditures of Federal Awards agree</t>
  </si>
  <si>
    <t xml:space="preserve">        with amounts reported in the Program Financial Report for programs which have filed final reports as of June 30, 2019 with ISBE.</t>
  </si>
  <si>
    <t xml:space="preserve">        Transitional Specialist  84.126  46CXF00110    Local Match   $90,230</t>
  </si>
  <si>
    <t>Unmodified</t>
  </si>
  <si>
    <t>IDEA Pre-School Flow-Through</t>
  </si>
  <si>
    <t>IDEA Flow-Through</t>
  </si>
  <si>
    <t>None</t>
  </si>
  <si>
    <t>There were no findings for prior year ended June 30, 2018</t>
  </si>
  <si>
    <t>RCDT 53-090-3090-61</t>
  </si>
  <si>
    <t xml:space="preserve">                                  Year Ending June 30, 2019                                  </t>
  </si>
  <si>
    <t>ISBE</t>
  </si>
  <si>
    <t xml:space="preserve">          Receipts/Revenues          </t>
  </si>
  <si>
    <t xml:space="preserve">  Expenditures/Disbursements  </t>
  </si>
  <si>
    <t>Project</t>
  </si>
  <si>
    <t>Prior to</t>
  </si>
  <si>
    <t>7/01/18-</t>
  </si>
  <si>
    <t>Final</t>
  </si>
  <si>
    <t>Federal Grantor/Pass-Through Grantor,</t>
  </si>
  <si>
    <t>Number</t>
  </si>
  <si>
    <t>6/30/18</t>
  </si>
  <si>
    <t>6/30/19</t>
  </si>
  <si>
    <t>Encumbrances</t>
  </si>
  <si>
    <t>Program Title &amp; Major Program Designation</t>
  </si>
  <si>
    <t xml:space="preserve">        (A)        </t>
  </si>
  <si>
    <t xml:space="preserve">         (B)         </t>
  </si>
  <si>
    <t xml:space="preserve">         (C)         </t>
  </si>
  <si>
    <t xml:space="preserve">         (D)         </t>
  </si>
  <si>
    <t xml:space="preserve">         (E)         </t>
  </si>
  <si>
    <t xml:space="preserve">         (F)         </t>
  </si>
  <si>
    <t xml:space="preserve">         (G)         </t>
  </si>
  <si>
    <t xml:space="preserve">         (H)         </t>
  </si>
  <si>
    <t xml:space="preserve">         (I)         </t>
  </si>
  <si>
    <t>U.S. Department of Agriculture -</t>
  </si>
  <si>
    <t xml:space="preserve">  Pass-through program from</t>
  </si>
  <si>
    <t xml:space="preserve">  Illinois State Board of Education</t>
  </si>
  <si>
    <t>10.555</t>
  </si>
  <si>
    <t>18-4210-00</t>
  </si>
  <si>
    <t>N/A</t>
  </si>
  <si>
    <t>19-4210-00</t>
  </si>
  <si>
    <t>(2)</t>
  </si>
  <si>
    <t>School Lunch - Food Donation</t>
  </si>
  <si>
    <t>FY 18</t>
  </si>
  <si>
    <t>FY 19</t>
  </si>
  <si>
    <t>Total U.S. Department of Agriculture</t>
  </si>
  <si>
    <t xml:space="preserve">U.S. Department of Education - </t>
  </si>
  <si>
    <t xml:space="preserve">   Pass-through program from </t>
  </si>
  <si>
    <t xml:space="preserve">   Illinois State Board of Education</t>
  </si>
  <si>
    <t>(M)</t>
  </si>
  <si>
    <t>IDEA - Preschool Flow-Through (Revenue Acct. 2200)</t>
  </si>
  <si>
    <t>18-4600-00</t>
  </si>
  <si>
    <t>19-4600-00</t>
  </si>
  <si>
    <t xml:space="preserve">    Sub-total CFDA 84.173</t>
  </si>
  <si>
    <t>IDEA Part B - Flow-Through (Revenue Acct. 2200)</t>
  </si>
  <si>
    <t>18-4620-00</t>
  </si>
  <si>
    <t>IDEA Part B - Flow-Through (Revenue Acct. 4620)</t>
  </si>
  <si>
    <t>19-4620-00</t>
  </si>
  <si>
    <t xml:space="preserve">    Sub-total CFDA 84.027</t>
  </si>
  <si>
    <t xml:space="preserve">    Sub-total IDEA Cluster</t>
  </si>
  <si>
    <t xml:space="preserve">   Illinois Dept. of Human Services</t>
  </si>
  <si>
    <t>Secondary Transition Experience Program</t>
  </si>
  <si>
    <t>46CWF00111</t>
  </si>
  <si>
    <t>46CXF00111</t>
  </si>
  <si>
    <t>Transitional Specialist Program</t>
  </si>
  <si>
    <t>46CWF00110</t>
  </si>
  <si>
    <t>46CXF00110</t>
  </si>
  <si>
    <t xml:space="preserve">    Sub-total Rehabilitation Cluster</t>
  </si>
  <si>
    <t xml:space="preserve">   Illinois Dept. of Healthcare and Family Services</t>
  </si>
  <si>
    <t>Medicaid Administrative Outreach</t>
  </si>
  <si>
    <t>18-4991-00</t>
  </si>
  <si>
    <t>19-4991-00</t>
  </si>
  <si>
    <t>Total U.S. Department of Education</t>
  </si>
  <si>
    <t>Total Federal Awards</t>
  </si>
  <si>
    <t>Total Illinois State Board of Education</t>
  </si>
  <si>
    <t>Total Illinois Dept. of Human Services</t>
  </si>
  <si>
    <t>Total Illinois Dept. of Healthcare and Family Services</t>
  </si>
  <si>
    <t>(M) Indicates Major Federal Financial Assistance Program.</t>
  </si>
  <si>
    <t xml:space="preserve">        IDEA Preschool</t>
  </si>
  <si>
    <t xml:space="preserve">            IDEA Flow-Through</t>
  </si>
  <si>
    <t>(1)Flow-through funding distributed to sub-grantees as follows:</t>
  </si>
  <si>
    <t>FY18</t>
  </si>
  <si>
    <t>FY19</t>
  </si>
  <si>
    <t>District 50 Schools</t>
  </si>
  <si>
    <t>Central School District #51</t>
  </si>
  <si>
    <t>Washington School District #52</t>
  </si>
  <si>
    <t>Creve Coeur School District #76</t>
  </si>
  <si>
    <t>Robein School District #85</t>
  </si>
  <si>
    <t>East Peoria Grade District #86</t>
  </si>
  <si>
    <t>Rankin School District #98</t>
  </si>
  <si>
    <t>North Pekin/Marquette Heights #102</t>
  </si>
  <si>
    <t>Pekin Public School District #108</t>
  </si>
  <si>
    <t>Havana School District #126</t>
  </si>
  <si>
    <t>South Pekin School District #137</t>
  </si>
  <si>
    <t>Illini Central CUSD #189</t>
  </si>
  <si>
    <t>Midwest Central CUSD #191</t>
  </si>
  <si>
    <t>Pekin High School #303</t>
  </si>
  <si>
    <t>Washington High School #308</t>
  </si>
  <si>
    <t>East Peoria High School District #309</t>
  </si>
  <si>
    <t>Springlake School District #606</t>
  </si>
  <si>
    <t>Deer Creek/Mackinaw #701</t>
  </si>
  <si>
    <t>Tremont CUSD #702</t>
  </si>
  <si>
    <t>Delavan CUSD #703</t>
  </si>
  <si>
    <t>Morton School District #709</t>
  </si>
  <si>
    <t xml:space="preserve">(2) Project not complete as of June 30, 2019. </t>
  </si>
  <si>
    <r>
      <t xml:space="preserve">1 </t>
    </r>
    <r>
      <rPr>
        <sz val="8"/>
        <rFont val="Arial"/>
        <family val="2"/>
      </rPr>
      <t xml:space="preserve"> To meet state or other requirements, auditees may decide to include certain nonfederal awards (for example, state awards) in this schedule.  If such nonfederal data are presented,</t>
    </r>
  </si>
  <si>
    <t xml:space="preserve">     they should be segregated and clearly designated as nonfederal.  The title of the schedule should also be modified to indicate that nonfederal awards are included.</t>
  </si>
  <si>
    <r>
      <t>2</t>
    </r>
    <r>
      <rPr>
        <sz val="8"/>
        <rFont val="Arial"/>
        <family val="2"/>
      </rPr>
      <t xml:space="preserve">  When the CFDA number is not available, the auditee should indicate that the CFDA number is not available and include in the schedule the program's name and, if applicable, </t>
    </r>
  </si>
  <si>
    <t xml:space="preserve">     other identifying number.</t>
  </si>
  <si>
    <r>
      <t>3</t>
    </r>
    <r>
      <rPr>
        <sz val="8"/>
        <rFont val="Arial"/>
        <family val="2"/>
      </rPr>
      <t xml:space="preserve">  When awards are received as a subrecipient, the identifying number assigned by the pass-through entity should be included in the schedule.</t>
    </r>
  </si>
  <si>
    <r>
      <t xml:space="preserve">4  </t>
    </r>
    <r>
      <rPr>
        <sz val="8"/>
        <rFont val="Arial"/>
        <family val="2"/>
      </rPr>
      <t xml:space="preserve">Circular A-133 requires that the value of federal awards expended in the form of non-cash assistance, the amount of insurance in effect during the year, and loans or loan guarantees </t>
    </r>
  </si>
  <si>
    <t xml:space="preserve">    outstanding at year end be included in either the schedule or a note to the schedule.  Although it is not required, Circular A-133 states that it is preferable to present this information in</t>
  </si>
  <si>
    <t xml:space="preserve">    the schedule (versus the notes to the schedule).  If the auditee presents non-cash assistance in the notes to the schedule, the auditor should be aware that such amounts must</t>
  </si>
  <si>
    <t xml:space="preserve">    still be included in part III of the data collection form.</t>
  </si>
  <si>
    <t>See PDF version</t>
  </si>
  <si>
    <t>10-2540-300</t>
  </si>
  <si>
    <t>10-2550-300</t>
  </si>
  <si>
    <t>Tazewell Mason Cntys Sp Ed Assoc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</si>
</sst>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 &quot;_);_(@_)"/>
    <numFmt numFmtId="182" formatCode="0.000_)"/>
    <numFmt numFmtId="183" formatCode="_(* #,##0_);_(* \(#,##0\);_(* &quot;-&quot;??_);_(@_)"/>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ont>
    <font>
      <b/>
      <sz val="12"/>
      <name val="Times New Roman"/>
      <family val="1"/>
    </font>
    <font>
      <b/>
      <u/>
      <sz val="11"/>
      <name val="Times New Roman"/>
      <family val="1"/>
    </font>
    <font>
      <sz val="11"/>
      <name val="Times New Roman"/>
      <family val="1"/>
    </font>
    <font>
      <u/>
      <sz val="11"/>
      <name val="Times New Roman"/>
      <family val="1"/>
    </font>
    <font>
      <u val="singleAccounting"/>
      <sz val="11"/>
      <name val="Times New Roman"/>
      <family val="1"/>
    </font>
    <font>
      <sz val="11"/>
      <name val="Courier"/>
      <family val="3"/>
    </font>
    <font>
      <b/>
      <sz val="11"/>
      <name val="Times New Roman"/>
      <family val="1"/>
    </font>
    <font>
      <u val="doubleAccounting"/>
      <sz val="11"/>
      <name val="Times New Roman"/>
      <family val="1"/>
    </font>
    <font>
      <vertAlign val="superscript"/>
      <sz val="8"/>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37" fontId="138" fillId="0" borderId="0"/>
    <xf numFmtId="43" fontId="45" fillId="0" borderId="0" applyFont="0" applyFill="0" applyBorder="0" applyAlignment="0" applyProtection="0"/>
  </cellStyleXfs>
  <cellXfs count="257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37" fontId="45" fillId="0" borderId="0" xfId="19" applyFont="1" applyAlignment="1">
      <alignment horizontal="center" vertical="center"/>
    </xf>
    <xf numFmtId="37" fontId="138" fillId="0" borderId="0" xfId="19" applyAlignment="1">
      <alignment vertical="center"/>
    </xf>
    <xf numFmtId="37" fontId="138" fillId="0" borderId="0" xfId="19" applyAlignment="1">
      <alignment horizontal="center" vertical="center"/>
    </xf>
    <xf numFmtId="37" fontId="138" fillId="0" borderId="0" xfId="19"/>
    <xf numFmtId="37" fontId="45" fillId="0" borderId="0" xfId="19" quotePrefix="1" applyFont="1" applyAlignment="1">
      <alignment horizontal="center" vertical="center"/>
    </xf>
    <xf numFmtId="37" fontId="45" fillId="0" borderId="0" xfId="19" applyFont="1" applyAlignment="1">
      <alignment vertical="center"/>
    </xf>
    <xf numFmtId="37" fontId="45" fillId="0" borderId="0" xfId="19" applyFont="1" applyAlignment="1">
      <alignment horizontal="centerContinuous" vertical="center"/>
    </xf>
    <xf numFmtId="37" fontId="45" fillId="0" borderId="0" xfId="19" applyFont="1" applyAlignment="1">
      <alignment horizontal="left" vertical="center"/>
    </xf>
    <xf numFmtId="37" fontId="141" fillId="0" borderId="0" xfId="19" applyFont="1" applyAlignment="1">
      <alignment horizontal="center" vertical="center"/>
    </xf>
    <xf numFmtId="37" fontId="141" fillId="0" borderId="0" xfId="19" applyFont="1" applyAlignment="1">
      <alignment horizontal="left" vertical="center"/>
    </xf>
    <xf numFmtId="37" fontId="141" fillId="0" borderId="0" xfId="19" applyFont="1" applyAlignment="1">
      <alignment vertical="center"/>
    </xf>
    <xf numFmtId="37" fontId="142" fillId="0" borderId="0" xfId="19" applyFont="1" applyAlignment="1">
      <alignment horizontal="centerContinuous" vertical="center"/>
    </xf>
    <xf numFmtId="37" fontId="144" fillId="0" borderId="0" xfId="19" applyFont="1" applyAlignment="1">
      <alignment vertical="center"/>
    </xf>
    <xf numFmtId="37" fontId="141" fillId="0" borderId="0" xfId="19" quotePrefix="1" applyFont="1" applyAlignment="1">
      <alignment horizontal="center" vertical="center"/>
    </xf>
    <xf numFmtId="14" fontId="141" fillId="0" borderId="0" xfId="19" quotePrefix="1" applyNumberFormat="1" applyFont="1" applyAlignment="1">
      <alignment horizontal="center" vertical="center"/>
    </xf>
    <xf numFmtId="37" fontId="142" fillId="0" borderId="0" xfId="19" quotePrefix="1" applyFont="1" applyAlignment="1">
      <alignment horizontal="left" vertical="center"/>
    </xf>
    <xf numFmtId="37" fontId="142" fillId="0" borderId="0" xfId="19" applyFont="1" applyAlignment="1">
      <alignment horizontal="center" vertical="center"/>
    </xf>
    <xf numFmtId="37" fontId="142" fillId="0" borderId="0" xfId="19" applyFont="1" applyAlignment="1">
      <alignment horizontal="left" vertical="center"/>
    </xf>
    <xf numFmtId="37" fontId="145" fillId="0" borderId="0" xfId="19" applyFont="1" applyAlignment="1">
      <alignment horizontal="left" vertical="center"/>
    </xf>
    <xf numFmtId="182" fontId="141" fillId="0" borderId="0" xfId="19" applyNumberFormat="1" applyFont="1" applyAlignment="1">
      <alignment horizontal="center" vertical="center"/>
    </xf>
    <xf numFmtId="37" fontId="141" fillId="0" borderId="0" xfId="19" applyFont="1" applyAlignment="1">
      <alignment horizontal="right" vertical="center"/>
    </xf>
    <xf numFmtId="181" fontId="141" fillId="0" borderId="0" xfId="19" applyNumberFormat="1" applyFont="1" applyAlignment="1">
      <alignment vertical="center"/>
    </xf>
    <xf numFmtId="37" fontId="141" fillId="0" borderId="0" xfId="19" quotePrefix="1" applyFont="1" applyAlignment="1">
      <alignment vertical="center"/>
    </xf>
    <xf numFmtId="181" fontId="141" fillId="0" borderId="78" xfId="19" applyNumberFormat="1" applyFont="1" applyBorder="1" applyAlignment="1">
      <alignment vertical="center"/>
    </xf>
    <xf numFmtId="37" fontId="142" fillId="0" borderId="78" xfId="19" applyFont="1" applyBorder="1" applyAlignment="1">
      <alignment horizontal="center" vertical="center"/>
    </xf>
    <xf numFmtId="37" fontId="142" fillId="0" borderId="76" xfId="19" applyFont="1" applyBorder="1" applyAlignment="1">
      <alignment horizontal="center" vertical="center"/>
    </xf>
    <xf numFmtId="181" fontId="141" fillId="0" borderId="0" xfId="19" applyNumberFormat="1" applyFont="1" applyAlignment="1">
      <alignment horizontal="center" vertical="center"/>
    </xf>
    <xf numFmtId="37" fontId="141" fillId="27" borderId="0" xfId="19" applyFont="1" applyFill="1" applyAlignment="1">
      <alignment horizontal="right" vertical="center"/>
    </xf>
    <xf numFmtId="181" fontId="141" fillId="27" borderId="0" xfId="19" applyNumberFormat="1" applyFont="1" applyFill="1" applyAlignment="1">
      <alignment vertical="center"/>
    </xf>
    <xf numFmtId="183" fontId="141" fillId="0" borderId="0" xfId="19" applyNumberFormat="1" applyFont="1" applyAlignment="1">
      <alignment vertical="center"/>
    </xf>
    <xf numFmtId="37" fontId="141" fillId="0" borderId="0" xfId="19" quotePrefix="1" applyFont="1" applyAlignment="1">
      <alignment horizontal="left" vertical="center"/>
    </xf>
    <xf numFmtId="181" fontId="141" fillId="0" borderId="0" xfId="19" quotePrefix="1" applyNumberFormat="1" applyFont="1" applyAlignment="1">
      <alignment horizontal="center" vertical="center"/>
    </xf>
    <xf numFmtId="183" fontId="141" fillId="0" borderId="78" xfId="19" applyNumberFormat="1" applyFont="1" applyBorder="1" applyAlignment="1">
      <alignment vertical="center"/>
    </xf>
    <xf numFmtId="181" fontId="141" fillId="0" borderId="76" xfId="19" applyNumberFormat="1" applyFont="1" applyBorder="1" applyAlignment="1">
      <alignment vertical="center"/>
    </xf>
    <xf numFmtId="181" fontId="141" fillId="27" borderId="78" xfId="19" applyNumberFormat="1" applyFont="1" applyFill="1" applyBorder="1" applyAlignment="1">
      <alignment vertical="center"/>
    </xf>
    <xf numFmtId="181" fontId="141" fillId="0" borderId="76" xfId="19" applyNumberFormat="1" applyFont="1" applyBorder="1" applyAlignment="1">
      <alignment horizontal="left" vertical="center"/>
    </xf>
    <xf numFmtId="181" fontId="143" fillId="0" borderId="0" xfId="19" applyNumberFormat="1" applyFont="1" applyAlignment="1">
      <alignment horizontal="left" vertical="center"/>
    </xf>
    <xf numFmtId="183" fontId="143" fillId="0" borderId="0" xfId="19" applyNumberFormat="1" applyFont="1" applyAlignment="1">
      <alignment vertical="center"/>
    </xf>
    <xf numFmtId="181" fontId="141" fillId="0" borderId="0" xfId="19" applyNumberFormat="1" applyFont="1" applyAlignment="1">
      <alignment horizontal="left" vertical="center"/>
    </xf>
    <xf numFmtId="181" fontId="143" fillId="0" borderId="0" xfId="19" applyNumberFormat="1" applyFont="1" applyAlignment="1">
      <alignment horizontal="center" vertical="center"/>
    </xf>
    <xf numFmtId="37" fontId="145" fillId="0" borderId="0" xfId="19" applyFont="1" applyAlignment="1">
      <alignment vertical="center"/>
    </xf>
    <xf numFmtId="181" fontId="141" fillId="0" borderId="165" xfId="19" applyNumberFormat="1" applyFont="1" applyBorder="1" applyAlignment="1">
      <alignment horizontal="left" vertical="center"/>
    </xf>
    <xf numFmtId="182" fontId="141" fillId="0" borderId="0" xfId="19" applyNumberFormat="1" applyFont="1" applyAlignment="1">
      <alignment vertical="center"/>
    </xf>
    <xf numFmtId="183" fontId="141" fillId="0" borderId="165" xfId="19" applyNumberFormat="1" applyFont="1" applyBorder="1" applyAlignment="1">
      <alignment vertical="center"/>
    </xf>
    <xf numFmtId="183" fontId="146" fillId="0" borderId="0" xfId="19" applyNumberFormat="1" applyFont="1" applyAlignment="1">
      <alignment vertical="center"/>
    </xf>
    <xf numFmtId="43" fontId="141" fillId="0" borderId="0" xfId="20" applyFont="1" applyFill="1" applyAlignment="1">
      <alignment horizontal="center" vertical="center"/>
    </xf>
    <xf numFmtId="37" fontId="142" fillId="0" borderId="0" xfId="19" applyFont="1" applyAlignment="1">
      <alignment horizontal="right" vertical="center"/>
    </xf>
    <xf numFmtId="181" fontId="144" fillId="0" borderId="0" xfId="19" applyNumberFormat="1" applyFont="1" applyAlignment="1">
      <alignment vertical="center"/>
    </xf>
    <xf numFmtId="181" fontId="144" fillId="0" borderId="0" xfId="19" applyNumberFormat="1" applyFont="1" applyAlignment="1">
      <alignment horizontal="center" vertical="center"/>
    </xf>
    <xf numFmtId="37" fontId="144" fillId="0" borderId="0" xfId="19" applyFont="1" applyAlignment="1">
      <alignment horizontal="center" vertical="center"/>
    </xf>
    <xf numFmtId="183" fontId="141" fillId="0" borderId="0" xfId="20" applyNumberFormat="1" applyFont="1" applyFill="1" applyAlignment="1" applyProtection="1">
      <alignment vertical="center"/>
    </xf>
    <xf numFmtId="183" fontId="141" fillId="0" borderId="0" xfId="19" applyNumberFormat="1" applyFont="1" applyAlignment="1">
      <alignment horizontal="center" vertical="center"/>
    </xf>
    <xf numFmtId="183" fontId="143" fillId="0" borderId="0" xfId="20" applyNumberFormat="1" applyFont="1" applyFill="1" applyAlignment="1" applyProtection="1">
      <alignment vertical="center"/>
    </xf>
    <xf numFmtId="182" fontId="144" fillId="0" borderId="0" xfId="19" applyNumberFormat="1" applyFont="1" applyAlignment="1">
      <alignment vertical="center"/>
    </xf>
    <xf numFmtId="182" fontId="138" fillId="0" borderId="0" xfId="19" applyNumberFormat="1" applyAlignment="1">
      <alignment vertical="center"/>
    </xf>
    <xf numFmtId="181" fontId="138" fillId="0" borderId="0" xfId="19" applyNumberFormat="1" applyAlignment="1">
      <alignment vertical="center"/>
    </xf>
    <xf numFmtId="181" fontId="138" fillId="0" borderId="0" xfId="19" applyNumberFormat="1" applyAlignment="1">
      <alignment horizontal="center" vertical="center"/>
    </xf>
    <xf numFmtId="37" fontId="45" fillId="0" borderId="78" xfId="19" applyFont="1" applyBorder="1" applyAlignment="1">
      <alignment horizontal="center" vertical="center"/>
    </xf>
    <xf numFmtId="37" fontId="138" fillId="0" borderId="78" xfId="19" applyBorder="1" applyAlignment="1">
      <alignment vertical="center"/>
    </xf>
    <xf numFmtId="182" fontId="138" fillId="0" borderId="78" xfId="19" applyNumberFormat="1" applyBorder="1" applyAlignment="1">
      <alignment vertical="center"/>
    </xf>
    <xf numFmtId="37" fontId="138" fillId="0" borderId="78" xfId="19" applyBorder="1" applyAlignment="1">
      <alignment horizontal="center" vertical="center"/>
    </xf>
    <xf numFmtId="181" fontId="138" fillId="0" borderId="78" xfId="19" applyNumberFormat="1" applyBorder="1" applyAlignment="1">
      <alignment vertical="center"/>
    </xf>
    <xf numFmtId="181" fontId="138" fillId="0" borderId="78" xfId="19" applyNumberFormat="1" applyBorder="1" applyAlignment="1">
      <alignment horizontal="center" vertical="center"/>
    </xf>
    <xf numFmtId="37" fontId="138" fillId="0" borderId="0" xfId="19" applyAlignment="1">
      <alignment horizontal="left"/>
    </xf>
    <xf numFmtId="37" fontId="138" fillId="0" borderId="0" xfId="19" applyAlignment="1">
      <alignment horizontal="center"/>
    </xf>
    <xf numFmtId="37" fontId="11" fillId="0" borderId="0" xfId="19" applyFont="1"/>
    <xf numFmtId="37" fontId="147" fillId="0" borderId="0" xfId="19" applyFont="1" applyAlignment="1">
      <alignment horizontal="left"/>
    </xf>
    <xf numFmtId="169" fontId="11" fillId="0" borderId="0" xfId="19" applyNumberFormat="1" applyFont="1" applyAlignment="1">
      <alignment horizontal="left"/>
    </xf>
    <xf numFmtId="1" fontId="11" fillId="0" borderId="0" xfId="19" applyNumberFormat="1" applyFont="1" applyAlignment="1">
      <alignment horizontal="left"/>
    </xf>
    <xf numFmtId="37" fontId="11" fillId="0" borderId="0" xfId="19" applyFont="1" applyAlignment="1">
      <alignment horizontal="left"/>
    </xf>
    <xf numFmtId="169" fontId="138" fillId="0" borderId="0" xfId="19" applyNumberFormat="1" applyAlignment="1">
      <alignment horizontal="left"/>
    </xf>
    <xf numFmtId="1" fontId="138" fillId="0" borderId="0" xfId="19" applyNumberFormat="1" applyAlignment="1">
      <alignment horizontal="left"/>
    </xf>
    <xf numFmtId="37" fontId="138" fillId="0" borderId="0" xfId="19" applyProtection="1">
      <protection locked="0"/>
    </xf>
    <xf numFmtId="169" fontId="138" fillId="0" borderId="0" xfId="19" applyNumberFormat="1" applyProtection="1">
      <protection locked="0"/>
    </xf>
    <xf numFmtId="1" fontId="138" fillId="0" borderId="0" xfId="19" applyNumberFormat="1" applyProtection="1">
      <protection locked="0"/>
    </xf>
    <xf numFmtId="37" fontId="138" fillId="0" borderId="0" xfId="19" applyAlignment="1" applyProtection="1">
      <alignment horizontal="center"/>
      <protection locked="0"/>
    </xf>
    <xf numFmtId="37" fontId="13" fillId="0" borderId="0" xfId="19" applyFont="1" applyAlignment="1">
      <alignment vertical="center"/>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37" fontId="145" fillId="0" borderId="0" xfId="19" applyFont="1" applyAlignment="1">
      <alignment horizontal="left" vertical="center"/>
    </xf>
    <xf numFmtId="37" fontId="141" fillId="0" borderId="0" xfId="19" applyFont="1" applyAlignment="1">
      <alignment horizontal="center" vertical="center"/>
    </xf>
    <xf numFmtId="37" fontId="142" fillId="0" borderId="0" xfId="19" applyFont="1" applyAlignment="1">
      <alignment horizontal="center" vertical="center"/>
    </xf>
    <xf numFmtId="181" fontId="141" fillId="0" borderId="0" xfId="19" applyNumberFormat="1" applyFont="1" applyAlignment="1">
      <alignment horizontal="center" vertical="center"/>
    </xf>
    <xf numFmtId="181" fontId="143" fillId="0" borderId="0" xfId="19" applyNumberFormat="1" applyFont="1" applyAlignment="1">
      <alignment horizontal="center" vertical="center"/>
    </xf>
    <xf numFmtId="37" fontId="147" fillId="0" borderId="0" xfId="19" applyFont="1" applyAlignment="1">
      <alignment horizontal="left" wrapText="1"/>
    </xf>
    <xf numFmtId="37" fontId="11" fillId="0" borderId="0" xfId="19" applyFont="1" applyAlignment="1">
      <alignment horizontal="left" wrapText="1"/>
    </xf>
    <xf numFmtId="37" fontId="139" fillId="0" borderId="0" xfId="19" applyFont="1" applyAlignment="1">
      <alignment horizontal="center" vertical="center"/>
    </xf>
    <xf numFmtId="0" fontId="140" fillId="0" borderId="0" xfId="19" applyNumberFormat="1" applyFont="1" applyAlignment="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21">
    <cellStyle name="Comma" xfId="1" builtinId="3"/>
    <cellStyle name="Comma 2" xfId="20" xr:uid="{A590E1B3-3251-4C46-B804-9366D5D51426}"/>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6" xfId="19" xr:uid="{C4EB00E0-4432-4133-86ED-1A30BF98AC25}"/>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571500</xdr:colOff>
          <xdr:row>3</xdr:row>
          <xdr:rowOff>77932</xdr:rowOff>
        </xdr:from>
        <xdr:to>
          <xdr:col>1</xdr:col>
          <xdr:colOff>1485900</xdr:colOff>
          <xdr:row>7</xdr:row>
          <xdr:rowOff>116032</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89" t="s">
        <v>405</v>
      </c>
      <c r="J1" s="2090"/>
      <c r="K1" s="2090"/>
      <c r="L1" s="2090"/>
      <c r="M1" s="2090"/>
      <c r="N1" s="2090"/>
      <c r="O1" s="2090"/>
      <c r="P1" s="2090"/>
      <c r="Q1" s="2090"/>
      <c r="R1" s="2090"/>
      <c r="S1" s="2090"/>
    </row>
    <row r="2" spans="1:28" ht="12" customHeight="1" x14ac:dyDescent="0.2">
      <c r="A2" s="47" t="s">
        <v>1990</v>
      </c>
      <c r="D2" s="48"/>
      <c r="I2" s="2091" t="s">
        <v>979</v>
      </c>
      <c r="J2" s="2090"/>
      <c r="K2" s="2090"/>
      <c r="L2" s="2090"/>
      <c r="M2" s="2090"/>
      <c r="N2" s="2090"/>
      <c r="O2" s="2090"/>
      <c r="P2" s="2090"/>
      <c r="Q2" s="2090"/>
      <c r="R2" s="2090"/>
      <c r="S2" s="2090"/>
    </row>
    <row r="3" spans="1:28" ht="12" customHeight="1" x14ac:dyDescent="0.2">
      <c r="A3" s="155" t="s">
        <v>1942</v>
      </c>
      <c r="B3" s="156"/>
      <c r="C3" s="156"/>
      <c r="D3" s="157"/>
      <c r="I3" s="2091" t="s">
        <v>52</v>
      </c>
      <c r="J3" s="2090"/>
      <c r="K3" s="2090"/>
      <c r="L3" s="2090"/>
      <c r="M3" s="2090"/>
      <c r="N3" s="2090"/>
      <c r="O3" s="2090"/>
      <c r="P3" s="2090"/>
      <c r="Q3" s="2090"/>
      <c r="R3" s="2090"/>
      <c r="S3" s="2090"/>
    </row>
    <row r="4" spans="1:28" ht="12" customHeight="1" x14ac:dyDescent="0.2">
      <c r="A4" s="37"/>
      <c r="I4" s="2091" t="s">
        <v>524</v>
      </c>
      <c r="J4" s="2090"/>
      <c r="K4" s="2090"/>
      <c r="L4" s="2090"/>
      <c r="M4" s="2090"/>
      <c r="N4" s="2090"/>
      <c r="O4" s="2090"/>
      <c r="P4" s="2090"/>
      <c r="Q4" s="2090"/>
      <c r="R4" s="2090"/>
      <c r="S4" s="2090"/>
    </row>
    <row r="5" spans="1:28" ht="14.1" customHeight="1" x14ac:dyDescent="0.2">
      <c r="B5" s="104"/>
      <c r="C5" s="26" t="s">
        <v>910</v>
      </c>
      <c r="D5" s="84"/>
      <c r="E5" s="84"/>
      <c r="H5" s="38"/>
      <c r="I5" s="2098" t="s">
        <v>680</v>
      </c>
      <c r="J5" s="2043"/>
      <c r="K5" s="2043"/>
      <c r="L5" s="2043"/>
      <c r="M5" s="2043"/>
      <c r="N5" s="2043"/>
      <c r="O5" s="2043"/>
      <c r="P5" s="2043"/>
      <c r="Q5" s="2043"/>
      <c r="R5" s="2043"/>
      <c r="S5" s="2043"/>
    </row>
    <row r="6" spans="1:28" ht="14.1" customHeight="1" x14ac:dyDescent="0.2">
      <c r="B6" s="104" t="s">
        <v>2067</v>
      </c>
      <c r="C6" s="26" t="s">
        <v>911</v>
      </c>
      <c r="D6" s="84"/>
      <c r="E6" s="84"/>
      <c r="I6" s="2097" t="s">
        <v>883</v>
      </c>
      <c r="J6" s="2043"/>
      <c r="K6" s="2043"/>
      <c r="L6" s="2043"/>
      <c r="M6" s="2043"/>
      <c r="N6" s="2043"/>
      <c r="O6" s="2043"/>
      <c r="P6" s="2043"/>
      <c r="Q6" s="2043"/>
      <c r="R6" s="2043"/>
      <c r="S6" s="2043"/>
    </row>
    <row r="7" spans="1:28" ht="12.2" customHeight="1" x14ac:dyDescent="0.2">
      <c r="I7" s="2092">
        <v>43646</v>
      </c>
      <c r="J7" s="2093"/>
      <c r="K7" s="2093"/>
      <c r="L7" s="2093"/>
      <c r="M7" s="2093"/>
      <c r="N7" s="2093"/>
      <c r="O7" s="2093"/>
      <c r="P7" s="2093"/>
      <c r="Q7" s="2093"/>
      <c r="R7" s="2093"/>
      <c r="S7" s="209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94" t="s">
        <v>674</v>
      </c>
      <c r="J9" s="2095"/>
      <c r="K9" s="2095"/>
      <c r="L9" s="2095"/>
      <c r="M9" s="2095"/>
      <c r="N9" s="2095"/>
      <c r="O9" s="2095"/>
      <c r="P9" s="2095"/>
      <c r="Q9" s="2095"/>
      <c r="R9" s="2095"/>
      <c r="S9" s="2096"/>
      <c r="T9" s="2039" t="s">
        <v>533</v>
      </c>
      <c r="U9" s="2040"/>
      <c r="V9" s="2040"/>
      <c r="W9" s="2040"/>
      <c r="X9" s="2040"/>
      <c r="Y9" s="2040"/>
      <c r="Z9" s="2040"/>
      <c r="AA9" s="2041"/>
    </row>
    <row r="10" spans="1:28" ht="13.5" customHeight="1" x14ac:dyDescent="0.2">
      <c r="A10" s="2048" t="s">
        <v>675</v>
      </c>
      <c r="B10" s="2049"/>
      <c r="C10" s="2049"/>
      <c r="D10" s="2049"/>
      <c r="E10" s="2049"/>
      <c r="F10" s="2049"/>
      <c r="G10" s="2049"/>
      <c r="H10" s="2050"/>
      <c r="I10" s="29"/>
      <c r="J10" s="30"/>
      <c r="K10" s="28"/>
      <c r="R10" s="30"/>
      <c r="S10" s="30"/>
      <c r="T10" s="2042"/>
      <c r="U10" s="2043"/>
      <c r="V10" s="2043"/>
      <c r="W10" s="2043"/>
      <c r="X10" s="2043"/>
      <c r="Y10" s="2043"/>
      <c r="Z10" s="2043"/>
      <c r="AA10" s="2044"/>
    </row>
    <row r="11" spans="1:28" ht="14.25" customHeight="1" x14ac:dyDescent="0.2">
      <c r="A11" s="2051" t="s">
        <v>955</v>
      </c>
      <c r="B11" s="2052"/>
      <c r="C11" s="2052"/>
      <c r="D11" s="2052"/>
      <c r="E11" s="2052"/>
      <c r="F11" s="2052"/>
      <c r="G11" s="2052"/>
      <c r="H11" s="2053"/>
      <c r="I11" s="27"/>
      <c r="J11" s="74"/>
      <c r="K11" s="27"/>
      <c r="O11" s="148" t="s">
        <v>2067</v>
      </c>
      <c r="P11" s="100" t="s">
        <v>201</v>
      </c>
      <c r="Q11" s="30"/>
      <c r="R11" s="28"/>
      <c r="S11" s="27"/>
      <c r="T11" s="2045"/>
      <c r="U11" s="2046"/>
      <c r="V11" s="2046"/>
      <c r="W11" s="2046"/>
      <c r="X11" s="2046"/>
      <c r="Y11" s="2046"/>
      <c r="Z11" s="2046"/>
      <c r="AA11" s="204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59">
        <v>53090309061</v>
      </c>
      <c r="B13" s="2060"/>
      <c r="C13" s="2060"/>
      <c r="D13" s="2060"/>
      <c r="E13" s="2060"/>
      <c r="F13" s="2060"/>
      <c r="G13" s="2060"/>
      <c r="H13" s="2061"/>
      <c r="I13" s="31"/>
      <c r="J13" s="30"/>
      <c r="K13" s="28"/>
      <c r="L13" s="30"/>
      <c r="M13" s="30"/>
      <c r="N13" s="30"/>
      <c r="O13" s="30"/>
      <c r="P13" s="30"/>
      <c r="Q13" s="30"/>
      <c r="R13" s="30"/>
      <c r="S13" s="30"/>
      <c r="T13" s="2064" t="s">
        <v>2069</v>
      </c>
      <c r="U13" s="2065"/>
      <c r="V13" s="2065"/>
      <c r="W13" s="2065"/>
      <c r="X13" s="2065"/>
      <c r="Y13" s="2066"/>
      <c r="Z13" s="2066"/>
      <c r="AA13" s="206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57" t="s">
        <v>2071</v>
      </c>
      <c r="B15" s="2062"/>
      <c r="C15" s="2062"/>
      <c r="D15" s="2062"/>
      <c r="E15" s="2062"/>
      <c r="F15" s="2062"/>
      <c r="G15" s="2062"/>
      <c r="H15" s="2063"/>
      <c r="T15" s="2025" t="s">
        <v>2076</v>
      </c>
      <c r="U15" s="2026"/>
      <c r="V15" s="2026"/>
      <c r="W15" s="2026"/>
      <c r="X15" s="2026"/>
      <c r="Y15" s="2068"/>
      <c r="Z15" s="2068"/>
      <c r="AA15" s="206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17" t="s">
        <v>2241</v>
      </c>
      <c r="B17" s="2087"/>
      <c r="C17" s="2087"/>
      <c r="D17" s="2087"/>
      <c r="E17" s="2087"/>
      <c r="F17" s="2087"/>
      <c r="G17" s="2087"/>
      <c r="H17" s="2088"/>
      <c r="T17" s="2074" t="s">
        <v>2061</v>
      </c>
      <c r="U17" s="2075"/>
      <c r="V17" s="2075"/>
      <c r="W17" s="2075"/>
      <c r="X17" s="2075"/>
      <c r="Y17" s="2075"/>
      <c r="Z17" s="2075"/>
      <c r="AA17" s="2076"/>
    </row>
    <row r="18" spans="1:27" ht="13.5" customHeight="1" x14ac:dyDescent="0.2">
      <c r="A18" s="85" t="s">
        <v>530</v>
      </c>
      <c r="B18" s="76"/>
      <c r="C18" s="72"/>
      <c r="D18" s="76"/>
      <c r="E18" s="76"/>
      <c r="F18" s="76"/>
      <c r="G18" s="76"/>
      <c r="H18" s="56"/>
      <c r="I18" s="2084" t="s">
        <v>676</v>
      </c>
      <c r="J18" s="2085"/>
      <c r="K18" s="2085"/>
      <c r="L18" s="2085"/>
      <c r="M18" s="2085"/>
      <c r="N18" s="2085"/>
      <c r="O18" s="2085"/>
      <c r="P18" s="2085"/>
      <c r="Q18" s="2085"/>
      <c r="R18" s="2085"/>
      <c r="S18" s="2086"/>
      <c r="T18" s="85" t="s">
        <v>711</v>
      </c>
      <c r="U18" s="51"/>
      <c r="V18" s="72"/>
      <c r="W18" s="50"/>
      <c r="X18" s="85" t="s">
        <v>266</v>
      </c>
      <c r="Y18" s="81"/>
      <c r="Z18" s="159" t="s">
        <v>677</v>
      </c>
      <c r="AA18" s="46"/>
    </row>
    <row r="19" spans="1:27" ht="13.5" customHeight="1" x14ac:dyDescent="0.2">
      <c r="A19" s="2057" t="s">
        <v>2072</v>
      </c>
      <c r="B19" s="2058"/>
      <c r="C19" s="2058"/>
      <c r="D19" s="2058"/>
      <c r="E19" s="2058"/>
      <c r="F19" s="2058"/>
      <c r="G19" s="2058"/>
      <c r="H19" s="2056"/>
      <c r="I19" s="30"/>
      <c r="J19" s="99"/>
      <c r="K19" s="40"/>
      <c r="L19" s="38"/>
      <c r="M19" s="112" t="s">
        <v>315</v>
      </c>
      <c r="P19" s="27"/>
      <c r="Q19" s="27"/>
      <c r="R19" s="27"/>
      <c r="S19" s="31"/>
      <c r="T19" s="2057" t="s">
        <v>2062</v>
      </c>
      <c r="U19" s="2055"/>
      <c r="V19" s="2055"/>
      <c r="W19" s="2056"/>
      <c r="X19" s="2072" t="s">
        <v>2063</v>
      </c>
      <c r="Y19" s="2073"/>
      <c r="Z19" s="2070">
        <v>61614</v>
      </c>
      <c r="AA19" s="207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54" t="s">
        <v>2073</v>
      </c>
      <c r="B21" s="2055"/>
      <c r="C21" s="2055"/>
      <c r="D21" s="2055"/>
      <c r="E21" s="2055"/>
      <c r="F21" s="2055"/>
      <c r="G21" s="2055"/>
      <c r="H21" s="2056"/>
      <c r="I21" s="2080" t="s">
        <v>678</v>
      </c>
      <c r="J21" s="2043"/>
      <c r="K21" s="2043"/>
      <c r="L21" s="2043"/>
      <c r="M21" s="2043"/>
      <c r="N21" s="2043"/>
      <c r="O21" s="2043"/>
      <c r="P21" s="2043"/>
      <c r="Q21" s="2043"/>
      <c r="R21" s="2043"/>
      <c r="S21" s="2044"/>
      <c r="T21" s="2022" t="s">
        <v>2064</v>
      </c>
      <c r="U21" s="2023"/>
      <c r="V21" s="2023"/>
      <c r="W21" s="2023"/>
      <c r="X21" s="2036" t="s">
        <v>2065</v>
      </c>
      <c r="Y21" s="2037"/>
      <c r="Z21" s="2037"/>
      <c r="AA21" s="2038"/>
    </row>
    <row r="22" spans="1:27" ht="13.5" customHeight="1" x14ac:dyDescent="0.2">
      <c r="A22" s="87" t="s">
        <v>531</v>
      </c>
      <c r="B22" s="59"/>
      <c r="C22" s="59"/>
      <c r="D22" s="59"/>
      <c r="E22" s="59"/>
      <c r="F22" s="59"/>
      <c r="G22" s="59"/>
      <c r="H22" s="60"/>
      <c r="I22" s="2081" t="s">
        <v>1429</v>
      </c>
      <c r="J22" s="2082"/>
      <c r="K22" s="2082"/>
      <c r="L22" s="2082"/>
      <c r="M22" s="2082"/>
      <c r="N22" s="2082"/>
      <c r="O22" s="2082"/>
      <c r="P22" s="2082"/>
      <c r="Q22" s="2082"/>
      <c r="R22" s="2082"/>
      <c r="S22" s="2083"/>
      <c r="T22" s="85" t="s">
        <v>1516</v>
      </c>
      <c r="U22" s="51"/>
      <c r="V22" s="72"/>
      <c r="W22" s="51"/>
      <c r="X22" s="160" t="s">
        <v>1318</v>
      </c>
      <c r="Z22" s="45"/>
      <c r="AA22" s="46"/>
    </row>
    <row r="23" spans="1:27" ht="13.5" customHeight="1" x14ac:dyDescent="0.2">
      <c r="A23" s="2077" t="s">
        <v>2074</v>
      </c>
      <c r="B23" s="2078"/>
      <c r="C23" s="2078"/>
      <c r="D23" s="2078"/>
      <c r="E23" s="2078"/>
      <c r="F23" s="2078"/>
      <c r="G23" s="2078"/>
      <c r="H23" s="2079"/>
      <c r="T23" s="2017" t="s">
        <v>2066</v>
      </c>
      <c r="U23" s="2018"/>
      <c r="V23" s="2018"/>
      <c r="W23" s="2018"/>
      <c r="X23" s="2033">
        <v>44501</v>
      </c>
      <c r="Y23" s="2034"/>
      <c r="Z23" s="2034"/>
      <c r="AA23" s="2035"/>
    </row>
    <row r="24" spans="1:27" ht="14.1" customHeight="1" x14ac:dyDescent="0.2">
      <c r="A24" s="88" t="s">
        <v>677</v>
      </c>
      <c r="B24" s="49"/>
      <c r="C24" s="49"/>
      <c r="D24" s="49"/>
      <c r="E24" s="49"/>
      <c r="F24" s="49"/>
      <c r="G24" s="49"/>
      <c r="H24" s="61"/>
      <c r="J24" s="2119" t="str">
        <f>IF(B5="x",IF(AUDITCHECK!D29="AFR form Incomplete.","",IF(AUDITCHECK!D29="Deficit reduction plan is required.","School District must complete a deficit reduction plan in the 2019-2020 Budget",)),"")</f>
        <v/>
      </c>
      <c r="K24" s="2119"/>
      <c r="L24" s="2119"/>
      <c r="M24" s="2119"/>
      <c r="N24" s="2119"/>
      <c r="O24" s="2119"/>
      <c r="P24" s="2119"/>
      <c r="Q24" s="2119"/>
      <c r="R24" s="2119"/>
      <c r="S24" s="2120"/>
      <c r="T24" s="105" t="s">
        <v>531</v>
      </c>
      <c r="U24" s="106"/>
      <c r="V24" s="106"/>
      <c r="W24" s="106"/>
      <c r="X24" s="107"/>
      <c r="Y24" s="107"/>
      <c r="Z24" s="107"/>
      <c r="AA24" s="108"/>
    </row>
    <row r="25" spans="1:27" ht="14.1" customHeight="1" x14ac:dyDescent="0.2">
      <c r="A25" s="2054">
        <v>61554</v>
      </c>
      <c r="B25" s="2055"/>
      <c r="C25" s="2055"/>
      <c r="D25" s="2055"/>
      <c r="E25" s="2055"/>
      <c r="F25" s="2055"/>
      <c r="G25" s="2055"/>
      <c r="H25" s="2056"/>
      <c r="I25" s="113"/>
      <c r="J25" s="2121"/>
      <c r="K25" s="2121"/>
      <c r="L25" s="2121"/>
      <c r="M25" s="2121"/>
      <c r="N25" s="2121"/>
      <c r="O25" s="2121"/>
      <c r="P25" s="2121"/>
      <c r="Q25" s="2121"/>
      <c r="R25" s="2121"/>
      <c r="S25" s="2122"/>
      <c r="T25" s="2014" t="s">
        <v>2077</v>
      </c>
      <c r="U25" s="2015"/>
      <c r="V25" s="2015"/>
      <c r="W25" s="2015"/>
      <c r="X25" s="2015"/>
      <c r="Y25" s="2015"/>
      <c r="Z25" s="2015"/>
      <c r="AA25" s="201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112" t="s">
        <v>1511</v>
      </c>
      <c r="J27" s="2085"/>
      <c r="K27" s="2085"/>
      <c r="L27" s="2085"/>
      <c r="M27" s="2085"/>
      <c r="N27" s="2085"/>
      <c r="O27" s="2085"/>
      <c r="P27" s="2085"/>
      <c r="Q27" s="2085"/>
      <c r="R27" s="2085"/>
      <c r="S27" s="208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2067</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2067</v>
      </c>
      <c r="C30" s="124" t="s">
        <v>1164</v>
      </c>
      <c r="D30" s="28"/>
      <c r="E30" s="28"/>
      <c r="F30" s="140"/>
      <c r="G30" s="114"/>
      <c r="H30" s="114"/>
      <c r="I30" s="54"/>
      <c r="J30" s="148" t="s">
        <v>2067</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2067</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58"/>
      <c r="Q35" s="2055"/>
      <c r="R35" s="205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17" t="s">
        <v>2075</v>
      </c>
      <c r="B38" s="2087"/>
      <c r="C38" s="2087"/>
      <c r="D38" s="2087"/>
      <c r="E38" s="2087"/>
      <c r="F38" s="2055"/>
      <c r="G38" s="2055"/>
      <c r="H38" s="2056"/>
      <c r="I38" s="2106"/>
      <c r="J38" s="2026"/>
      <c r="K38" s="2026"/>
      <c r="L38" s="2026"/>
      <c r="M38" s="2026"/>
      <c r="N38" s="2026"/>
      <c r="O38" s="2026"/>
      <c r="P38" s="2027"/>
      <c r="Q38" s="2027"/>
      <c r="R38" s="2027"/>
      <c r="S38" s="2028"/>
      <c r="T38" s="2025"/>
      <c r="U38" s="2026"/>
      <c r="V38" s="2026"/>
      <c r="W38" s="2026"/>
      <c r="X38" s="2027"/>
      <c r="Y38" s="2027"/>
      <c r="Z38" s="2027"/>
      <c r="AA38" s="2028"/>
    </row>
    <row r="39" spans="1:27" ht="12" customHeight="1" x14ac:dyDescent="0.2">
      <c r="A39" s="2110" t="s">
        <v>531</v>
      </c>
      <c r="B39" s="2111"/>
      <c r="C39" s="72"/>
      <c r="D39" s="69"/>
      <c r="E39" s="69"/>
      <c r="F39" s="79"/>
      <c r="G39" s="69"/>
      <c r="H39" s="56"/>
      <c r="I39" s="2110" t="s">
        <v>531</v>
      </c>
      <c r="J39" s="2111"/>
      <c r="K39" s="2111"/>
      <c r="L39" s="2111"/>
      <c r="M39" s="2111"/>
      <c r="N39" s="67"/>
      <c r="O39" s="72"/>
      <c r="P39" s="72"/>
      <c r="Q39" s="78"/>
      <c r="R39" s="72"/>
      <c r="S39" s="56"/>
      <c r="T39" s="72" t="s">
        <v>531</v>
      </c>
      <c r="U39" s="51"/>
      <c r="V39" s="72"/>
      <c r="W39" s="50"/>
      <c r="X39" s="78"/>
      <c r="Y39" s="45"/>
      <c r="Z39" s="45"/>
      <c r="AA39" s="46"/>
    </row>
    <row r="40" spans="1:27" ht="13.5" customHeight="1" x14ac:dyDescent="0.2">
      <c r="A40" s="2113" t="s">
        <v>2074</v>
      </c>
      <c r="B40" s="2114"/>
      <c r="C40" s="2115"/>
      <c r="D40" s="2115"/>
      <c r="E40" s="2115"/>
      <c r="F40" s="2116"/>
      <c r="G40" s="2116"/>
      <c r="H40" s="2117"/>
      <c r="I40" s="2029"/>
      <c r="J40" s="2031"/>
      <c r="K40" s="2031"/>
      <c r="L40" s="2031"/>
      <c r="M40" s="2031"/>
      <c r="N40" s="2031"/>
      <c r="O40" s="2031"/>
      <c r="P40" s="2031"/>
      <c r="Q40" s="2031"/>
      <c r="R40" s="2031"/>
      <c r="S40" s="2032"/>
      <c r="T40" s="2029"/>
      <c r="U40" s="2030"/>
      <c r="V40" s="2031"/>
      <c r="W40" s="2031"/>
      <c r="X40" s="2031"/>
      <c r="Y40" s="2031"/>
      <c r="Z40" s="2031"/>
      <c r="AA40" s="203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103">
        <v>3093475164</v>
      </c>
      <c r="B42" s="2104"/>
      <c r="C42" s="2105"/>
      <c r="D42" s="2118">
        <v>3093460440</v>
      </c>
      <c r="E42" s="2104"/>
      <c r="F42" s="2104"/>
      <c r="G42" s="2104"/>
      <c r="H42" s="2105"/>
      <c r="I42" s="2024"/>
      <c r="J42" s="2020"/>
      <c r="K42" s="2020"/>
      <c r="L42" s="2020"/>
      <c r="M42" s="2020"/>
      <c r="N42" s="2020"/>
      <c r="O42" s="2021"/>
      <c r="P42" s="2019"/>
      <c r="Q42" s="2020"/>
      <c r="R42" s="2020"/>
      <c r="S42" s="2021"/>
      <c r="T42" s="2024"/>
      <c r="U42" s="2020"/>
      <c r="V42" s="2020"/>
      <c r="W42" s="2021"/>
      <c r="X42" s="2019"/>
      <c r="Y42" s="2020"/>
      <c r="Z42" s="2020"/>
      <c r="AA42" s="202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107"/>
      <c r="B44" s="2108"/>
      <c r="C44" s="2108"/>
      <c r="D44" s="2108"/>
      <c r="E44" s="2108"/>
      <c r="F44" s="2108"/>
      <c r="G44" s="2108"/>
      <c r="H44" s="2109"/>
      <c r="I44" s="2099"/>
      <c r="J44" s="2101"/>
      <c r="K44" s="2101"/>
      <c r="L44" s="2101"/>
      <c r="M44" s="2101"/>
      <c r="N44" s="2101"/>
      <c r="O44" s="2101"/>
      <c r="P44" s="2101"/>
      <c r="Q44" s="2101"/>
      <c r="R44" s="2101"/>
      <c r="S44" s="2102"/>
      <c r="T44" s="2099"/>
      <c r="U44" s="2100"/>
      <c r="V44" s="2100"/>
      <c r="W44" s="2100"/>
      <c r="X44" s="2100"/>
      <c r="Y44" s="2100"/>
      <c r="Z44" s="2101"/>
      <c r="AA44" s="210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256" t="s">
        <v>1799</v>
      </c>
      <c r="B2" s="1525" t="s">
        <v>1948</v>
      </c>
      <c r="C2" s="711" t="s">
        <v>1949</v>
      </c>
      <c r="D2" s="711" t="s">
        <v>1950</v>
      </c>
      <c r="E2" s="711" t="s">
        <v>1951</v>
      </c>
      <c r="F2" s="711" t="s">
        <v>1952</v>
      </c>
    </row>
    <row r="3" spans="1:6" ht="12" customHeight="1" x14ac:dyDescent="0.2">
      <c r="A3" s="2257"/>
      <c r="B3" s="1522"/>
      <c r="C3" s="1523"/>
      <c r="D3" s="1524" t="s">
        <v>256</v>
      </c>
      <c r="E3" s="1523"/>
      <c r="F3" s="1524" t="s">
        <v>257</v>
      </c>
    </row>
    <row r="4" spans="1:6" ht="13.7" customHeight="1" x14ac:dyDescent="0.2">
      <c r="A4" s="712" t="s">
        <v>1155</v>
      </c>
      <c r="B4" s="1746">
        <f>'Revenues 9-14'!C5</f>
        <v>0</v>
      </c>
      <c r="C4" s="1521"/>
      <c r="D4" s="1749">
        <f>B4-C4</f>
        <v>0</v>
      </c>
      <c r="E4" s="1521"/>
      <c r="F4" s="1749">
        <f>E4-C4</f>
        <v>0</v>
      </c>
    </row>
    <row r="5" spans="1:6" ht="13.7" customHeight="1" x14ac:dyDescent="0.2">
      <c r="A5" s="712" t="s">
        <v>870</v>
      </c>
      <c r="B5" s="1747">
        <f>'Revenues 9-14'!D5</f>
        <v>0</v>
      </c>
      <c r="C5" s="582"/>
      <c r="D5" s="1750">
        <f t="shared" ref="D5:D18" si="0">B5-C5</f>
        <v>0</v>
      </c>
      <c r="E5" s="582"/>
      <c r="F5" s="1750">
        <f>E5-C5</f>
        <v>0</v>
      </c>
    </row>
    <row r="6" spans="1:6" ht="13.7" customHeight="1" x14ac:dyDescent="0.2">
      <c r="A6" s="712" t="s">
        <v>411</v>
      </c>
      <c r="B6" s="1747">
        <f>'Revenues 9-14'!E5</f>
        <v>0</v>
      </c>
      <c r="C6" s="582"/>
      <c r="D6" s="1750">
        <f t="shared" si="0"/>
        <v>0</v>
      </c>
      <c r="E6" s="582"/>
      <c r="F6" s="1750">
        <f t="shared" ref="F6:F18" si="1">E6-C6</f>
        <v>0</v>
      </c>
    </row>
    <row r="7" spans="1:6" ht="13.7" customHeight="1" x14ac:dyDescent="0.2">
      <c r="A7" s="712" t="s">
        <v>155</v>
      </c>
      <c r="B7" s="1747">
        <f>'Revenues 9-14'!F5</f>
        <v>0</v>
      </c>
      <c r="C7" s="582"/>
      <c r="D7" s="1750">
        <f t="shared" si="0"/>
        <v>0</v>
      </c>
      <c r="E7" s="582"/>
      <c r="F7" s="1750">
        <f t="shared" si="1"/>
        <v>0</v>
      </c>
    </row>
    <row r="8" spans="1:6" ht="13.7" customHeight="1" x14ac:dyDescent="0.2">
      <c r="A8" s="712" t="s">
        <v>1179</v>
      </c>
      <c r="B8" s="1747">
        <f>'Revenues 9-14'!G5</f>
        <v>0</v>
      </c>
      <c r="C8" s="582"/>
      <c r="D8" s="1750">
        <f t="shared" si="0"/>
        <v>0</v>
      </c>
      <c r="E8" s="582"/>
      <c r="F8" s="1750">
        <f t="shared" si="1"/>
        <v>0</v>
      </c>
    </row>
    <row r="9" spans="1:6" ht="13.7" customHeight="1" x14ac:dyDescent="0.2">
      <c r="A9" s="712" t="s">
        <v>408</v>
      </c>
      <c r="B9" s="1747">
        <f>'Revenues 9-14'!H5</f>
        <v>0</v>
      </c>
      <c r="C9" s="582"/>
      <c r="D9" s="1750">
        <f t="shared" si="0"/>
        <v>0</v>
      </c>
      <c r="E9" s="582"/>
      <c r="F9" s="1750">
        <f t="shared" si="1"/>
        <v>0</v>
      </c>
    </row>
    <row r="10" spans="1:6" ht="13.7" customHeight="1" x14ac:dyDescent="0.2">
      <c r="A10" s="712" t="s">
        <v>407</v>
      </c>
      <c r="B10" s="1747">
        <f>'Revenues 9-14'!I5</f>
        <v>0</v>
      </c>
      <c r="C10" s="582"/>
      <c r="D10" s="1750">
        <f t="shared" si="0"/>
        <v>0</v>
      </c>
      <c r="E10" s="582"/>
      <c r="F10" s="1750">
        <f t="shared" si="1"/>
        <v>0</v>
      </c>
    </row>
    <row r="11" spans="1:6" x14ac:dyDescent="0.2">
      <c r="A11" s="712" t="s">
        <v>409</v>
      </c>
      <c r="B11" s="1747">
        <f>'Revenues 9-14'!J5</f>
        <v>0</v>
      </c>
      <c r="C11" s="582"/>
      <c r="D11" s="1750">
        <f t="shared" si="0"/>
        <v>0</v>
      </c>
      <c r="E11" s="582"/>
      <c r="F11" s="1750">
        <f t="shared" si="1"/>
        <v>0</v>
      </c>
    </row>
    <row r="12" spans="1:6" ht="13.7" customHeight="1" x14ac:dyDescent="0.2">
      <c r="A12" s="712" t="s">
        <v>157</v>
      </c>
      <c r="B12" s="1747">
        <f>'Revenues 9-14'!K5</f>
        <v>0</v>
      </c>
      <c r="C12" s="582"/>
      <c r="D12" s="1750">
        <f t="shared" si="0"/>
        <v>0</v>
      </c>
      <c r="E12" s="582"/>
      <c r="F12" s="1750">
        <f t="shared" si="1"/>
        <v>0</v>
      </c>
    </row>
    <row r="13" spans="1:6" ht="13.7" customHeight="1" x14ac:dyDescent="0.2">
      <c r="A13" s="712" t="s">
        <v>936</v>
      </c>
      <c r="B13" s="1747">
        <f>SUM('Revenues 9-14'!C6:D6)</f>
        <v>0</v>
      </c>
      <c r="C13" s="582"/>
      <c r="D13" s="1750">
        <f t="shared" si="0"/>
        <v>0</v>
      </c>
      <c r="E13" s="582"/>
      <c r="F13" s="1750">
        <f t="shared" si="1"/>
        <v>0</v>
      </c>
    </row>
    <row r="14" spans="1:6" ht="13.7" customHeight="1" x14ac:dyDescent="0.2">
      <c r="A14" s="712" t="s">
        <v>410</v>
      </c>
      <c r="B14" s="1747">
        <f>SUM('Revenues 9-14'!C7:D7,'Revenues 9-14'!F7:H7)</f>
        <v>0</v>
      </c>
      <c r="C14" s="582"/>
      <c r="D14" s="1750">
        <f t="shared" si="0"/>
        <v>0</v>
      </c>
      <c r="E14" s="582"/>
      <c r="F14" s="1750">
        <f t="shared" si="1"/>
        <v>0</v>
      </c>
    </row>
    <row r="15" spans="1:6" ht="13.7" customHeight="1" x14ac:dyDescent="0.2">
      <c r="A15" s="712" t="s">
        <v>1158</v>
      </c>
      <c r="B15" s="1747">
        <f>SUM('Revenues 9-14'!D9:E9,'Revenues 9-14'!H9)</f>
        <v>0</v>
      </c>
      <c r="C15" s="582"/>
      <c r="D15" s="1750">
        <f t="shared" si="0"/>
        <v>0</v>
      </c>
      <c r="E15" s="582"/>
      <c r="F15" s="1750">
        <f t="shared" si="1"/>
        <v>0</v>
      </c>
    </row>
    <row r="16" spans="1:6" ht="13.7" customHeight="1" x14ac:dyDescent="0.2">
      <c r="A16" s="712" t="s">
        <v>1159</v>
      </c>
      <c r="B16" s="1747">
        <f>'Revenues 9-14'!G8</f>
        <v>0</v>
      </c>
      <c r="C16" s="582"/>
      <c r="D16" s="1750">
        <f t="shared" si="0"/>
        <v>0</v>
      </c>
      <c r="E16" s="582"/>
      <c r="F16" s="1750">
        <f t="shared" si="1"/>
        <v>0</v>
      </c>
    </row>
    <row r="17" spans="1:6" ht="13.7" customHeight="1" x14ac:dyDescent="0.2">
      <c r="A17" s="712" t="s">
        <v>1160</v>
      </c>
      <c r="B17" s="1747">
        <f>'Revenues 9-14'!C10</f>
        <v>0</v>
      </c>
      <c r="C17" s="582"/>
      <c r="D17" s="1750">
        <f t="shared" si="0"/>
        <v>0</v>
      </c>
      <c r="E17" s="582"/>
      <c r="F17" s="1750">
        <f t="shared" si="1"/>
        <v>0</v>
      </c>
    </row>
    <row r="18" spans="1:6" ht="13.7" customHeight="1" x14ac:dyDescent="0.2">
      <c r="A18" s="712" t="s">
        <v>762</v>
      </c>
      <c r="B18" s="1747">
        <f>SUM('Revenues 9-14'!C11:K11)</f>
        <v>0</v>
      </c>
      <c r="C18" s="582"/>
      <c r="D18" s="1750">
        <f t="shared" si="0"/>
        <v>0</v>
      </c>
      <c r="E18" s="582"/>
      <c r="F18" s="1750">
        <f t="shared" si="1"/>
        <v>0</v>
      </c>
    </row>
    <row r="19" spans="1:6" ht="13.7" customHeight="1" thickBot="1" x14ac:dyDescent="0.25">
      <c r="A19" s="1751" t="s">
        <v>1161</v>
      </c>
      <c r="B19" s="1748">
        <f>SUM(B4:B18)</f>
        <v>0</v>
      </c>
      <c r="C19" s="1748">
        <f>SUM(C4:C18)</f>
        <v>0</v>
      </c>
      <c r="D19" s="1748">
        <f>SUM(D4:D18)</f>
        <v>0</v>
      </c>
      <c r="E19" s="1748">
        <f>SUM(E4:E18)</f>
        <v>0</v>
      </c>
      <c r="F19" s="1748">
        <f>SUM(F4:F18)</f>
        <v>0</v>
      </c>
    </row>
    <row r="20" spans="1:6" ht="13.5" thickTop="1" x14ac:dyDescent="0.2">
      <c r="B20" s="710"/>
      <c r="F20" s="713"/>
    </row>
    <row r="21" spans="1:6" x14ac:dyDescent="0.2">
      <c r="A21" s="714" t="s">
        <v>1805</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62" t="s">
        <v>629</v>
      </c>
      <c r="B1" s="2263"/>
      <c r="C1" s="718"/>
    </row>
    <row r="2" spans="1:7" ht="33.75" x14ac:dyDescent="0.2">
      <c r="A2" s="2271" t="s">
        <v>1799</v>
      </c>
      <c r="B2" s="2272"/>
      <c r="C2" s="1881" t="s">
        <v>1953</v>
      </c>
      <c r="D2" s="720" t="s">
        <v>1954</v>
      </c>
      <c r="E2" s="720" t="s">
        <v>1955</v>
      </c>
      <c r="F2" s="1881" t="s">
        <v>1956</v>
      </c>
    </row>
    <row r="3" spans="1:7" ht="15.75" customHeight="1" x14ac:dyDescent="0.2">
      <c r="A3" s="2275" t="s">
        <v>1114</v>
      </c>
      <c r="B3" s="2276"/>
      <c r="C3" s="2264"/>
      <c r="D3" s="2265"/>
      <c r="E3" s="2265"/>
      <c r="F3" s="2266"/>
    </row>
    <row r="4" spans="1:7" ht="12.75" customHeight="1" thickBot="1" x14ac:dyDescent="0.25">
      <c r="A4" s="2273" t="s">
        <v>630</v>
      </c>
      <c r="B4" s="2274"/>
      <c r="C4" s="578"/>
      <c r="D4" s="578"/>
      <c r="E4" s="578"/>
      <c r="F4" s="1752">
        <f>SUM(C4+D4)-E4</f>
        <v>0</v>
      </c>
    </row>
    <row r="5" spans="1:7" ht="15.75" customHeight="1" thickTop="1" x14ac:dyDescent="0.2">
      <c r="A5" s="2258" t="s">
        <v>1110</v>
      </c>
      <c r="B5" s="2259"/>
      <c r="C5" s="2267"/>
      <c r="D5" s="2268"/>
      <c r="E5" s="2268"/>
      <c r="F5" s="2269"/>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260" t="s">
        <v>631</v>
      </c>
      <c r="B15" s="2261"/>
      <c r="C15" s="1752">
        <f>SUM(C6:C14)</f>
        <v>0</v>
      </c>
      <c r="D15" s="1752">
        <f>SUM(D6:D14)</f>
        <v>0</v>
      </c>
      <c r="E15" s="1752">
        <f>SUM(E6:E14)</f>
        <v>0</v>
      </c>
      <c r="F15" s="1752">
        <f>SUM(F6:F14)</f>
        <v>0</v>
      </c>
      <c r="G15" s="549"/>
    </row>
    <row r="16" spans="1:7" s="202" customFormat="1" ht="15.75" customHeight="1" thickTop="1" x14ac:dyDescent="0.2">
      <c r="A16" s="2270" t="s">
        <v>1111</v>
      </c>
      <c r="B16" s="2259"/>
      <c r="C16" s="2267"/>
      <c r="D16" s="2268"/>
      <c r="E16" s="2268"/>
      <c r="F16" s="2269"/>
    </row>
    <row r="17" spans="1:11" ht="12.75" customHeight="1" thickBot="1" x14ac:dyDescent="0.25">
      <c r="A17" s="2283" t="s">
        <v>64</v>
      </c>
      <c r="B17" s="2284"/>
      <c r="C17" s="723"/>
      <c r="D17" s="582"/>
      <c r="E17" s="723"/>
      <c r="F17" s="1752">
        <f>SUM(C17+D17)-E17</f>
        <v>0</v>
      </c>
    </row>
    <row r="18" spans="1:11" ht="12.75" customHeight="1" thickTop="1" thickBot="1" x14ac:dyDescent="0.25">
      <c r="A18" s="2283" t="s">
        <v>6</v>
      </c>
      <c r="B18" s="2284"/>
      <c r="C18" s="723"/>
      <c r="D18" s="582"/>
      <c r="E18" s="723"/>
      <c r="F18" s="1752">
        <f>SUM(C18+D18)-E18</f>
        <v>0</v>
      </c>
    </row>
    <row r="19" spans="1:11" ht="12.75" customHeight="1" thickTop="1" thickBot="1" x14ac:dyDescent="0.25">
      <c r="A19" s="2283" t="s">
        <v>388</v>
      </c>
      <c r="B19" s="2284"/>
      <c r="C19" s="723"/>
      <c r="D19" s="582"/>
      <c r="E19" s="723"/>
      <c r="F19" s="1752">
        <f>SUM(C19+D19)-E19</f>
        <v>0</v>
      </c>
    </row>
    <row r="20" spans="1:11" ht="12.75" customHeight="1" thickTop="1" thickBot="1" x14ac:dyDescent="0.25">
      <c r="A20" s="2283" t="s">
        <v>448</v>
      </c>
      <c r="B20" s="2284"/>
      <c r="C20" s="723"/>
      <c r="D20" s="582"/>
      <c r="E20" s="723"/>
      <c r="F20" s="1752">
        <f>SUM(C20+D20)-E20</f>
        <v>0</v>
      </c>
    </row>
    <row r="21" spans="1:11" ht="14.25" thickTop="1" thickBot="1" x14ac:dyDescent="0.25">
      <c r="A21" s="2260" t="s">
        <v>632</v>
      </c>
      <c r="B21" s="2261"/>
      <c r="C21" s="1752">
        <f>SUM(C17:C20)</f>
        <v>0</v>
      </c>
      <c r="D21" s="1752">
        <f>SUM(D17:D20)</f>
        <v>0</v>
      </c>
      <c r="E21" s="1752">
        <f>SUM(E17:E20)</f>
        <v>0</v>
      </c>
      <c r="F21" s="1752">
        <f>SUM(F17:F20)</f>
        <v>0</v>
      </c>
      <c r="G21" s="549"/>
    </row>
    <row r="22" spans="1:11" ht="15.75" customHeight="1" thickTop="1" x14ac:dyDescent="0.2">
      <c r="A22" s="2285" t="s">
        <v>1112</v>
      </c>
      <c r="B22" s="2259"/>
      <c r="C22" s="2267"/>
      <c r="D22" s="2268"/>
      <c r="E22" s="2268"/>
      <c r="F22" s="2269"/>
    </row>
    <row r="23" spans="1:11" ht="13.5" thickBot="1" x14ac:dyDescent="0.25">
      <c r="A23" s="2273" t="s">
        <v>633</v>
      </c>
      <c r="B23" s="2274"/>
      <c r="C23" s="578"/>
      <c r="D23" s="578"/>
      <c r="E23" s="578"/>
      <c r="F23" s="1752">
        <f>SUM(C23+D23)-E23</f>
        <v>0</v>
      </c>
      <c r="G23" s="549"/>
    </row>
    <row r="24" spans="1:11" ht="15.75" customHeight="1" thickTop="1" x14ac:dyDescent="0.2">
      <c r="A24" s="2285" t="s">
        <v>1113</v>
      </c>
      <c r="B24" s="2259"/>
      <c r="C24" s="2267"/>
      <c r="D24" s="2268"/>
      <c r="E24" s="2268"/>
      <c r="F24" s="2269"/>
    </row>
    <row r="25" spans="1:11" ht="13.5" thickBot="1" x14ac:dyDescent="0.25">
      <c r="A25" s="2273" t="s">
        <v>634</v>
      </c>
      <c r="B25" s="2274"/>
      <c r="C25" s="578"/>
      <c r="D25" s="578"/>
      <c r="E25" s="578"/>
      <c r="F25" s="1752">
        <f>SUM(C25+D25)-E25</f>
        <v>0</v>
      </c>
      <c r="G25" s="549"/>
    </row>
    <row r="26" spans="1:11" ht="15.75" customHeight="1" thickTop="1" x14ac:dyDescent="0.2">
      <c r="A26" s="2258" t="s">
        <v>657</v>
      </c>
      <c r="B26" s="2259"/>
      <c r="C26" s="724"/>
      <c r="D26" s="724"/>
      <c r="E26" s="724"/>
      <c r="F26" s="725"/>
    </row>
    <row r="27" spans="1:11" ht="13.5" thickBot="1" x14ac:dyDescent="0.25">
      <c r="A27" s="2260" t="s">
        <v>1070</v>
      </c>
      <c r="B27" s="2261"/>
      <c r="C27" s="582"/>
      <c r="D27" s="582"/>
      <c r="E27" s="582"/>
      <c r="F27" s="1752">
        <f>SUM(C27+D27)-E27</f>
        <v>0</v>
      </c>
      <c r="G27" s="549"/>
    </row>
    <row r="28" spans="1:11" ht="7.5" customHeight="1" thickTop="1" x14ac:dyDescent="0.2">
      <c r="A28" s="590"/>
    </row>
    <row r="29" spans="1:11" ht="23.25" customHeight="1" x14ac:dyDescent="0.2">
      <c r="A29" s="2286" t="s">
        <v>582</v>
      </c>
      <c r="B29" s="2263"/>
      <c r="C29" s="726"/>
      <c r="D29" s="726"/>
      <c r="E29" s="726"/>
      <c r="F29" s="726"/>
      <c r="G29" s="726"/>
      <c r="H29" s="726"/>
      <c r="I29" s="726"/>
      <c r="J29" s="726"/>
    </row>
    <row r="30" spans="1:11" ht="33.75" x14ac:dyDescent="0.2">
      <c r="A30" s="1526" t="s">
        <v>1071</v>
      </c>
      <c r="B30" s="727" t="s">
        <v>1124</v>
      </c>
      <c r="C30" s="1882" t="s">
        <v>583</v>
      </c>
      <c r="D30" s="1882" t="s">
        <v>1673</v>
      </c>
      <c r="E30" s="1882" t="s">
        <v>1957</v>
      </c>
      <c r="F30" s="1882" t="s">
        <v>1958</v>
      </c>
      <c r="G30" s="1882" t="s">
        <v>1908</v>
      </c>
      <c r="H30" s="1882" t="s">
        <v>1959</v>
      </c>
      <c r="I30" s="1882" t="s">
        <v>1960</v>
      </c>
      <c r="J30" s="1883" t="s">
        <v>2</v>
      </c>
      <c r="K30" s="728"/>
    </row>
    <row r="31" spans="1:11" ht="12" customHeight="1" x14ac:dyDescent="0.2">
      <c r="A31" s="729"/>
      <c r="B31" s="730"/>
      <c r="C31" s="731"/>
      <c r="D31" s="732"/>
      <c r="E31" s="731"/>
      <c r="F31" s="731"/>
      <c r="G31" s="731"/>
      <c r="H31" s="731"/>
      <c r="I31" s="1753">
        <f>((E31+F31)-H31)+G31</f>
        <v>0</v>
      </c>
      <c r="J31" s="731"/>
      <c r="K31" s="733"/>
    </row>
    <row r="32" spans="1:11" ht="12" customHeight="1" x14ac:dyDescent="0.2">
      <c r="A32" s="729"/>
      <c r="B32" s="730"/>
      <c r="C32" s="731"/>
      <c r="D32" s="732"/>
      <c r="E32" s="731"/>
      <c r="F32" s="731"/>
      <c r="G32" s="731"/>
      <c r="H32" s="731"/>
      <c r="I32" s="1753">
        <f>((E32+F32)-H32)+G32</f>
        <v>0</v>
      </c>
      <c r="J32" s="731"/>
      <c r="K32" s="733"/>
    </row>
    <row r="33" spans="1:11" ht="12" customHeight="1" x14ac:dyDescent="0.2">
      <c r="A33" s="729"/>
      <c r="B33" s="730"/>
      <c r="C33" s="731"/>
      <c r="D33" s="732"/>
      <c r="E33" s="731"/>
      <c r="F33" s="731"/>
      <c r="G33" s="731"/>
      <c r="H33" s="731"/>
      <c r="I33" s="1753">
        <f t="shared" ref="I33:I48" si="1">((E33+F33)-H33)+G33</f>
        <v>0</v>
      </c>
      <c r="J33" s="731"/>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0</v>
      </c>
      <c r="D49" s="742"/>
      <c r="E49" s="1753">
        <f t="shared" ref="E49:J49" si="2">SUM(E31:E48)</f>
        <v>0</v>
      </c>
      <c r="F49" s="1753">
        <f t="shared" si="2"/>
        <v>0</v>
      </c>
      <c r="G49" s="1753">
        <f t="shared" si="2"/>
        <v>0</v>
      </c>
      <c r="H49" s="1753">
        <f t="shared" si="2"/>
        <v>0</v>
      </c>
      <c r="I49" s="1753">
        <f t="shared" si="2"/>
        <v>0</v>
      </c>
      <c r="J49" s="1753">
        <f t="shared" si="2"/>
        <v>0</v>
      </c>
      <c r="K49" s="734"/>
    </row>
    <row r="50" spans="1:11" ht="6" customHeight="1" x14ac:dyDescent="0.2">
      <c r="A50" s="743"/>
      <c r="B50" s="733"/>
      <c r="C50" s="733"/>
      <c r="D50" s="733"/>
      <c r="E50" s="733"/>
      <c r="F50" s="733"/>
      <c r="G50" s="733"/>
      <c r="H50" s="733"/>
      <c r="I50" s="733"/>
      <c r="J50" s="743"/>
    </row>
    <row r="51" spans="1:11" x14ac:dyDescent="0.2">
      <c r="A51" s="744" t="s">
        <v>1804</v>
      </c>
      <c r="B51" s="743"/>
      <c r="C51" s="734"/>
      <c r="D51" s="734"/>
      <c r="E51" s="734"/>
      <c r="F51" s="734"/>
      <c r="G51" s="734"/>
      <c r="H51" s="733"/>
      <c r="I51" s="733"/>
      <c r="J51" s="743"/>
    </row>
    <row r="52" spans="1:11" ht="11.25" customHeight="1" x14ac:dyDescent="0.2">
      <c r="A52" s="745" t="s">
        <v>912</v>
      </c>
      <c r="B52" s="2277" t="s">
        <v>584</v>
      </c>
      <c r="C52" s="2278"/>
      <c r="D52" s="2278"/>
      <c r="E52" s="746" t="s">
        <v>845</v>
      </c>
      <c r="F52" s="2279"/>
      <c r="G52" s="2280"/>
      <c r="H52" s="733"/>
      <c r="I52" s="733"/>
      <c r="J52" s="743"/>
    </row>
    <row r="53" spans="1:11" ht="11.25" customHeight="1" x14ac:dyDescent="0.2">
      <c r="A53" s="747" t="s">
        <v>913</v>
      </c>
      <c r="B53" s="748" t="s">
        <v>951</v>
      </c>
      <c r="C53" s="743"/>
      <c r="D53" s="734"/>
      <c r="E53" s="746" t="s">
        <v>497</v>
      </c>
      <c r="F53" s="2281"/>
      <c r="G53" s="2282"/>
      <c r="H53" s="733"/>
      <c r="I53" s="733"/>
      <c r="J53" s="743"/>
    </row>
    <row r="54" spans="1:11" ht="11.25" customHeight="1" x14ac:dyDescent="0.2">
      <c r="A54" s="749" t="s">
        <v>914</v>
      </c>
      <c r="B54" s="744" t="s">
        <v>952</v>
      </c>
      <c r="C54" s="743"/>
      <c r="D54" s="734"/>
      <c r="E54" s="746" t="s">
        <v>498</v>
      </c>
      <c r="F54" s="2281"/>
      <c r="G54" s="2282"/>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11" t="s">
        <v>856</v>
      </c>
      <c r="B1" s="2312"/>
      <c r="C1" s="2312"/>
      <c r="D1" s="2312"/>
      <c r="E1" s="2312"/>
      <c r="F1" s="2312"/>
      <c r="G1" s="2313"/>
      <c r="H1" s="1527"/>
      <c r="I1" s="757"/>
      <c r="J1" s="433"/>
    </row>
    <row r="2" spans="1:11" ht="26.25" x14ac:dyDescent="0.2">
      <c r="A2" s="2290" t="s">
        <v>1677</v>
      </c>
      <c r="B2" s="2291"/>
      <c r="C2" s="2291"/>
      <c r="D2" s="2291"/>
      <c r="E2" s="2292"/>
      <c r="F2" s="758" t="s">
        <v>904</v>
      </c>
      <c r="G2" s="759" t="s">
        <v>1674</v>
      </c>
      <c r="H2" s="759" t="s">
        <v>410</v>
      </c>
      <c r="I2" s="759" t="s">
        <v>1158</v>
      </c>
      <c r="J2" s="759" t="s">
        <v>1809</v>
      </c>
      <c r="K2" s="759" t="s">
        <v>138</v>
      </c>
    </row>
    <row r="3" spans="1:11" x14ac:dyDescent="0.2">
      <c r="A3" s="2293" t="s">
        <v>1961</v>
      </c>
      <c r="B3" s="2294"/>
      <c r="C3" s="2294"/>
      <c r="D3" s="2294"/>
      <c r="E3" s="2295"/>
      <c r="F3" s="760"/>
      <c r="G3" s="761"/>
      <c r="H3" s="761"/>
      <c r="I3" s="761"/>
      <c r="J3" s="762"/>
      <c r="K3" s="762"/>
    </row>
    <row r="4" spans="1:11" x14ac:dyDescent="0.2">
      <c r="A4" s="2296" t="s">
        <v>369</v>
      </c>
      <c r="B4" s="2297"/>
      <c r="C4" s="2297"/>
      <c r="D4" s="2297"/>
      <c r="E4" s="2278"/>
      <c r="F4" s="763"/>
      <c r="G4" s="764"/>
      <c r="H4" s="765"/>
      <c r="I4" s="764"/>
      <c r="J4" s="766"/>
      <c r="K4" s="766"/>
    </row>
    <row r="5" spans="1:11" x14ac:dyDescent="0.2">
      <c r="A5" s="2314" t="s">
        <v>1069</v>
      </c>
      <c r="B5" s="2287"/>
      <c r="C5" s="2287"/>
      <c r="D5" s="2287"/>
      <c r="E5" s="2315"/>
      <c r="F5" s="767" t="s">
        <v>848</v>
      </c>
      <c r="G5" s="768"/>
      <c r="H5" s="761"/>
      <c r="I5" s="769"/>
      <c r="J5" s="770"/>
      <c r="K5" s="770"/>
    </row>
    <row r="6" spans="1:11" x14ac:dyDescent="0.2">
      <c r="A6" s="771" t="s">
        <v>720</v>
      </c>
      <c r="B6" s="772"/>
      <c r="C6" s="772"/>
      <c r="D6" s="772"/>
      <c r="E6" s="773"/>
      <c r="F6" s="774" t="s">
        <v>849</v>
      </c>
      <c r="G6" s="761"/>
      <c r="H6" s="761"/>
      <c r="I6" s="761"/>
      <c r="J6" s="762"/>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c r="K8" s="766"/>
    </row>
    <row r="9" spans="1:11" x14ac:dyDescent="0.2">
      <c r="A9" s="775" t="s">
        <v>138</v>
      </c>
      <c r="B9" s="776"/>
      <c r="C9" s="776"/>
      <c r="D9" s="776"/>
      <c r="E9" s="777"/>
      <c r="F9" s="774" t="s">
        <v>853</v>
      </c>
      <c r="G9" s="779"/>
      <c r="H9" s="768"/>
      <c r="I9" s="768"/>
      <c r="J9" s="778"/>
      <c r="K9" s="762"/>
    </row>
    <row r="10" spans="1:11" x14ac:dyDescent="0.2">
      <c r="A10" s="2314" t="s">
        <v>1810</v>
      </c>
      <c r="B10" s="2287"/>
      <c r="C10" s="2287"/>
      <c r="D10" s="2287"/>
      <c r="E10" s="2316"/>
      <c r="F10" s="780" t="s">
        <v>862</v>
      </c>
      <c r="G10" s="779"/>
      <c r="H10" s="781"/>
      <c r="I10" s="761"/>
      <c r="J10" s="762"/>
      <c r="K10" s="762"/>
    </row>
    <row r="11" spans="1:11" x14ac:dyDescent="0.2">
      <c r="A11" s="2314" t="s">
        <v>160</v>
      </c>
      <c r="B11" s="2287"/>
      <c r="C11" s="2287"/>
      <c r="D11" s="2287"/>
      <c r="E11" s="2315"/>
      <c r="F11" s="767" t="s">
        <v>852</v>
      </c>
      <c r="G11" s="768"/>
      <c r="H11" s="761"/>
      <c r="I11" s="761"/>
      <c r="J11" s="762"/>
      <c r="K11" s="770"/>
    </row>
    <row r="12" spans="1:11" ht="13.5" thickBot="1" x14ac:dyDescent="0.25">
      <c r="A12" s="2304" t="s">
        <v>905</v>
      </c>
      <c r="B12" s="2305"/>
      <c r="C12" s="2305"/>
      <c r="D12" s="2305"/>
      <c r="E12" s="2306"/>
      <c r="F12" s="1754"/>
      <c r="G12" s="1755">
        <f>SUM(G5:G11)</f>
        <v>0</v>
      </c>
      <c r="H12" s="1755">
        <f>SUM(H5:H11)</f>
        <v>0</v>
      </c>
      <c r="I12" s="1755">
        <f>SUM(I5:I11)</f>
        <v>0</v>
      </c>
      <c r="J12" s="1755">
        <f>SUM(J5:J11)</f>
        <v>0</v>
      </c>
      <c r="K12" s="1755">
        <f>SUM(K5:K11)</f>
        <v>0</v>
      </c>
    </row>
    <row r="13" spans="1:11" ht="13.5" thickTop="1" x14ac:dyDescent="0.2">
      <c r="A13" s="2298" t="s">
        <v>370</v>
      </c>
      <c r="B13" s="2299"/>
      <c r="C13" s="2299"/>
      <c r="D13" s="2299"/>
      <c r="E13" s="2300"/>
      <c r="F13" s="782"/>
      <c r="G13" s="783"/>
      <c r="H13" s="784"/>
      <c r="I13" s="785"/>
      <c r="J13" s="785"/>
      <c r="K13" s="785"/>
    </row>
    <row r="14" spans="1:11" x14ac:dyDescent="0.2">
      <c r="A14" s="2320" t="s">
        <v>456</v>
      </c>
      <c r="B14" s="2320"/>
      <c r="C14" s="2320"/>
      <c r="D14" s="2320"/>
      <c r="E14" s="2321"/>
      <c r="F14" s="786" t="s">
        <v>854</v>
      </c>
      <c r="G14" s="779"/>
      <c r="H14" s="761"/>
      <c r="I14" s="768"/>
      <c r="J14" s="770"/>
      <c r="K14" s="762"/>
    </row>
    <row r="15" spans="1:11" x14ac:dyDescent="0.2">
      <c r="A15" s="2287" t="s">
        <v>4</v>
      </c>
      <c r="B15" s="2287"/>
      <c r="C15" s="2287"/>
      <c r="D15" s="2287"/>
      <c r="E15" s="2315"/>
      <c r="F15" s="786" t="s">
        <v>855</v>
      </c>
      <c r="G15" s="768"/>
      <c r="H15" s="761"/>
      <c r="I15" s="761"/>
      <c r="J15" s="762"/>
      <c r="K15" s="762"/>
    </row>
    <row r="16" spans="1:11" x14ac:dyDescent="0.2">
      <c r="A16" s="2287" t="s">
        <v>298</v>
      </c>
      <c r="B16" s="2287"/>
      <c r="C16" s="2287"/>
      <c r="D16" s="2287"/>
      <c r="E16" s="2315"/>
      <c r="F16" s="786" t="s">
        <v>923</v>
      </c>
      <c r="G16" s="769"/>
      <c r="H16" s="764"/>
      <c r="I16" s="764"/>
      <c r="J16" s="766"/>
      <c r="K16" s="766"/>
    </row>
    <row r="17" spans="1:11" x14ac:dyDescent="0.2">
      <c r="A17" s="2309" t="s">
        <v>935</v>
      </c>
      <c r="B17" s="2309"/>
      <c r="C17" s="2309"/>
      <c r="D17" s="2309"/>
      <c r="E17" s="2310"/>
      <c r="F17" s="787"/>
      <c r="G17" s="788"/>
      <c r="H17" s="789"/>
      <c r="I17" s="789"/>
      <c r="J17" s="790"/>
      <c r="K17" s="791"/>
    </row>
    <row r="18" spans="1:11" x14ac:dyDescent="0.2">
      <c r="A18" s="2301" t="s">
        <v>368</v>
      </c>
      <c r="B18" s="2302"/>
      <c r="C18" s="2302"/>
      <c r="D18" s="2302"/>
      <c r="E18" s="2303"/>
      <c r="F18" s="786" t="s">
        <v>932</v>
      </c>
      <c r="G18" s="779"/>
      <c r="H18" s="779"/>
      <c r="I18" s="779"/>
      <c r="J18" s="762"/>
      <c r="K18" s="792"/>
    </row>
    <row r="19" spans="1:11" ht="21.75" customHeight="1" x14ac:dyDescent="0.2">
      <c r="A19" s="2322" t="s">
        <v>1806</v>
      </c>
      <c r="B19" s="2322"/>
      <c r="C19" s="2322"/>
      <c r="D19" s="2322"/>
      <c r="E19" s="2323"/>
      <c r="F19" s="786" t="s">
        <v>933</v>
      </c>
      <c r="G19" s="779"/>
      <c r="H19" s="779"/>
      <c r="I19" s="779"/>
      <c r="J19" s="762"/>
      <c r="K19" s="792"/>
    </row>
    <row r="20" spans="1:11" x14ac:dyDescent="0.2">
      <c r="A20" s="2301" t="s">
        <v>1811</v>
      </c>
      <c r="B20" s="2302"/>
      <c r="C20" s="2302"/>
      <c r="D20" s="2302"/>
      <c r="E20" s="2303"/>
      <c r="F20" s="786" t="s">
        <v>934</v>
      </c>
      <c r="G20" s="779"/>
      <c r="H20" s="779"/>
      <c r="I20" s="779"/>
      <c r="J20" s="762"/>
      <c r="K20" s="792"/>
    </row>
    <row r="21" spans="1:11" ht="13.5" thickBot="1" x14ac:dyDescent="0.25">
      <c r="A21" s="2307" t="s">
        <v>638</v>
      </c>
      <c r="B21" s="2307"/>
      <c r="C21" s="2307"/>
      <c r="D21" s="2307"/>
      <c r="E21" s="2307"/>
      <c r="F21" s="1756"/>
      <c r="G21" s="789"/>
      <c r="H21" s="793"/>
      <c r="I21" s="793"/>
      <c r="J21" s="1757">
        <f>SUM(J18:J20)</f>
        <v>0</v>
      </c>
      <c r="K21" s="790"/>
    </row>
    <row r="22" spans="1:11" ht="13.5" thickTop="1" x14ac:dyDescent="0.2">
      <c r="A22" s="2287" t="s">
        <v>1812</v>
      </c>
      <c r="B22" s="2287"/>
      <c r="C22" s="2287"/>
      <c r="D22" s="2287"/>
      <c r="E22" s="2315"/>
      <c r="F22" s="786" t="s">
        <v>862</v>
      </c>
      <c r="G22" s="779"/>
      <c r="H22" s="761"/>
      <c r="I22" s="761"/>
      <c r="J22" s="794"/>
      <c r="K22" s="762"/>
    </row>
    <row r="23" spans="1:11" ht="13.5" thickBot="1" x14ac:dyDescent="0.25">
      <c r="A23" s="2308" t="s">
        <v>906</v>
      </c>
      <c r="B23" s="2307"/>
      <c r="C23" s="2307"/>
      <c r="D23" s="2307"/>
      <c r="E23" s="2307"/>
      <c r="F23" s="1758"/>
      <c r="G23" s="1755">
        <f>SUM(G14:G16,G21,G22)</f>
        <v>0</v>
      </c>
      <c r="H23" s="1755">
        <f>SUM(H14:H16,H21,H22)</f>
        <v>0</v>
      </c>
      <c r="I23" s="1755">
        <f>SUM(I14:I16,I21,I22)</f>
        <v>0</v>
      </c>
      <c r="J23" s="1755">
        <f>SUM(J14:J16,J21,J22)</f>
        <v>0</v>
      </c>
      <c r="K23" s="1755">
        <f>SUM(K14:K16,K21,K22)</f>
        <v>0</v>
      </c>
    </row>
    <row r="24" spans="1:11" ht="14.25" thickTop="1" thickBot="1" x14ac:dyDescent="0.25">
      <c r="A24" s="2308" t="s">
        <v>1962</v>
      </c>
      <c r="B24" s="2307"/>
      <c r="C24" s="2307"/>
      <c r="D24" s="2307"/>
      <c r="E24" s="2307"/>
      <c r="F24" s="1759"/>
      <c r="G24" s="1760">
        <f>SUM(G3,G12)-G23</f>
        <v>0</v>
      </c>
      <c r="H24" s="1760">
        <f>SUM(H3,H12)-H23</f>
        <v>0</v>
      </c>
      <c r="I24" s="1760">
        <f>SUM(I3,I12)-I23</f>
        <v>0</v>
      </c>
      <c r="J24" s="1760">
        <f>SUM(J3,J12)-J23</f>
        <v>0</v>
      </c>
      <c r="K24" s="1760">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1907</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317"/>
      <c r="I31" s="2318"/>
      <c r="J31" s="2318"/>
      <c r="K31" s="2318"/>
    </row>
    <row r="32" spans="1:11" x14ac:dyDescent="0.2">
      <c r="A32" s="806"/>
      <c r="B32" s="237"/>
      <c r="C32" s="237"/>
      <c r="D32" s="237"/>
      <c r="E32" s="802"/>
      <c r="F32" s="808" t="s">
        <v>540</v>
      </c>
      <c r="G32" s="761"/>
      <c r="H32" s="2319"/>
      <c r="I32" s="2318"/>
      <c r="J32" s="2318"/>
      <c r="K32" s="2318"/>
    </row>
    <row r="33" spans="1:11" ht="1.5" customHeight="1" x14ac:dyDescent="0.2">
      <c r="A33" s="809" t="s">
        <v>1169</v>
      </c>
      <c r="B33" s="364"/>
      <c r="C33" s="364"/>
      <c r="D33" s="364"/>
      <c r="E33" s="364"/>
      <c r="F33" s="364"/>
      <c r="G33" s="810"/>
      <c r="H33" s="2319"/>
      <c r="I33" s="2318"/>
      <c r="J33" s="2318"/>
      <c r="K33" s="2318"/>
    </row>
    <row r="34" spans="1:11" x14ac:dyDescent="0.2">
      <c r="A34" s="811" t="s">
        <v>1813</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87" t="s">
        <v>541</v>
      </c>
      <c r="B41" s="2288"/>
      <c r="C41" s="2288"/>
      <c r="D41" s="2288"/>
      <c r="E41" s="2288"/>
      <c r="F41" s="2289"/>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1807</v>
      </c>
      <c r="B46" s="408" t="s">
        <v>1675</v>
      </c>
    </row>
    <row r="47" spans="1:11" s="820" customFormat="1" ht="12.75" customHeight="1" x14ac:dyDescent="0.2">
      <c r="A47" s="818"/>
      <c r="B47" s="819" t="s">
        <v>1676</v>
      </c>
      <c r="E47" s="819"/>
      <c r="K47" s="821"/>
    </row>
    <row r="48" spans="1:11" ht="12.75" customHeight="1" x14ac:dyDescent="0.2">
      <c r="A48" s="1529"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26" t="s">
        <v>1906</v>
      </c>
      <c r="B1" s="2327"/>
      <c r="C1" s="2328"/>
      <c r="D1" s="823"/>
      <c r="E1" s="824"/>
      <c r="F1" s="824"/>
      <c r="G1" s="825"/>
      <c r="H1" s="826"/>
      <c r="I1" s="827"/>
      <c r="J1" s="2324"/>
      <c r="K1" s="2325"/>
      <c r="L1" s="2325"/>
    </row>
    <row r="2" spans="1:14" ht="69.75" customHeight="1" x14ac:dyDescent="0.2">
      <c r="A2" s="828" t="s">
        <v>1678</v>
      </c>
      <c r="B2" s="829" t="s">
        <v>378</v>
      </c>
      <c r="C2" s="830" t="s">
        <v>1963</v>
      </c>
      <c r="D2" s="830" t="s">
        <v>1964</v>
      </c>
      <c r="E2" s="830" t="s">
        <v>1965</v>
      </c>
      <c r="F2" s="830" t="s">
        <v>1966</v>
      </c>
      <c r="G2" s="830" t="s">
        <v>605</v>
      </c>
      <c r="H2" s="830" t="s">
        <v>1967</v>
      </c>
      <c r="I2" s="830" t="s">
        <v>1968</v>
      </c>
      <c r="J2" s="830" t="s">
        <v>1969</v>
      </c>
      <c r="K2" s="830" t="s">
        <v>1970</v>
      </c>
      <c r="L2" s="830" t="s">
        <v>1971</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55659</v>
      </c>
      <c r="D5" s="838"/>
      <c r="E5" s="838"/>
      <c r="F5" s="1757">
        <f>(C5+D5)-E5</f>
        <v>55659</v>
      </c>
      <c r="G5" s="834"/>
      <c r="H5" s="839"/>
      <c r="I5" s="839"/>
      <c r="J5" s="839"/>
      <c r="K5" s="790"/>
      <c r="L5" s="1766">
        <f>F5-K5</f>
        <v>55659</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2210125</v>
      </c>
      <c r="D8" s="841">
        <v>80459</v>
      </c>
      <c r="E8" s="841"/>
      <c r="F8" s="1757">
        <f>(C8+D8)-E8</f>
        <v>2290584</v>
      </c>
      <c r="G8" s="840">
        <v>50</v>
      </c>
      <c r="H8" s="762">
        <v>1400012</v>
      </c>
      <c r="I8" s="762">
        <v>45812</v>
      </c>
      <c r="J8" s="762"/>
      <c r="K8" s="1766">
        <f>(H8+I8)-J8</f>
        <v>1445824</v>
      </c>
      <c r="L8" s="1766">
        <f>F8-K8</f>
        <v>844760</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155296</v>
      </c>
      <c r="D10" s="843">
        <v>19890</v>
      </c>
      <c r="E10" s="843"/>
      <c r="F10" s="1761">
        <f>(C10+D10)-E10</f>
        <v>175186</v>
      </c>
      <c r="G10" s="840">
        <v>20</v>
      </c>
      <c r="H10" s="844">
        <v>125529</v>
      </c>
      <c r="I10" s="844">
        <v>8760</v>
      </c>
      <c r="J10" s="844"/>
      <c r="K10" s="1766">
        <f>(H10+I10)-J10</f>
        <v>134289</v>
      </c>
      <c r="L10" s="1766">
        <f>F10-K10</f>
        <v>40897</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592710</v>
      </c>
      <c r="D12" s="841">
        <v>12783</v>
      </c>
      <c r="E12" s="841"/>
      <c r="F12" s="1757">
        <f>(C12+D12)-E12</f>
        <v>605493</v>
      </c>
      <c r="G12" s="840">
        <v>10</v>
      </c>
      <c r="H12" s="762">
        <v>477244</v>
      </c>
      <c r="I12" s="762">
        <v>60550</v>
      </c>
      <c r="J12" s="762"/>
      <c r="K12" s="1766">
        <f>(H12+I12)-J12</f>
        <v>537794</v>
      </c>
      <c r="L12" s="1766">
        <f>F12-K12</f>
        <v>67699</v>
      </c>
    </row>
    <row r="13" spans="1:14" ht="14.25" thickTop="1" thickBot="1" x14ac:dyDescent="0.25">
      <c r="A13" s="845" t="s">
        <v>1122</v>
      </c>
      <c r="B13" s="837">
        <v>252</v>
      </c>
      <c r="C13" s="841">
        <v>0</v>
      </c>
      <c r="D13" s="841"/>
      <c r="E13" s="841"/>
      <c r="F13" s="1757">
        <f>(C13+D13)-E13</f>
        <v>0</v>
      </c>
      <c r="G13" s="840">
        <v>5</v>
      </c>
      <c r="H13" s="762">
        <v>0</v>
      </c>
      <c r="I13" s="762"/>
      <c r="J13" s="762"/>
      <c r="K13" s="1766">
        <f>(H13+I13)-J13</f>
        <v>0</v>
      </c>
      <c r="L13" s="1766">
        <f>F13-K13</f>
        <v>0</v>
      </c>
    </row>
    <row r="14" spans="1:14" ht="14.25" thickTop="1" thickBot="1" x14ac:dyDescent="0.25">
      <c r="A14" s="845" t="s">
        <v>1123</v>
      </c>
      <c r="B14" s="837">
        <v>253</v>
      </c>
      <c r="C14" s="762">
        <v>0</v>
      </c>
      <c r="D14" s="762"/>
      <c r="E14" s="762"/>
      <c r="F14" s="1757">
        <f>(C14+D14)-E14</f>
        <v>0</v>
      </c>
      <c r="G14" s="840">
        <v>3</v>
      </c>
      <c r="H14" s="762">
        <v>0</v>
      </c>
      <c r="I14" s="762"/>
      <c r="J14" s="762"/>
      <c r="K14" s="1766">
        <f>(H14+I14)-J14</f>
        <v>0</v>
      </c>
      <c r="L14" s="1766">
        <f>F14-K14</f>
        <v>0</v>
      </c>
    </row>
    <row r="15" spans="1:14" ht="15" customHeight="1" thickTop="1" thickBot="1" x14ac:dyDescent="0.25">
      <c r="A15" s="1628" t="s">
        <v>528</v>
      </c>
      <c r="B15" s="1627">
        <v>260</v>
      </c>
      <c r="C15" s="841">
        <v>0</v>
      </c>
      <c r="D15" s="841"/>
      <c r="E15" s="841"/>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3013790</v>
      </c>
      <c r="D16" s="1757">
        <f>SUM(D3,D5:D6,D8:D10,D12:D15)</f>
        <v>113132</v>
      </c>
      <c r="E16" s="1757">
        <f>SUM(E3,E5:E6,E8:E10,E12:E15)</f>
        <v>0</v>
      </c>
      <c r="F16" s="1757">
        <f>SUM(F3,F5:F6,F8:F10,F12:F15)</f>
        <v>3126922</v>
      </c>
      <c r="G16" s="840"/>
      <c r="H16" s="1757">
        <f>SUM(H3,H6,H8:H10,H12:H14,)</f>
        <v>2002785</v>
      </c>
      <c r="I16" s="1757">
        <f>SUM(I3,I6,I8:I10,I12:I14,)</f>
        <v>115122</v>
      </c>
      <c r="J16" s="1757">
        <f>SUM(J3,J6,J8:J10,J12:J14,)</f>
        <v>0</v>
      </c>
      <c r="K16" s="1757">
        <f>(H16+I16)-J16</f>
        <v>2117907</v>
      </c>
      <c r="L16" s="1757">
        <f>F16-K16</f>
        <v>1009015</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9290</v>
      </c>
      <c r="G17" s="834">
        <v>10</v>
      </c>
      <c r="H17" s="766"/>
      <c r="I17" s="1766">
        <f>F17/G17</f>
        <v>929</v>
      </c>
      <c r="J17" s="766"/>
      <c r="K17" s="792"/>
      <c r="L17" s="792"/>
    </row>
    <row r="18" spans="1:12" ht="14.25" thickTop="1" thickBot="1" x14ac:dyDescent="0.25">
      <c r="A18" s="1764" t="s">
        <v>685</v>
      </c>
      <c r="B18" s="1765"/>
      <c r="C18" s="768"/>
      <c r="D18" s="768"/>
      <c r="E18" s="768"/>
      <c r="F18" s="847"/>
      <c r="G18" s="848"/>
      <c r="H18" s="770"/>
      <c r="I18" s="1757">
        <f>SUM(I16,I17)</f>
        <v>116051</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332" t="s">
        <v>1972</v>
      </c>
      <c r="B1" s="2333"/>
      <c r="C1" s="2333"/>
      <c r="D1" s="2333"/>
      <c r="E1" s="2333"/>
      <c r="F1" s="2334"/>
      <c r="G1" s="852"/>
    </row>
    <row r="2" spans="1:7" ht="15" customHeight="1" thickBot="1" x14ac:dyDescent="0.25">
      <c r="A2" s="2335" t="s">
        <v>477</v>
      </c>
      <c r="B2" s="2336"/>
      <c r="C2" s="2336"/>
      <c r="D2" s="2336"/>
      <c r="E2" s="2336"/>
      <c r="F2" s="2337"/>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338"/>
      <c r="B5" s="2339"/>
      <c r="C5" s="2339"/>
      <c r="D5" s="2339"/>
      <c r="E5" s="2339"/>
      <c r="F5" s="2339"/>
    </row>
    <row r="6" spans="1:7" ht="13.5" customHeight="1" thickBot="1" x14ac:dyDescent="0.25">
      <c r="A6" s="2329" t="s">
        <v>1104</v>
      </c>
      <c r="B6" s="2330"/>
      <c r="C6" s="2330"/>
      <c r="D6" s="2330"/>
      <c r="E6" s="2330"/>
      <c r="F6" s="2331"/>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10026638</v>
      </c>
      <c r="G8" s="862"/>
    </row>
    <row r="9" spans="1:7" x14ac:dyDescent="0.2">
      <c r="A9" s="866" t="s">
        <v>460</v>
      </c>
      <c r="B9" s="867" t="s">
        <v>1874</v>
      </c>
      <c r="C9" s="868"/>
      <c r="D9" s="866" t="s">
        <v>501</v>
      </c>
      <c r="E9" s="865"/>
      <c r="F9" s="1906">
        <f>'Expenditures 15-22'!K151</f>
        <v>0</v>
      </c>
      <c r="G9" s="869"/>
    </row>
    <row r="10" spans="1:7" x14ac:dyDescent="0.2">
      <c r="A10" s="866" t="s">
        <v>499</v>
      </c>
      <c r="B10" s="867" t="s">
        <v>1875</v>
      </c>
      <c r="C10" s="868"/>
      <c r="D10" s="866" t="s">
        <v>501</v>
      </c>
      <c r="E10" s="865"/>
      <c r="F10" s="1906">
        <f>'Expenditures 15-22'!K174</f>
        <v>0</v>
      </c>
      <c r="G10" s="869"/>
    </row>
    <row r="11" spans="1:7" x14ac:dyDescent="0.2">
      <c r="A11" s="866" t="s">
        <v>461</v>
      </c>
      <c r="B11" s="867" t="s">
        <v>1876</v>
      </c>
      <c r="C11" s="868"/>
      <c r="D11" s="866" t="s">
        <v>501</v>
      </c>
      <c r="E11" s="865"/>
      <c r="F11" s="1906">
        <f>'Expenditures 15-22'!K210</f>
        <v>10675</v>
      </c>
      <c r="G11" s="869"/>
    </row>
    <row r="12" spans="1:7" x14ac:dyDescent="0.2">
      <c r="A12" s="866" t="s">
        <v>462</v>
      </c>
      <c r="B12" s="867" t="s">
        <v>1877</v>
      </c>
      <c r="C12" s="868"/>
      <c r="D12" s="866" t="s">
        <v>501</v>
      </c>
      <c r="E12" s="865"/>
      <c r="F12" s="1906">
        <f>'Expenditures 15-22'!K295</f>
        <v>0</v>
      </c>
      <c r="G12" s="869"/>
    </row>
    <row r="13" spans="1:7" x14ac:dyDescent="0.2">
      <c r="A13" s="866" t="s">
        <v>106</v>
      </c>
      <c r="B13" s="867" t="s">
        <v>1878</v>
      </c>
      <c r="C13" s="868"/>
      <c r="D13" s="866" t="s">
        <v>501</v>
      </c>
      <c r="E13" s="865"/>
      <c r="F13" s="1906">
        <f>'Expenditures 15-22'!K342</f>
        <v>0</v>
      </c>
      <c r="G13" s="870"/>
    </row>
    <row r="14" spans="1:7" ht="12" customHeight="1" thickBot="1" x14ac:dyDescent="0.25">
      <c r="A14" s="1767"/>
      <c r="B14" s="1768"/>
      <c r="C14" s="1769"/>
      <c r="D14" s="1770" t="s">
        <v>501</v>
      </c>
      <c r="E14" s="1771" t="s">
        <v>958</v>
      </c>
      <c r="F14" s="1772">
        <f>SUM(F8:F13)</f>
        <v>10037313</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1996</v>
      </c>
      <c r="C30" s="877">
        <f>'Revenues 9-14'!B150</f>
        <v>3499</v>
      </c>
      <c r="D30" s="878" t="str">
        <f>'Revenues 9-14'!A150</f>
        <v>Adult Ed - Other (Describe &amp; Itemize)</v>
      </c>
      <c r="E30" s="865"/>
      <c r="F30" s="1911">
        <f>('Revenues 9-14'!D150+'Revenues 9-14'!F150)</f>
        <v>0</v>
      </c>
      <c r="G30" s="862"/>
    </row>
    <row r="31" spans="1:7" x14ac:dyDescent="0.2">
      <c r="A31" s="866" t="s">
        <v>1097</v>
      </c>
      <c r="B31" s="867" t="s">
        <v>1997</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1998</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1999</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93327</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0</v>
      </c>
      <c r="G52" s="862"/>
    </row>
    <row r="53" spans="1:7" x14ac:dyDescent="0.2">
      <c r="A53" s="866" t="s">
        <v>459</v>
      </c>
      <c r="B53" s="866" t="s">
        <v>1475</v>
      </c>
      <c r="C53" s="886">
        <f>'Expenditures 15-22'!B102</f>
        <v>4000</v>
      </c>
      <c r="D53" s="885" t="str">
        <f>'Expenditures 15-22'!A102</f>
        <v>Total Payments to Other Govt Units</v>
      </c>
      <c r="E53" s="865"/>
      <c r="F53" s="1910">
        <f>'Expenditures 15-22'!K102</f>
        <v>5093386</v>
      </c>
      <c r="G53" s="862"/>
    </row>
    <row r="54" spans="1:7" x14ac:dyDescent="0.2">
      <c r="A54" s="866" t="s">
        <v>459</v>
      </c>
      <c r="B54" s="866" t="s">
        <v>1476</v>
      </c>
      <c r="C54" s="886" t="s">
        <v>982</v>
      </c>
      <c r="D54" s="882" t="s">
        <v>1095</v>
      </c>
      <c r="E54" s="865"/>
      <c r="F54" s="1910">
        <f>'Expenditures 15-22'!G114</f>
        <v>113132</v>
      </c>
      <c r="G54" s="862"/>
    </row>
    <row r="55" spans="1:7" x14ac:dyDescent="0.2">
      <c r="A55" s="866" t="s">
        <v>459</v>
      </c>
      <c r="B55" s="866" t="s">
        <v>1477</v>
      </c>
      <c r="C55" s="886" t="s">
        <v>982</v>
      </c>
      <c r="D55" s="882" t="s">
        <v>291</v>
      </c>
      <c r="E55" s="865"/>
      <c r="F55" s="1910">
        <f>'Expenditures 15-22'!I114</f>
        <v>9290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1879</v>
      </c>
      <c r="C57" s="886">
        <f>'Expenditures 15-22'!B139</f>
        <v>4000</v>
      </c>
      <c r="D57" s="884" t="str">
        <f>'Expenditures 15-22'!A139</f>
        <v>Total Payments to Other Govt Units</v>
      </c>
      <c r="E57" s="865"/>
      <c r="F57" s="1910">
        <f>'Expenditures 15-22'!K139</f>
        <v>0</v>
      </c>
      <c r="G57" s="862"/>
    </row>
    <row r="58" spans="1:7" x14ac:dyDescent="0.2">
      <c r="A58" s="866" t="s">
        <v>460</v>
      </c>
      <c r="B58" s="866" t="s">
        <v>1880</v>
      </c>
      <c r="C58" s="883" t="s">
        <v>982</v>
      </c>
      <c r="D58" s="882" t="s">
        <v>1095</v>
      </c>
      <c r="E58" s="865"/>
      <c r="F58" s="1912">
        <f>'Expenditures 15-22'!G151</f>
        <v>0</v>
      </c>
      <c r="G58" s="862"/>
    </row>
    <row r="59" spans="1:7" x14ac:dyDescent="0.2">
      <c r="A59" s="890" t="s">
        <v>460</v>
      </c>
      <c r="B59" s="853" t="s">
        <v>1881</v>
      </c>
      <c r="C59" s="891" t="s">
        <v>982</v>
      </c>
      <c r="D59" s="853" t="s">
        <v>291</v>
      </c>
      <c r="F59" s="1913">
        <f>'Expenditures 15-22'!I151</f>
        <v>0</v>
      </c>
      <c r="G59" s="862"/>
    </row>
    <row r="60" spans="1:7" x14ac:dyDescent="0.2">
      <c r="A60" s="890" t="s">
        <v>499</v>
      </c>
      <c r="B60" s="853" t="s">
        <v>1882</v>
      </c>
      <c r="C60" s="891">
        <v>4000</v>
      </c>
      <c r="D60" s="853" t="s">
        <v>312</v>
      </c>
      <c r="F60" s="1911">
        <f>'Expenditures 15-22'!K160</f>
        <v>0</v>
      </c>
      <c r="G60" s="862"/>
    </row>
    <row r="61" spans="1:7" x14ac:dyDescent="0.2">
      <c r="A61" s="892" t="s">
        <v>499</v>
      </c>
      <c r="B61" s="892" t="s">
        <v>1883</v>
      </c>
      <c r="C61" s="893" t="str">
        <f>'Expenditures 15-22'!B170</f>
        <v>5300</v>
      </c>
      <c r="D61" s="894" t="s">
        <v>311</v>
      </c>
      <c r="E61" s="876"/>
      <c r="F61" s="1910">
        <f>'Expenditures 15-22'!K170</f>
        <v>0</v>
      </c>
      <c r="G61" s="862"/>
    </row>
    <row r="62" spans="1:7" x14ac:dyDescent="0.2">
      <c r="A62" s="866" t="s">
        <v>461</v>
      </c>
      <c r="B62" s="866" t="s">
        <v>1884</v>
      </c>
      <c r="C62" s="883">
        <f>'Expenditures 15-22'!B185</f>
        <v>3000</v>
      </c>
      <c r="D62" s="873" t="s">
        <v>449</v>
      </c>
      <c r="E62" s="865"/>
      <c r="F62" s="1910">
        <f>'Expenditures 15-22'!K185-SUM('Expenditures 15-22'!G185,'Expenditures 15-22'!I185)</f>
        <v>0</v>
      </c>
      <c r="G62" s="862"/>
    </row>
    <row r="63" spans="1:7" x14ac:dyDescent="0.2">
      <c r="A63" s="866" t="s">
        <v>461</v>
      </c>
      <c r="B63" s="866" t="s">
        <v>1885</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1886</v>
      </c>
      <c r="C64" s="893" t="str">
        <f>'Expenditures 15-22'!B206</f>
        <v>5300</v>
      </c>
      <c r="D64" s="889" t="s">
        <v>311</v>
      </c>
      <c r="E64" s="865"/>
      <c r="F64" s="1910">
        <f>'Expenditures 15-22'!K206</f>
        <v>0</v>
      </c>
      <c r="G64" s="862"/>
    </row>
    <row r="65" spans="1:8" x14ac:dyDescent="0.2">
      <c r="A65" s="866" t="s">
        <v>461</v>
      </c>
      <c r="B65" s="866" t="s">
        <v>1887</v>
      </c>
      <c r="C65" s="883" t="s">
        <v>982</v>
      </c>
      <c r="D65" s="882" t="s">
        <v>1095</v>
      </c>
      <c r="E65" s="865"/>
      <c r="F65" s="1910">
        <f>'Expenditures 15-22'!G210</f>
        <v>0</v>
      </c>
      <c r="G65" s="862"/>
    </row>
    <row r="66" spans="1:8" x14ac:dyDescent="0.2">
      <c r="A66" s="866" t="s">
        <v>461</v>
      </c>
      <c r="B66" s="866" t="s">
        <v>1888</v>
      </c>
      <c r="C66" s="883" t="s">
        <v>982</v>
      </c>
      <c r="D66" s="882" t="s">
        <v>291</v>
      </c>
      <c r="E66" s="865"/>
      <c r="F66" s="1910">
        <f>'Expenditures 15-22'!I210</f>
        <v>0</v>
      </c>
      <c r="G66" s="862"/>
    </row>
    <row r="67" spans="1:8" x14ac:dyDescent="0.2">
      <c r="A67" s="866" t="s">
        <v>462</v>
      </c>
      <c r="B67" s="866" t="s">
        <v>1889</v>
      </c>
      <c r="C67" s="883" t="str">
        <f>'Expenditures 15-22'!B216</f>
        <v>1125</v>
      </c>
      <c r="D67" s="889" t="str">
        <f>'Expenditures 15-22'!A216</f>
        <v>Pre-K Programs</v>
      </c>
      <c r="E67" s="865"/>
      <c r="F67" s="1910">
        <f>'Expenditures 15-22'!K216</f>
        <v>0</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1890</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1891</v>
      </c>
      <c r="C70" s="883">
        <f>'Expenditures 15-22'!B221</f>
        <v>1300</v>
      </c>
      <c r="D70" s="884" t="str">
        <f>'Expenditures 15-22'!A221</f>
        <v>Adult/Continuing Education Programs</v>
      </c>
      <c r="E70" s="865"/>
      <c r="F70" s="1910">
        <f>'Expenditures 15-22'!K221</f>
        <v>0</v>
      </c>
      <c r="G70" s="862"/>
    </row>
    <row r="71" spans="1:8" x14ac:dyDescent="0.2">
      <c r="A71" s="866" t="s">
        <v>462</v>
      </c>
      <c r="B71" s="866" t="s">
        <v>1892</v>
      </c>
      <c r="C71" s="883">
        <f>'Expenditures 15-22'!B224</f>
        <v>1600</v>
      </c>
      <c r="D71" s="884" t="str">
        <f>'Expenditures 15-22'!A224</f>
        <v>Summer School Programs</v>
      </c>
      <c r="E71" s="865"/>
      <c r="F71" s="1910">
        <f>'Expenditures 15-22'!K224</f>
        <v>0</v>
      </c>
      <c r="G71" s="862"/>
    </row>
    <row r="72" spans="1:8" x14ac:dyDescent="0.2">
      <c r="A72" s="866" t="s">
        <v>462</v>
      </c>
      <c r="B72" s="866" t="s">
        <v>1893</v>
      </c>
      <c r="C72" s="883">
        <f>'Expenditures 15-22'!B280</f>
        <v>3000</v>
      </c>
      <c r="D72" s="873" t="s">
        <v>449</v>
      </c>
      <c r="E72" s="865"/>
      <c r="F72" s="1910">
        <f>'Expenditures 15-22'!K280</f>
        <v>0</v>
      </c>
      <c r="G72" s="862"/>
    </row>
    <row r="73" spans="1:8" x14ac:dyDescent="0.2">
      <c r="A73" s="866" t="s">
        <v>462</v>
      </c>
      <c r="B73" s="866" t="s">
        <v>1894</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1895</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1896</v>
      </c>
      <c r="E76" s="1771" t="s">
        <v>958</v>
      </c>
      <c r="F76" s="1775">
        <f>SUM(F18:F74)</f>
        <v>5309135</v>
      </c>
      <c r="G76" s="862"/>
    </row>
    <row r="77" spans="1:8" s="890" customFormat="1" ht="12" customHeight="1" thickTop="1" thickBot="1" x14ac:dyDescent="0.25">
      <c r="A77" s="1776"/>
      <c r="B77" s="1773"/>
      <c r="C77" s="1769"/>
      <c r="D77" s="1774" t="s">
        <v>1897</v>
      </c>
      <c r="E77" s="1771"/>
      <c r="F77" s="1777">
        <f>(F14-F76)</f>
        <v>4728178</v>
      </c>
      <c r="G77" s="866"/>
    </row>
    <row r="78" spans="1:8" s="890" customFormat="1" ht="12" customHeight="1" thickTop="1" x14ac:dyDescent="0.2">
      <c r="A78" s="1778"/>
      <c r="B78" s="1773"/>
      <c r="C78" s="1769"/>
      <c r="D78" s="1774" t="s">
        <v>2059</v>
      </c>
      <c r="E78" s="1771"/>
      <c r="F78" s="895">
        <v>0</v>
      </c>
      <c r="G78" s="896"/>
      <c r="H78" s="866"/>
    </row>
    <row r="79" spans="1:8" s="890" customFormat="1" ht="12" customHeight="1" thickBot="1" x14ac:dyDescent="0.25">
      <c r="A79" s="1779"/>
      <c r="B79" s="1773"/>
      <c r="C79" s="1769"/>
      <c r="D79" s="1774" t="s">
        <v>1898</v>
      </c>
      <c r="E79" s="1771" t="s">
        <v>958</v>
      </c>
      <c r="F79" s="1780" t="str">
        <f>IF(F78&gt;0,F77/F78," Complete Line 78")</f>
        <v xml:space="preserve"> Complete Line 78</v>
      </c>
      <c r="G79" s="866"/>
    </row>
    <row r="80" spans="1:8" s="890" customFormat="1" ht="8.25" customHeight="1" thickTop="1" x14ac:dyDescent="0.2">
      <c r="A80" s="897"/>
      <c r="B80" s="866"/>
      <c r="C80" s="868"/>
      <c r="D80" s="898"/>
      <c r="E80" s="865"/>
      <c r="F80" s="899"/>
      <c r="G80" s="866"/>
    </row>
    <row r="81" spans="1:7" s="890" customFormat="1" ht="12" thickBot="1" x14ac:dyDescent="0.25">
      <c r="A81" s="2329" t="s">
        <v>1105</v>
      </c>
      <c r="B81" s="2330"/>
      <c r="C81" s="2330"/>
      <c r="D81" s="2330"/>
      <c r="E81" s="2330"/>
      <c r="F81" s="2331"/>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5663</v>
      </c>
      <c r="G94" s="909"/>
    </row>
    <row r="95" spans="1:7" x14ac:dyDescent="0.2">
      <c r="A95" s="905" t="s">
        <v>140</v>
      </c>
      <c r="B95" s="905" t="s">
        <v>175</v>
      </c>
      <c r="C95" s="907">
        <v>1700</v>
      </c>
      <c r="D95" s="915" t="str">
        <f>'Revenues 9-14'!A82</f>
        <v>Total District/School Activity Income</v>
      </c>
      <c r="E95" s="903"/>
      <c r="F95" s="1786">
        <f>SUM('Revenues 9-14'!C82,'Revenues 9-14'!D82)</f>
        <v>0</v>
      </c>
      <c r="G95" s="909"/>
    </row>
    <row r="96" spans="1:7" x14ac:dyDescent="0.2">
      <c r="A96" s="905" t="s">
        <v>459</v>
      </c>
      <c r="B96" s="905" t="s">
        <v>176</v>
      </c>
      <c r="C96" s="907">
        <f>'Revenues 9-14'!B84</f>
        <v>1811</v>
      </c>
      <c r="D96" s="908" t="str">
        <f>'Revenues 9-14'!A84</f>
        <v>Rentals - Regular Textbooks</v>
      </c>
      <c r="E96" s="903"/>
      <c r="F96" s="1786">
        <f>'Revenues 9-14'!C84</f>
        <v>0</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269857</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2000</v>
      </c>
      <c r="C105" s="910">
        <v>3100</v>
      </c>
      <c r="D105" s="916" t="str">
        <f>'Revenues 9-14'!A132</f>
        <v>Total Special Education</v>
      </c>
      <c r="E105" s="903"/>
      <c r="F105" s="1786">
        <f>SUM('Revenues 9-14'!C132:D132,'Revenues 9-14'!F132)</f>
        <v>0</v>
      </c>
      <c r="G105" s="909"/>
    </row>
    <row r="106" spans="1:7" x14ac:dyDescent="0.2">
      <c r="A106" s="905" t="s">
        <v>673</v>
      </c>
      <c r="B106" s="905" t="s">
        <v>2001</v>
      </c>
      <c r="C106" s="917">
        <v>3200</v>
      </c>
      <c r="D106" s="908" t="str">
        <f>'Revenues 9-14'!A141</f>
        <v>Total Career and Technical Education</v>
      </c>
      <c r="E106" s="903"/>
      <c r="F106" s="1786">
        <f>SUM('Revenues 9-14'!C141,'Revenues 9-14'!D141,'Revenues 9-14'!G141)</f>
        <v>0</v>
      </c>
      <c r="G106" s="909"/>
    </row>
    <row r="107" spans="1:7" x14ac:dyDescent="0.2">
      <c r="A107" s="918" t="s">
        <v>664</v>
      </c>
      <c r="B107" s="905" t="s">
        <v>2002</v>
      </c>
      <c r="C107" s="917">
        <v>3300</v>
      </c>
      <c r="D107" s="908" t="str">
        <f>'Revenues 9-14'!A145</f>
        <v>Total Bilingual Ed</v>
      </c>
      <c r="E107" s="903"/>
      <c r="F107" s="1786">
        <f>SUM('Revenues 9-14'!C145,'Revenues 9-14'!G145)</f>
        <v>0</v>
      </c>
      <c r="G107" s="909"/>
    </row>
    <row r="108" spans="1:7" x14ac:dyDescent="0.2">
      <c r="A108" s="905" t="s">
        <v>459</v>
      </c>
      <c r="B108" s="905" t="s">
        <v>2003</v>
      </c>
      <c r="C108" s="917">
        <f>'Revenues 9-14'!B146</f>
        <v>3360</v>
      </c>
      <c r="D108" s="908" t="str">
        <f>'Revenues 9-14'!A146</f>
        <v>State Free Lunch &amp; Breakfast</v>
      </c>
      <c r="E108" s="903"/>
      <c r="F108" s="1786">
        <f>'Revenues 9-14'!C146</f>
        <v>339</v>
      </c>
      <c r="G108" s="909"/>
    </row>
    <row r="109" spans="1:7" x14ac:dyDescent="0.2">
      <c r="A109" s="905" t="s">
        <v>673</v>
      </c>
      <c r="B109" s="905" t="s">
        <v>2004</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2005</v>
      </c>
      <c r="C110" s="917">
        <f>'Revenues 9-14'!B148</f>
        <v>3370</v>
      </c>
      <c r="D110" s="908" t="str">
        <f>'Revenues 9-14'!A148</f>
        <v>Driver Education</v>
      </c>
      <c r="E110" s="903"/>
      <c r="F110" s="1786">
        <f>SUM('Revenues 9-14'!C148,'Revenues 9-14'!D148)</f>
        <v>0</v>
      </c>
      <c r="G110" s="909"/>
    </row>
    <row r="111" spans="1:7" x14ac:dyDescent="0.2">
      <c r="A111" s="905" t="s">
        <v>668</v>
      </c>
      <c r="B111" s="905" t="s">
        <v>2006</v>
      </c>
      <c r="C111" s="919">
        <v>3500</v>
      </c>
      <c r="D111" s="908" t="str">
        <f>'Revenues 9-14'!A155</f>
        <v>Total Transportation</v>
      </c>
      <c r="E111" s="903"/>
      <c r="F111" s="1786">
        <f>SUM('Revenues 9-14'!C155,'Revenues 9-14'!D155,'Revenues 9-14'!F155,'Revenues 9-14'!G155)</f>
        <v>10896</v>
      </c>
      <c r="G111" s="909"/>
    </row>
    <row r="112" spans="1:7" x14ac:dyDescent="0.2">
      <c r="A112" s="905" t="s">
        <v>459</v>
      </c>
      <c r="B112" s="905" t="s">
        <v>2007</v>
      </c>
      <c r="C112" s="917">
        <f>'Revenues 9-14'!B156</f>
        <v>3610</v>
      </c>
      <c r="D112" s="908" t="str">
        <f>'Revenues 9-14'!A156</f>
        <v>Learning Improvement - Change Grants</v>
      </c>
      <c r="E112" s="903"/>
      <c r="F112" s="1786">
        <f>'Revenues 9-14'!C156</f>
        <v>0</v>
      </c>
      <c r="G112" s="909"/>
    </row>
    <row r="113" spans="1:7" x14ac:dyDescent="0.2">
      <c r="A113" s="905" t="s">
        <v>668</v>
      </c>
      <c r="B113" s="905" t="s">
        <v>2008</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2009</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2010</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2011</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2012</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2013</v>
      </c>
      <c r="C118" s="921">
        <f>'Revenues 9-14'!B163</f>
        <v>3780</v>
      </c>
      <c r="D118" s="922" t="str">
        <f>'Revenues 9-14'!A163</f>
        <v>Technology - Technology for Success</v>
      </c>
      <c r="E118" s="903"/>
      <c r="F118" s="1904">
        <f>SUM('Revenues 9-14'!C163:G163)</f>
        <v>0</v>
      </c>
      <c r="G118" s="909"/>
    </row>
    <row r="119" spans="1:7" x14ac:dyDescent="0.2">
      <c r="A119" s="920" t="s">
        <v>504</v>
      </c>
      <c r="B119" s="920" t="s">
        <v>2014</v>
      </c>
      <c r="C119" s="921">
        <f>'Revenues 9-14'!B164</f>
        <v>3815</v>
      </c>
      <c r="D119" s="922" t="str">
        <f>'Revenues 9-14'!A164</f>
        <v>State Charter Schools</v>
      </c>
      <c r="E119" s="903"/>
      <c r="F119" s="1904">
        <f>SUM('Revenues 9-14'!C164,'Revenues 9-14'!F164)</f>
        <v>0</v>
      </c>
      <c r="G119" s="909"/>
    </row>
    <row r="120" spans="1:7" x14ac:dyDescent="0.2">
      <c r="A120" s="924" t="s">
        <v>460</v>
      </c>
      <c r="B120" s="924" t="s">
        <v>2015</v>
      </c>
      <c r="C120" s="925">
        <f>'Revenues 9-14'!B167</f>
        <v>3925</v>
      </c>
      <c r="D120" s="926" t="str">
        <f>'Revenues 9-14'!A167</f>
        <v>School Infrastructure - Maintenance Projects</v>
      </c>
      <c r="E120" s="903"/>
      <c r="F120" s="1786">
        <f>'Revenues 9-14'!D167</f>
        <v>0</v>
      </c>
      <c r="G120" s="927"/>
    </row>
    <row r="121" spans="1:7" x14ac:dyDescent="0.2">
      <c r="A121" s="924" t="s">
        <v>500</v>
      </c>
      <c r="B121" s="924" t="s">
        <v>2016</v>
      </c>
      <c r="C121" s="925">
        <f>'Revenues 9-14'!B168</f>
        <v>3999</v>
      </c>
      <c r="D121" s="926" t="s">
        <v>543</v>
      </c>
      <c r="E121" s="928"/>
      <c r="F121" s="1786">
        <f>SUM('Revenues 9-14'!C168:G168,'Revenues 9-14'!J168)</f>
        <v>0</v>
      </c>
      <c r="G121" s="927"/>
    </row>
    <row r="122" spans="1:7" x14ac:dyDescent="0.2">
      <c r="A122" s="924" t="s">
        <v>459</v>
      </c>
      <c r="B122" s="924" t="s">
        <v>2017</v>
      </c>
      <c r="C122" s="929">
        <f>'Revenues 9-14'!B177</f>
        <v>4045</v>
      </c>
      <c r="D122" s="926" t="str">
        <f>'Revenues 9-14'!A177 &amp; " (Subtract)"</f>
        <v>Head Start (Subtract)</v>
      </c>
      <c r="E122" s="903"/>
      <c r="F122" s="1786">
        <f>SUM(-'Revenues 9-14'!C177)</f>
        <v>0</v>
      </c>
      <c r="G122" s="927"/>
    </row>
    <row r="123" spans="1:7" x14ac:dyDescent="0.2">
      <c r="A123" s="924" t="s">
        <v>668</v>
      </c>
      <c r="B123" s="924" t="s">
        <v>2018</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2019</v>
      </c>
      <c r="C124" s="929">
        <v>4100</v>
      </c>
      <c r="D124" s="930" t="str">
        <f>'Revenues 9-14'!A188</f>
        <v>Total Title V</v>
      </c>
      <c r="E124" s="903"/>
      <c r="F124" s="1786">
        <f>SUM('Revenues 9-14'!C188,'Revenues 9-14'!D188,'Revenues 9-14'!F188,'Revenues 9-14'!G188)</f>
        <v>0</v>
      </c>
      <c r="G124" s="927"/>
    </row>
    <row r="125" spans="1:7" x14ac:dyDescent="0.2">
      <c r="A125" s="924" t="s">
        <v>664</v>
      </c>
      <c r="B125" s="924" t="s">
        <v>2020</v>
      </c>
      <c r="C125" s="929">
        <v>4200</v>
      </c>
      <c r="D125" s="926" t="str">
        <f>'Revenues 9-14'!A198</f>
        <v>Total Food Service</v>
      </c>
      <c r="E125" s="903"/>
      <c r="F125" s="1786">
        <f>SUM('Revenues 9-14'!C198,'Revenues 9-14'!G198)</f>
        <v>19473</v>
      </c>
      <c r="G125" s="927"/>
    </row>
    <row r="126" spans="1:7" x14ac:dyDescent="0.2">
      <c r="A126" s="924" t="s">
        <v>668</v>
      </c>
      <c r="B126" s="924" t="s">
        <v>2021</v>
      </c>
      <c r="C126" s="929">
        <v>4300</v>
      </c>
      <c r="D126" s="930" t="str">
        <f>'Revenues 9-14'!A204</f>
        <v>Total Title I</v>
      </c>
      <c r="E126" s="903"/>
      <c r="F126" s="1786">
        <f>SUM('Revenues 9-14'!C204,'Revenues 9-14'!D204,'Revenues 9-14'!F204,'Revenues 9-14'!G204)</f>
        <v>0</v>
      </c>
      <c r="G126" s="927"/>
    </row>
    <row r="127" spans="1:7" x14ac:dyDescent="0.2">
      <c r="A127" s="924" t="s">
        <v>668</v>
      </c>
      <c r="B127" s="924" t="s">
        <v>2022</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2023</v>
      </c>
      <c r="C128" s="929">
        <f>'Revenues 9-14'!B213</f>
        <v>4620</v>
      </c>
      <c r="D128" s="930" t="str">
        <f>'Revenues 9-14'!A213</f>
        <v>Fed - Spec Education - IDEA - Flow Through</v>
      </c>
      <c r="E128" s="903"/>
      <c r="F128" s="1786">
        <f>SUM('Revenues 9-14'!C213:D213,'Revenues 9-14'!F213:G213)</f>
        <v>2213835</v>
      </c>
      <c r="G128" s="927"/>
    </row>
    <row r="129" spans="1:7" x14ac:dyDescent="0.2">
      <c r="A129" s="924" t="s">
        <v>668</v>
      </c>
      <c r="B129" s="924" t="s">
        <v>2024</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2025</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2026</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2027</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2028</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2029</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2030</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2031</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2032</v>
      </c>
      <c r="C138" s="932" t="s">
        <v>212</v>
      </c>
      <c r="D138" s="933" t="str">
        <f>'Revenues 9-14'!A229</f>
        <v>ARRA - IDEA - Part B - Preschool</v>
      </c>
      <c r="E138" s="934"/>
      <c r="F138" s="1786">
        <v>0</v>
      </c>
      <c r="G138" s="902"/>
    </row>
    <row r="139" spans="1:7" s="864" customFormat="1" hidden="1" x14ac:dyDescent="0.2">
      <c r="A139" s="931" t="s">
        <v>206</v>
      </c>
      <c r="B139" s="931" t="s">
        <v>2033</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2034</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2035</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2036</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2037</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2038</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2039</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2040</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2041</v>
      </c>
      <c r="C157" s="937" t="s">
        <v>841</v>
      </c>
      <c r="D157" s="938" t="s">
        <v>777</v>
      </c>
      <c r="E157" s="939"/>
      <c r="F157" s="1786">
        <f>SUM(F133:F156)</f>
        <v>0</v>
      </c>
      <c r="G157" s="902"/>
    </row>
    <row r="158" spans="1:7" s="864" customFormat="1" x14ac:dyDescent="0.2">
      <c r="A158" s="935" t="s">
        <v>459</v>
      </c>
      <c r="B158" s="936" t="s">
        <v>2042</v>
      </c>
      <c r="C158" s="937" t="s">
        <v>1427</v>
      </c>
      <c r="D158" s="938" t="s">
        <v>1428</v>
      </c>
      <c r="E158" s="939"/>
      <c r="F158" s="1786">
        <f>SUM('Revenues 9-14'!C253)</f>
        <v>0</v>
      </c>
      <c r="G158" s="902"/>
    </row>
    <row r="159" spans="1:7" s="864" customFormat="1" x14ac:dyDescent="0.2">
      <c r="A159" s="935" t="s">
        <v>500</v>
      </c>
      <c r="B159" s="936" t="s">
        <v>2043</v>
      </c>
      <c r="C159" s="937" t="s">
        <v>1466</v>
      </c>
      <c r="D159" s="938" t="s">
        <v>1467</v>
      </c>
      <c r="E159" s="939"/>
      <c r="F159" s="1786">
        <f>SUM('Revenues 9-14'!C254:H254,'Revenues 9-14'!J254:K254)</f>
        <v>0</v>
      </c>
      <c r="G159" s="902"/>
    </row>
    <row r="160" spans="1:7" x14ac:dyDescent="0.2">
      <c r="A160" s="924" t="s">
        <v>5</v>
      </c>
      <c r="B160" s="924" t="s">
        <v>2044</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2045</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2046</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2047</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2048</v>
      </c>
      <c r="C164" s="929">
        <f>'Revenues 9-14'!B259</f>
        <v>4932</v>
      </c>
      <c r="D164" s="930" t="str">
        <f>'Revenues 9-14'!A259</f>
        <v>Title II - Teacher Quality</v>
      </c>
      <c r="E164" s="903"/>
      <c r="F164" s="1904">
        <f>SUM('Revenues 9-14'!C259,'Revenues 9-14'!D259,'Revenues 9-14'!F259,'Revenues 9-14'!G259)</f>
        <v>0</v>
      </c>
      <c r="G164" s="927"/>
    </row>
    <row r="165" spans="1:7" x14ac:dyDescent="0.2">
      <c r="A165" s="924" t="s">
        <v>668</v>
      </c>
      <c r="B165" s="924" t="s">
        <v>2049</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1994</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1995</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2050</v>
      </c>
      <c r="C168" s="929">
        <f>'Revenues 9-14'!B263</f>
        <v>4991</v>
      </c>
      <c r="D168" s="930" t="str">
        <f>'Revenues 9-14'!A263</f>
        <v>Medicaid Matching Funds - Administrative Outreach</v>
      </c>
      <c r="E168" s="903"/>
      <c r="F168" s="1786">
        <f>SUM('Revenues 9-14'!C263:D263,'Revenues 9-14'!F263:G263)</f>
        <v>39958</v>
      </c>
      <c r="G168" s="944">
        <v>6320</v>
      </c>
    </row>
    <row r="169" spans="1:7" x14ac:dyDescent="0.2">
      <c r="A169" s="924" t="s">
        <v>668</v>
      </c>
      <c r="B169" s="924" t="s">
        <v>2051</v>
      </c>
      <c r="C169" s="929">
        <f>'Revenues 9-14'!B264</f>
        <v>4992</v>
      </c>
      <c r="D169" s="930" t="str">
        <f>'Revenues 9-14'!A264</f>
        <v>Medicaid Matching Funds - Fee-for-Service Program</v>
      </c>
      <c r="E169" s="903"/>
      <c r="F169" s="1786">
        <f>SUM('Revenues 9-14'!C264:D264,'Revenues 9-14'!F264:G264)</f>
        <v>49</v>
      </c>
      <c r="G169" s="944"/>
    </row>
    <row r="170" spans="1:7" x14ac:dyDescent="0.2">
      <c r="A170" s="945" t="s">
        <v>668</v>
      </c>
      <c r="B170" s="941" t="s">
        <v>2052</v>
      </c>
      <c r="C170" s="942">
        <f>'Revenues 9-14'!B265</f>
        <v>4999</v>
      </c>
      <c r="D170" s="943" t="str">
        <f>'Revenues 9-14'!A265</f>
        <v>Other Restricted Revenue from Federal Sources (Describe &amp; Itemize)</v>
      </c>
      <c r="E170" s="903"/>
      <c r="F170" s="1786">
        <f>SUM('Revenues 9-14'!C265:D265,'Revenues 9-14'!F265:G265)</f>
        <v>226854</v>
      </c>
      <c r="G170" s="924"/>
    </row>
    <row r="171" spans="1:7" x14ac:dyDescent="0.2">
      <c r="A171" s="1915" t="s">
        <v>5</v>
      </c>
      <c r="B171" s="1916" t="s">
        <v>1917</v>
      </c>
      <c r="C171" s="1917">
        <v>3100</v>
      </c>
      <c r="D171" s="1918" t="s">
        <v>1919</v>
      </c>
      <c r="E171" s="903"/>
      <c r="F171" s="1903"/>
      <c r="G171" s="924"/>
    </row>
    <row r="172" spans="1:7" x14ac:dyDescent="0.2">
      <c r="A172" s="1915" t="s">
        <v>664</v>
      </c>
      <c r="B172" s="1916" t="s">
        <v>1917</v>
      </c>
      <c r="C172" s="1917">
        <v>3300</v>
      </c>
      <c r="D172" s="1918" t="s">
        <v>1920</v>
      </c>
      <c r="E172" s="903"/>
      <c r="F172" s="1903"/>
      <c r="G172" s="924"/>
    </row>
    <row r="173" spans="1:7" ht="6" customHeight="1" x14ac:dyDescent="0.2">
      <c r="A173" s="924"/>
      <c r="B173" s="924"/>
      <c r="C173" s="946"/>
      <c r="D173" s="924"/>
      <c r="E173" s="903"/>
      <c r="F173" s="947"/>
      <c r="G173" s="944"/>
    </row>
    <row r="174" spans="1:7" x14ac:dyDescent="0.2">
      <c r="A174" s="1767"/>
      <c r="B174" s="1781"/>
      <c r="C174" s="1782"/>
      <c r="D174" s="1783" t="s">
        <v>2053</v>
      </c>
      <c r="E174" s="1784" t="s">
        <v>958</v>
      </c>
      <c r="F174" s="1785">
        <f>SUM(F84:F132,F157:F172)</f>
        <v>2786924</v>
      </c>
    </row>
    <row r="175" spans="1:7" ht="12" customHeight="1" x14ac:dyDescent="0.2">
      <c r="A175" s="1767"/>
      <c r="B175" s="1781"/>
      <c r="C175" s="1782"/>
      <c r="D175" s="1783" t="s">
        <v>2054</v>
      </c>
      <c r="E175" s="1784"/>
      <c r="F175" s="1786">
        <f>'PCTC-OEPP 27-28'!F77-F174</f>
        <v>1941254</v>
      </c>
    </row>
    <row r="176" spans="1:7" ht="12" customHeight="1" x14ac:dyDescent="0.2">
      <c r="A176" s="1767"/>
      <c r="B176" s="1781"/>
      <c r="C176" s="1782"/>
      <c r="D176" s="1783" t="s">
        <v>1814</v>
      </c>
      <c r="E176" s="1784"/>
      <c r="F176" s="1786">
        <f>'Cap Outlay Deprec 26'!I18</f>
        <v>116051</v>
      </c>
    </row>
    <row r="177" spans="1:7" ht="12" customHeight="1" x14ac:dyDescent="0.2">
      <c r="A177" s="1767"/>
      <c r="B177" s="1781"/>
      <c r="C177" s="1782"/>
      <c r="D177" s="1783" t="s">
        <v>2055</v>
      </c>
      <c r="E177" s="1784"/>
      <c r="F177" s="1786">
        <f>F175+F176</f>
        <v>2057305</v>
      </c>
    </row>
    <row r="178" spans="1:7" ht="12" customHeight="1" x14ac:dyDescent="0.2">
      <c r="A178" s="1767"/>
      <c r="B178" s="1787"/>
      <c r="C178" s="1782"/>
      <c r="D178" s="1783" t="str">
        <f>D78</f>
        <v>9 Month ADA from District Average Daily Attendance/Prior General State Aid Inquiry 2018-2019</v>
      </c>
      <c r="E178" s="1784"/>
      <c r="F178" s="1788">
        <f>'PCTC-OEPP 27-28'!F78</f>
        <v>0</v>
      </c>
      <c r="G178" s="927"/>
    </row>
    <row r="179" spans="1:7" ht="12" customHeight="1" thickBot="1" x14ac:dyDescent="0.25">
      <c r="A179" s="1767"/>
      <c r="B179" s="1787"/>
      <c r="C179" s="1782"/>
      <c r="D179" s="1783" t="s">
        <v>2056</v>
      </c>
      <c r="E179" s="1784" t="s">
        <v>1545</v>
      </c>
      <c r="F179" s="1789" t="e">
        <f>F177/F178</f>
        <v>#DIV/0!</v>
      </c>
      <c r="G179" s="853">
        <v>6323</v>
      </c>
    </row>
    <row r="180" spans="1:7" ht="12" thickTop="1" x14ac:dyDescent="0.2">
      <c r="B180" s="927"/>
      <c r="C180" s="946"/>
      <c r="D180" s="927"/>
      <c r="E180" s="946"/>
      <c r="F180" s="927"/>
      <c r="G180" s="948">
        <v>6326</v>
      </c>
    </row>
    <row r="181" spans="1:7" ht="12.2" customHeight="1" x14ac:dyDescent="0.2">
      <c r="A181" s="927" t="s">
        <v>1918</v>
      </c>
      <c r="B181" s="927"/>
      <c r="C181" s="946"/>
      <c r="D181" s="927"/>
      <c r="E181" s="946"/>
      <c r="F181" s="927"/>
      <c r="G181" s="927"/>
    </row>
    <row r="182" spans="1:7" s="1919" customFormat="1" ht="12.2" customHeight="1" x14ac:dyDescent="0.2">
      <c r="A182" s="1919" t="s">
        <v>1991</v>
      </c>
      <c r="B182" s="1920"/>
      <c r="C182" s="1921"/>
      <c r="D182" s="1920"/>
      <c r="E182" s="1921"/>
      <c r="F182" s="1920"/>
      <c r="G182" s="1920"/>
    </row>
    <row r="183" spans="1:7" s="1919" customFormat="1" ht="12.2" customHeight="1" x14ac:dyDescent="0.2">
      <c r="A183" s="1922" t="s">
        <v>1993</v>
      </c>
      <c r="C183" s="1921"/>
      <c r="D183" s="1920"/>
      <c r="E183" s="1921"/>
      <c r="F183" s="1920"/>
      <c r="G183" s="1920"/>
    </row>
    <row r="184" spans="1:7" ht="12" customHeight="1" x14ac:dyDescent="0.2">
      <c r="C184" s="946"/>
      <c r="D184" s="927"/>
      <c r="E184" s="946"/>
      <c r="F184" s="927"/>
      <c r="G184" s="927"/>
    </row>
    <row r="185" spans="1:7" x14ac:dyDescent="0.2">
      <c r="A185" s="1923" t="s">
        <v>1922</v>
      </c>
      <c r="B185" s="1924" t="s">
        <v>1921</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0" zoomScaleNormal="100" workbookViewId="0">
      <selection activeCell="B31" sqref="B31"/>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1829</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343" t="s">
        <v>1815</v>
      </c>
      <c r="B4" s="2344"/>
      <c r="C4" s="2344"/>
      <c r="D4" s="2344"/>
      <c r="E4" s="2344"/>
      <c r="F4" s="2344"/>
      <c r="G4" s="2345"/>
    </row>
    <row r="5" spans="1:7" x14ac:dyDescent="0.25">
      <c r="A5" s="2346"/>
      <c r="B5" s="2347"/>
      <c r="C5" s="2347"/>
      <c r="D5" s="2347"/>
      <c r="E5" s="2347"/>
      <c r="F5" s="2347"/>
      <c r="G5" s="2348"/>
    </row>
    <row r="6" spans="1:7" ht="18.75" x14ac:dyDescent="0.25">
      <c r="A6" s="1531" t="s">
        <v>1816</v>
      </c>
      <c r="B6" s="1532"/>
      <c r="C6" s="1532"/>
      <c r="D6" s="1532"/>
      <c r="E6" s="1532"/>
      <c r="F6" s="1532"/>
      <c r="G6" s="1533"/>
    </row>
    <row r="7" spans="1:7" ht="30.75" customHeight="1" x14ac:dyDescent="0.25">
      <c r="A7" s="2349" t="s">
        <v>1929</v>
      </c>
      <c r="B7" s="2350"/>
      <c r="C7" s="2350"/>
      <c r="D7" s="2350"/>
      <c r="E7" s="2350"/>
      <c r="F7" s="2350"/>
      <c r="G7" s="2351"/>
    </row>
    <row r="8" spans="1:7" ht="15.75" customHeight="1" x14ac:dyDescent="0.25">
      <c r="A8" s="2352" t="s">
        <v>1904</v>
      </c>
      <c r="B8" s="2353"/>
      <c r="C8" s="2353"/>
      <c r="D8" s="2353"/>
      <c r="E8" s="2353"/>
      <c r="F8" s="2353"/>
      <c r="G8" s="2354"/>
    </row>
    <row r="9" spans="1:7" ht="35.25" customHeight="1" x14ac:dyDescent="0.25">
      <c r="A9" s="2349" t="s">
        <v>1932</v>
      </c>
      <c r="B9" s="2350"/>
      <c r="C9" s="2350"/>
      <c r="D9" s="2350"/>
      <c r="E9" s="2350"/>
      <c r="F9" s="2350"/>
      <c r="G9" s="2351"/>
    </row>
    <row r="10" spans="1:7" ht="15" customHeight="1" x14ac:dyDescent="0.25">
      <c r="A10" s="1534" t="s">
        <v>1817</v>
      </c>
      <c r="B10" s="1535"/>
      <c r="C10" s="1535"/>
      <c r="D10" s="1535"/>
      <c r="E10" s="1535"/>
      <c r="F10" s="1535"/>
      <c r="G10" s="1536"/>
    </row>
    <row r="11" spans="1:7" ht="17.25" customHeight="1" x14ac:dyDescent="0.25">
      <c r="A11" s="2349" t="s">
        <v>1931</v>
      </c>
      <c r="B11" s="2350"/>
      <c r="C11" s="2350"/>
      <c r="D11" s="2350"/>
      <c r="E11" s="2350"/>
      <c r="F11" s="2350"/>
      <c r="G11" s="2351"/>
    </row>
    <row r="12" spans="1:7" ht="15" customHeight="1" x14ac:dyDescent="0.25">
      <c r="A12" s="1534" t="s">
        <v>1822</v>
      </c>
      <c r="B12" s="1535"/>
      <c r="C12" s="1535"/>
      <c r="D12" s="1535"/>
      <c r="E12" s="1535"/>
      <c r="F12" s="1535"/>
      <c r="G12" s="1536"/>
    </row>
    <row r="13" spans="1:7" ht="32.25" customHeight="1" x14ac:dyDescent="0.25">
      <c r="A13" s="2340" t="s">
        <v>1973</v>
      </c>
      <c r="B13" s="2341"/>
      <c r="C13" s="2341"/>
      <c r="D13" s="2341"/>
      <c r="E13" s="2341"/>
      <c r="F13" s="2341"/>
      <c r="G13" s="2342"/>
    </row>
    <row r="14" spans="1:7" x14ac:dyDescent="0.25">
      <c r="A14" s="1658" t="s">
        <v>1830</v>
      </c>
      <c r="B14" s="1659"/>
      <c r="C14" s="1659"/>
      <c r="D14" s="1659"/>
      <c r="E14" s="1659"/>
      <c r="F14" s="1659"/>
      <c r="G14" s="1660"/>
    </row>
    <row r="15" spans="1:7" ht="61.5" customHeight="1" x14ac:dyDescent="0.25">
      <c r="A15" s="1543" t="s">
        <v>1823</v>
      </c>
      <c r="B15" s="1543" t="s">
        <v>1824</v>
      </c>
      <c r="C15" s="1543" t="s">
        <v>1825</v>
      </c>
      <c r="D15" s="1544" t="s">
        <v>1826</v>
      </c>
      <c r="E15" s="1544" t="s">
        <v>1818</v>
      </c>
      <c r="F15" s="1544" t="s">
        <v>1827</v>
      </c>
      <c r="G15" s="1544" t="s">
        <v>1828</v>
      </c>
    </row>
    <row r="16" spans="1:7" x14ac:dyDescent="0.25">
      <c r="A16" s="1645" t="s">
        <v>1831</v>
      </c>
      <c r="B16" s="1646" t="s">
        <v>1821</v>
      </c>
      <c r="C16" s="1647" t="s">
        <v>1819</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34" t="s">
        <v>2083</v>
      </c>
      <c r="B17" s="1935" t="s">
        <v>2084</v>
      </c>
      <c r="C17" s="1936" t="s">
        <v>2085</v>
      </c>
      <c r="D17" s="1841">
        <v>3475</v>
      </c>
      <c r="E17" s="1537">
        <f t="shared" ref="E17:E141" si="0">IF(D17&lt;=25000,D17,IF(D17&gt;25000,25000,0))</f>
        <v>3475</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3475</v>
      </c>
      <c r="G17" s="1790">
        <f>IF(F17=0,0,D17-F17)</f>
        <v>0</v>
      </c>
      <c r="H17" s="1644"/>
    </row>
    <row r="18" spans="1:8" x14ac:dyDescent="0.25">
      <c r="A18" s="1934" t="s">
        <v>2086</v>
      </c>
      <c r="B18" s="2569" t="s">
        <v>2239</v>
      </c>
      <c r="C18" s="1936" t="s">
        <v>2087</v>
      </c>
      <c r="D18" s="1841">
        <v>39758</v>
      </c>
      <c r="E18" s="1537">
        <f t="shared" ref="E18:E140" si="2">IF(D18&lt;=25000,D18,IF(D18&gt;25000,25000,0))</f>
        <v>25000</v>
      </c>
      <c r="F18" s="1929">
        <f t="shared" si="1"/>
        <v>25000</v>
      </c>
      <c r="G18" s="1790">
        <f t="shared" ref="G18:G140" si="3">IF(F18=0,0,D18-F18)</f>
        <v>14758</v>
      </c>
    </row>
    <row r="19" spans="1:8" x14ac:dyDescent="0.25">
      <c r="A19" s="1934" t="s">
        <v>2089</v>
      </c>
      <c r="B19" s="2569" t="s">
        <v>2240</v>
      </c>
      <c r="C19" s="1936" t="s">
        <v>2088</v>
      </c>
      <c r="D19" s="1841">
        <v>10675</v>
      </c>
      <c r="E19" s="1537">
        <f t="shared" si="2"/>
        <v>10675</v>
      </c>
      <c r="F19" s="1929">
        <f t="shared" si="1"/>
        <v>10675</v>
      </c>
      <c r="G19" s="1790">
        <f t="shared" si="3"/>
        <v>0</v>
      </c>
    </row>
    <row r="20" spans="1:8" x14ac:dyDescent="0.25">
      <c r="A20" s="1934" t="s">
        <v>2086</v>
      </c>
      <c r="B20" s="2569" t="s">
        <v>2239</v>
      </c>
      <c r="C20" s="1936" t="s">
        <v>2090</v>
      </c>
      <c r="D20" s="1841">
        <v>2020</v>
      </c>
      <c r="E20" s="1537">
        <f t="shared" si="2"/>
        <v>2020</v>
      </c>
      <c r="F20" s="1929">
        <f t="shared" si="1"/>
        <v>2020</v>
      </c>
      <c r="G20" s="1790">
        <f t="shared" si="3"/>
        <v>0</v>
      </c>
    </row>
    <row r="21" spans="1:8" x14ac:dyDescent="0.25">
      <c r="A21" s="1934" t="s">
        <v>2086</v>
      </c>
      <c r="B21" s="2569" t="s">
        <v>2239</v>
      </c>
      <c r="C21" s="1936" t="s">
        <v>2091</v>
      </c>
      <c r="D21" s="1841">
        <v>8267</v>
      </c>
      <c r="E21" s="1537">
        <f t="shared" si="2"/>
        <v>8267</v>
      </c>
      <c r="F21" s="1929">
        <f t="shared" si="1"/>
        <v>8267</v>
      </c>
      <c r="G21" s="1790">
        <f t="shared" si="3"/>
        <v>0</v>
      </c>
    </row>
    <row r="22" spans="1:8" x14ac:dyDescent="0.25">
      <c r="A22" s="1934" t="s">
        <v>2092</v>
      </c>
      <c r="B22" s="1935" t="s">
        <v>2102</v>
      </c>
      <c r="C22" s="1936" t="s">
        <v>2093</v>
      </c>
      <c r="D22" s="1841">
        <v>537</v>
      </c>
      <c r="E22" s="1537">
        <f t="shared" si="2"/>
        <v>537</v>
      </c>
      <c r="F22" s="1929">
        <f t="shared" si="1"/>
        <v>537</v>
      </c>
      <c r="G22" s="1790">
        <f t="shared" si="3"/>
        <v>0</v>
      </c>
    </row>
    <row r="23" spans="1:8" x14ac:dyDescent="0.25">
      <c r="A23" s="1934" t="s">
        <v>2086</v>
      </c>
      <c r="B23" s="2569" t="s">
        <v>2239</v>
      </c>
      <c r="C23" s="1936" t="s">
        <v>2094</v>
      </c>
      <c r="D23" s="1841">
        <v>9422</v>
      </c>
      <c r="E23" s="1537">
        <f t="shared" si="2"/>
        <v>9422</v>
      </c>
      <c r="F23" s="1929">
        <f t="shared" si="1"/>
        <v>9422</v>
      </c>
      <c r="G23" s="1790">
        <f t="shared" si="3"/>
        <v>0</v>
      </c>
    </row>
    <row r="24" spans="1:8" x14ac:dyDescent="0.25">
      <c r="A24" s="1934" t="s">
        <v>2092</v>
      </c>
      <c r="B24" s="1935" t="s">
        <v>2102</v>
      </c>
      <c r="C24" s="1936" t="s">
        <v>2069</v>
      </c>
      <c r="D24" s="1841">
        <v>13200</v>
      </c>
      <c r="E24" s="1537">
        <f t="shared" si="2"/>
        <v>13200</v>
      </c>
      <c r="F24" s="1929">
        <f t="shared" si="1"/>
        <v>13200</v>
      </c>
      <c r="G24" s="1790">
        <f t="shared" si="3"/>
        <v>0</v>
      </c>
    </row>
    <row r="25" spans="1:8" x14ac:dyDescent="0.25">
      <c r="A25" s="1934" t="s">
        <v>2095</v>
      </c>
      <c r="B25" s="1935" t="s">
        <v>2103</v>
      </c>
      <c r="C25" s="1936" t="s">
        <v>2096</v>
      </c>
      <c r="D25" s="1841">
        <v>13541</v>
      </c>
      <c r="E25" s="1537">
        <f t="shared" si="2"/>
        <v>13541</v>
      </c>
      <c r="F25" s="1929">
        <f t="shared" si="1"/>
        <v>13541</v>
      </c>
      <c r="G25" s="1790">
        <f t="shared" si="3"/>
        <v>0</v>
      </c>
    </row>
    <row r="26" spans="1:8" x14ac:dyDescent="0.25">
      <c r="A26" s="1934" t="s">
        <v>2095</v>
      </c>
      <c r="B26" s="1935" t="s">
        <v>2103</v>
      </c>
      <c r="C26" s="1936" t="s">
        <v>2097</v>
      </c>
      <c r="D26" s="1841">
        <v>4000</v>
      </c>
      <c r="E26" s="1537">
        <f t="shared" si="2"/>
        <v>4000</v>
      </c>
      <c r="F26" s="1929">
        <f t="shared" si="1"/>
        <v>4000</v>
      </c>
      <c r="G26" s="1790">
        <f t="shared" si="3"/>
        <v>0</v>
      </c>
    </row>
    <row r="27" spans="1:8" x14ac:dyDescent="0.25">
      <c r="A27" s="1934" t="s">
        <v>2092</v>
      </c>
      <c r="B27" s="1935" t="s">
        <v>2102</v>
      </c>
      <c r="C27" s="1936" t="s">
        <v>2098</v>
      </c>
      <c r="D27" s="1841">
        <v>10</v>
      </c>
      <c r="E27" s="1537">
        <f t="shared" si="2"/>
        <v>10</v>
      </c>
      <c r="F27" s="1929">
        <f t="shared" si="1"/>
        <v>10</v>
      </c>
      <c r="G27" s="1790">
        <f t="shared" si="3"/>
        <v>0</v>
      </c>
    </row>
    <row r="28" spans="1:8" x14ac:dyDescent="0.25">
      <c r="A28" s="1934" t="s">
        <v>2086</v>
      </c>
      <c r="B28" s="2569" t="s">
        <v>2239</v>
      </c>
      <c r="C28" s="1936" t="s">
        <v>2099</v>
      </c>
      <c r="D28" s="1841">
        <v>6200</v>
      </c>
      <c r="E28" s="1537">
        <f t="shared" si="2"/>
        <v>6200</v>
      </c>
      <c r="F28" s="1929">
        <f t="shared" si="1"/>
        <v>6200</v>
      </c>
      <c r="G28" s="1790">
        <f t="shared" si="3"/>
        <v>0</v>
      </c>
    </row>
    <row r="29" spans="1:8" x14ac:dyDescent="0.25">
      <c r="A29" s="1934" t="s">
        <v>2092</v>
      </c>
      <c r="B29" s="2569" t="s">
        <v>2239</v>
      </c>
      <c r="C29" s="1936" t="s">
        <v>2100</v>
      </c>
      <c r="D29" s="1841">
        <v>6962</v>
      </c>
      <c r="E29" s="1537">
        <f t="shared" si="2"/>
        <v>6962</v>
      </c>
      <c r="F29" s="1929">
        <f t="shared" si="1"/>
        <v>6962</v>
      </c>
      <c r="G29" s="1790">
        <f t="shared" si="3"/>
        <v>0</v>
      </c>
    </row>
    <row r="30" spans="1:8" x14ac:dyDescent="0.25">
      <c r="A30" s="1934" t="s">
        <v>2092</v>
      </c>
      <c r="B30" s="1935" t="s">
        <v>2102</v>
      </c>
      <c r="C30" s="1936" t="s">
        <v>2101</v>
      </c>
      <c r="D30" s="1841">
        <v>39198</v>
      </c>
      <c r="E30" s="1537">
        <f t="shared" si="2"/>
        <v>25000</v>
      </c>
      <c r="F30" s="1929">
        <f t="shared" si="1"/>
        <v>25000</v>
      </c>
      <c r="G30" s="1790">
        <f t="shared" si="3"/>
        <v>14198</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157265</v>
      </c>
      <c r="E141" s="1538">
        <f t="shared" si="0"/>
        <v>25000</v>
      </c>
      <c r="F141" s="1930">
        <f>SUM(F17:F140)</f>
        <v>128309</v>
      </c>
      <c r="G141" s="1792">
        <f>SUM(G17:G140)</f>
        <v>28956</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55" t="s">
        <v>1679</v>
      </c>
      <c r="B5" s="2356"/>
      <c r="C5" s="2356"/>
      <c r="D5" s="2356"/>
      <c r="E5" s="2356"/>
      <c r="F5" s="2356"/>
      <c r="G5" s="2357"/>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1930</v>
      </c>
      <c r="B10" s="968"/>
      <c r="C10" s="973"/>
      <c r="D10" s="969"/>
      <c r="E10" s="970">
        <v>25769</v>
      </c>
      <c r="F10" s="971"/>
      <c r="G10" s="972"/>
      <c r="H10" s="162"/>
      <c r="I10" s="162"/>
    </row>
    <row r="11" spans="1:9" s="665" customFormat="1" ht="22.5" customHeight="1" x14ac:dyDescent="0.2">
      <c r="A11" s="2360" t="s">
        <v>1974</v>
      </c>
      <c r="B11" s="2361"/>
      <c r="C11" s="2361"/>
      <c r="D11" s="2362"/>
      <c r="E11" s="974">
        <v>2566</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1476311</v>
      </c>
      <c r="F19" s="1796"/>
      <c r="G19" s="1798">
        <f>'Expenditures 15-22'!K33-SUM('Expenditures 15-22'!G33,'Expenditures 15-22'!I33)+'Expenditures 15-22'!D229</f>
        <v>1476311</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2054732</v>
      </c>
      <c r="F21" s="1799"/>
      <c r="G21" s="1802">
        <f>'Expenditures 15-22'!K42-SUM('Expenditures 15-22'!G42,'Expenditures 15-22'!I42)+'Expenditures 15-22'!K120-SUM('Expenditures 15-22'!G120,'Expenditures 15-22'!I120)+'Expenditures 15-22'!K180-SUM('Expenditures 15-22'!G180,'Expenditures 15-22'!I180)+'Expenditures 15-22'!D238</f>
        <v>2054732</v>
      </c>
      <c r="H21" s="984"/>
      <c r="I21" s="162"/>
    </row>
    <row r="22" spans="1:9" s="665" customFormat="1" ht="12" customHeight="1" x14ac:dyDescent="0.2">
      <c r="A22" s="991" t="s">
        <v>564</v>
      </c>
      <c r="B22" s="992"/>
      <c r="C22" s="990">
        <v>2200</v>
      </c>
      <c r="D22" s="1799"/>
      <c r="E22" s="1801">
        <f>'Expenditures 15-22'!K47-SUM('Expenditures 15-22'!G47,'Expenditures 15-22'!I47)+'Expenditures 15-22'!D243</f>
        <v>322741</v>
      </c>
      <c r="F22" s="1799"/>
      <c r="G22" s="1802">
        <f>'Expenditures 15-22'!K47-SUM('Expenditures 15-22'!G47,'Expenditures 15-22'!I47)+'Expenditures 15-22'!D243</f>
        <v>322741</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555514</v>
      </c>
      <c r="F23" s="1799"/>
      <c r="G23" s="1801">
        <f>'Expenditures 15-22'!K53-SUM('Expenditures 15-22'!G53,'Expenditures 15-22'!I53)+'Expenditures 15-22'!D257+'Expenditures 15-22'!K330-SUM('Expenditures 15-22'!G330,'Expenditures 15-22'!I330)</f>
        <v>555514</v>
      </c>
      <c r="H23" s="984"/>
      <c r="I23" s="162"/>
    </row>
    <row r="24" spans="1:9" s="665" customFormat="1" ht="12" customHeight="1" x14ac:dyDescent="0.2">
      <c r="A24" s="991" t="s">
        <v>566</v>
      </c>
      <c r="B24" s="992"/>
      <c r="C24" s="990">
        <v>2400</v>
      </c>
      <c r="D24" s="1799"/>
      <c r="E24" s="1801">
        <f>'Expenditures 15-22'!K57-SUM('Expenditures 15-22'!G57,'Expenditures 15-22'!I57)+'Expenditures 15-22'!D261</f>
        <v>0</v>
      </c>
      <c r="F24" s="1799"/>
      <c r="G24" s="1802">
        <f>'Expenditures 15-22'!K57-SUM('Expenditures 15-22'!G57,'Expenditures 15-22'!I57)+'Expenditures 15-22'!D261</f>
        <v>0</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83834</v>
      </c>
      <c r="E27" s="1801">
        <f>E8</f>
        <v>0</v>
      </c>
      <c r="F27" s="1801">
        <f>'Expenditures 15-22'!K60-SUM('Expenditures 15-22'!G60,'Expenditures 15-22'!I60)+'Expenditures 15-22'!D264-E8</f>
        <v>83834</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250167</v>
      </c>
      <c r="F28" s="1803">
        <f>'Expenditures 15-22'!K61-SUM('Expenditures 15-22'!G61,'Expenditures 15-22'!I61)+'Expenditures 15-22'!K124-SUM('Expenditures 15-22'!G124,'Expenditures 15-22'!I124)+'Expenditures 15-22'!D266-E9</f>
        <v>250167</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10675</v>
      </c>
      <c r="F29" s="1799"/>
      <c r="G29" s="1802">
        <f>'Expenditures 15-22'!K62-SUM('Expenditures 15-22'!G62,'Expenditures 15-22'!I62)+'Expenditures 15-22'!K125-SUM('Expenditures 15-22'!G125,'Expenditures 15-22'!I125)+'Expenditures 15-22'!K182-SUM('Expenditures 15-22'!G182,'Expenditures 15-22'!I182)+'Expenditures 15-22'!D267</f>
        <v>10675</v>
      </c>
      <c r="H29" s="982"/>
    </row>
    <row r="30" spans="1:9" ht="12" customHeight="1" x14ac:dyDescent="0.2">
      <c r="A30" s="991" t="s">
        <v>100</v>
      </c>
      <c r="B30" s="994"/>
      <c r="C30" s="990">
        <v>2560</v>
      </c>
      <c r="D30" s="1799"/>
      <c r="E30" s="1801">
        <f>'Expenditures 15-22'!K63-SUM('Expenditures 15-22'!G63,'Expenditures 15-22'!I63)+'Expenditures 15-22'!D268-E10</f>
        <v>41762</v>
      </c>
      <c r="F30" s="1799"/>
      <c r="G30" s="1801">
        <f>'Expenditures 15-22'!K63-SUM('Expenditures 15-22'!G63,'Expenditures 15-22'!I63)+'Expenditures 15-22'!D268-E10</f>
        <v>41762</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0</v>
      </c>
      <c r="F39" s="1799"/>
      <c r="G39" s="180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1820</v>
      </c>
      <c r="B40" s="988"/>
      <c r="C40" s="990"/>
      <c r="D40" s="1799"/>
      <c r="E40" s="1803">
        <f>-'Contracts Paid in CY 29'!G141</f>
        <v>-28956</v>
      </c>
      <c r="F40" s="1799"/>
      <c r="G40" s="1803">
        <f>-'Contracts Paid in CY 29'!G141</f>
        <v>-28956</v>
      </c>
    </row>
    <row r="41" spans="1:7" ht="12" customHeight="1" x14ac:dyDescent="0.2">
      <c r="A41" s="995" t="s">
        <v>156</v>
      </c>
      <c r="B41" s="996"/>
      <c r="C41" s="997"/>
      <c r="D41" s="1803">
        <f>SUM(D19:D39)</f>
        <v>83834</v>
      </c>
      <c r="E41" s="1803">
        <f>SUM(E19:E40)</f>
        <v>4682946</v>
      </c>
      <c r="F41" s="1803">
        <f>SUM(F19:F39)</f>
        <v>334001</v>
      </c>
      <c r="G41" s="1803">
        <f>SUM(G19:G40)</f>
        <v>4432779</v>
      </c>
    </row>
    <row r="42" spans="1:7" x14ac:dyDescent="0.2">
      <c r="A42" s="984"/>
      <c r="B42" s="162"/>
      <c r="C42" s="998"/>
      <c r="D42" s="2358" t="s">
        <v>522</v>
      </c>
      <c r="E42" s="2359"/>
      <c r="F42" s="999" t="s">
        <v>523</v>
      </c>
      <c r="G42" s="1000"/>
    </row>
    <row r="43" spans="1:7" ht="12" customHeight="1" x14ac:dyDescent="0.2">
      <c r="A43" s="984"/>
      <c r="B43" s="162"/>
      <c r="C43" s="998"/>
      <c r="D43" s="1804" t="s">
        <v>473</v>
      </c>
      <c r="E43" s="1805">
        <f>D41</f>
        <v>83834</v>
      </c>
      <c r="F43" s="1804" t="s">
        <v>473</v>
      </c>
      <c r="G43" s="1805">
        <f>F41</f>
        <v>334001</v>
      </c>
    </row>
    <row r="44" spans="1:7" ht="12" customHeight="1" x14ac:dyDescent="0.2">
      <c r="A44" s="984"/>
      <c r="B44" s="162"/>
      <c r="C44" s="998"/>
      <c r="D44" s="1804" t="s">
        <v>474</v>
      </c>
      <c r="E44" s="1805">
        <f>E41</f>
        <v>4682946</v>
      </c>
      <c r="F44" s="1804" t="s">
        <v>474</v>
      </c>
      <c r="G44" s="1805">
        <f>G41</f>
        <v>4432779</v>
      </c>
    </row>
    <row r="45" spans="1:7" ht="12" customHeight="1" x14ac:dyDescent="0.2">
      <c r="A45" s="984"/>
      <c r="B45" s="162"/>
      <c r="C45" s="162"/>
      <c r="D45" s="1806" t="s">
        <v>1006</v>
      </c>
      <c r="E45" s="1807">
        <f>(E43/E44)</f>
        <v>1.7901978797107632E-2</v>
      </c>
      <c r="F45" s="1806" t="s">
        <v>1006</v>
      </c>
      <c r="G45" s="1807">
        <f>(G43/G44)</f>
        <v>7.5347992760297772E-2</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66" t="s">
        <v>1379</v>
      </c>
      <c r="B1" s="2366"/>
      <c r="C1" s="2366"/>
      <c r="D1" s="2366"/>
      <c r="E1" s="2366"/>
      <c r="F1" s="2366"/>
    </row>
    <row r="2" spans="1:10" x14ac:dyDescent="0.2">
      <c r="A2" s="1884" t="s">
        <v>1909</v>
      </c>
      <c r="B2" s="1845"/>
      <c r="C2" s="1884"/>
      <c r="D2" s="1845"/>
      <c r="E2" s="1845"/>
      <c r="F2" s="1846"/>
    </row>
    <row r="3" spans="1:10" x14ac:dyDescent="0.2">
      <c r="A3" s="1884" t="s">
        <v>1975</v>
      </c>
      <c r="B3" s="1845"/>
      <c r="C3" s="1884"/>
      <c r="D3" s="1845"/>
      <c r="E3" s="1845"/>
      <c r="F3" s="1846"/>
    </row>
    <row r="4" spans="1:10" ht="3.75" customHeight="1" x14ac:dyDescent="0.2">
      <c r="A4" s="1845"/>
      <c r="B4" s="1845"/>
      <c r="C4" s="1845"/>
      <c r="D4" s="1845"/>
      <c r="E4" s="1845"/>
      <c r="F4" s="1846"/>
    </row>
    <row r="5" spans="1:10" ht="15" x14ac:dyDescent="0.25">
      <c r="A5" s="2367" t="s">
        <v>1546</v>
      </c>
      <c r="B5" s="2368"/>
      <c r="C5" s="2369"/>
      <c r="D5" s="2369"/>
      <c r="E5" s="2369"/>
      <c r="F5" s="2369"/>
    </row>
    <row r="6" spans="1:10" ht="12" customHeight="1" x14ac:dyDescent="0.25">
      <c r="A6" s="1847"/>
      <c r="B6" s="1848"/>
      <c r="C6" s="2370" t="str">
        <f>COVER!A17</f>
        <v>Tazewell Mason Cntys Sp Ed Assoc</v>
      </c>
      <c r="D6" s="2370"/>
      <c r="E6" s="2370"/>
      <c r="F6" s="1849"/>
    </row>
    <row r="7" spans="1:10" ht="11.25" customHeight="1" thickBot="1" x14ac:dyDescent="0.3">
      <c r="A7" s="1847"/>
      <c r="B7" s="1848"/>
      <c r="C7" s="2371">
        <f>COVER!A13</f>
        <v>53090309061</v>
      </c>
      <c r="D7" s="2371"/>
      <c r="E7" s="2371"/>
      <c r="F7" s="1849"/>
    </row>
    <row r="8" spans="1:10" ht="25.5" customHeight="1" thickBot="1" x14ac:dyDescent="0.25">
      <c r="A8" s="1890" t="s">
        <v>1905</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2067</v>
      </c>
      <c r="D26" s="1862" t="s">
        <v>2108</v>
      </c>
      <c r="E26" s="1865"/>
      <c r="F26" s="1864" t="s">
        <v>2078</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5</v>
      </c>
      <c r="I34" s="1875">
        <f>SUM(I11:I32)</f>
        <v>5</v>
      </c>
      <c r="J34" s="1875">
        <f>SUM(J11:J32)</f>
        <v>0</v>
      </c>
      <c r="K34" s="1875">
        <f>SUM(H34:J34)</f>
        <v>10</v>
      </c>
    </row>
    <row r="35" spans="1:11" ht="12" customHeight="1" x14ac:dyDescent="0.2">
      <c r="A35" s="1868" t="s">
        <v>1392</v>
      </c>
      <c r="B35" s="1869"/>
      <c r="C35" s="2372"/>
      <c r="D35" s="2372"/>
      <c r="E35" s="2372"/>
      <c r="F35" s="2373"/>
    </row>
    <row r="36" spans="1:11" ht="12" customHeight="1" x14ac:dyDescent="0.2">
      <c r="A36" s="2363"/>
      <c r="B36" s="2364"/>
      <c r="C36" s="2364"/>
      <c r="D36" s="2364"/>
      <c r="E36" s="2364"/>
      <c r="F36" s="2365"/>
    </row>
    <row r="37" spans="1:11" ht="12" customHeight="1" x14ac:dyDescent="0.2">
      <c r="A37" s="2363"/>
      <c r="B37" s="2364"/>
      <c r="C37" s="2364"/>
      <c r="D37" s="2364"/>
      <c r="E37" s="2364"/>
      <c r="F37" s="2365"/>
    </row>
    <row r="38" spans="1:11" ht="12" customHeight="1" x14ac:dyDescent="0.2">
      <c r="A38" s="2377"/>
      <c r="B38" s="2378"/>
      <c r="C38" s="2378"/>
      <c r="D38" s="2378"/>
      <c r="E38" s="2378"/>
      <c r="F38" s="2379"/>
    </row>
    <row r="39" spans="1:11" ht="4.5" hidden="1" customHeight="1" x14ac:dyDescent="0.2">
      <c r="A39" s="1870"/>
      <c r="B39" s="1870"/>
      <c r="C39" s="1870"/>
      <c r="D39" s="1870"/>
      <c r="E39" s="1870"/>
      <c r="F39" s="1870"/>
    </row>
    <row r="40" spans="1:11" s="1867" customFormat="1" ht="12" customHeight="1" x14ac:dyDescent="0.25">
      <c r="A40" s="1871" t="s">
        <v>1391</v>
      </c>
      <c r="B40" s="1872"/>
      <c r="C40" s="2380"/>
      <c r="D40" s="2380"/>
      <c r="E40" s="2380"/>
      <c r="F40" s="2381"/>
      <c r="H40" s="1876"/>
      <c r="I40" s="1876"/>
      <c r="J40" s="1876"/>
      <c r="K40" s="1876"/>
    </row>
    <row r="41" spans="1:11" s="1867" customFormat="1" ht="12" customHeight="1" x14ac:dyDescent="0.25">
      <c r="A41" s="2382" t="s">
        <v>2079</v>
      </c>
      <c r="B41" s="2383"/>
      <c r="C41" s="2383"/>
      <c r="D41" s="2383"/>
      <c r="E41" s="2383"/>
      <c r="F41" s="2384"/>
      <c r="H41" s="1876"/>
      <c r="I41" s="1876"/>
      <c r="J41" s="1876"/>
      <c r="K41" s="1876"/>
    </row>
    <row r="42" spans="1:11" s="1867" customFormat="1" ht="12" customHeight="1" x14ac:dyDescent="0.25">
      <c r="A42" s="2382" t="s">
        <v>2080</v>
      </c>
      <c r="B42" s="2383"/>
      <c r="C42" s="2383"/>
      <c r="D42" s="2383"/>
      <c r="E42" s="2383"/>
      <c r="F42" s="2384"/>
      <c r="H42" s="1876"/>
      <c r="I42" s="1876"/>
      <c r="J42" s="1876"/>
      <c r="K42" s="1876"/>
    </row>
    <row r="43" spans="1:11" s="1867" customFormat="1" ht="15" x14ac:dyDescent="0.25">
      <c r="A43" s="2374" t="s">
        <v>2081</v>
      </c>
      <c r="B43" s="2375"/>
      <c r="C43" s="2375"/>
      <c r="D43" s="2375"/>
      <c r="E43" s="2375"/>
      <c r="F43" s="2376"/>
      <c r="H43" s="1876"/>
      <c r="I43" s="1876"/>
      <c r="J43" s="1876"/>
      <c r="K43" s="1876"/>
    </row>
    <row r="44" spans="1:11" s="1867" customFormat="1" ht="12" hidden="1" customHeight="1" x14ac:dyDescent="0.25">
      <c r="A44" s="2374"/>
      <c r="B44" s="2375"/>
      <c r="C44" s="2375"/>
      <c r="D44" s="2375"/>
      <c r="E44" s="2375"/>
      <c r="F44" s="2376"/>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25" right="0.25" top="0.75" bottom="0.75" header="0.3" footer="0.3"/>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90" t="str">
        <f>COVER!A17</f>
        <v>Tazewell Mason Cntys Sp Ed Assoc</v>
      </c>
      <c r="J6" s="2391"/>
      <c r="Q6" s="1661"/>
    </row>
    <row r="7" spans="1:17" x14ac:dyDescent="0.2">
      <c r="A7" s="2392" t="s">
        <v>869</v>
      </c>
      <c r="B7" s="2393"/>
      <c r="C7" s="2393"/>
      <c r="D7" s="2393"/>
      <c r="E7" s="2394"/>
      <c r="F7" s="1014"/>
      <c r="G7" s="1006"/>
      <c r="H7" s="1013" t="s">
        <v>372</v>
      </c>
      <c r="I7" s="2395">
        <f>COVER!A13</f>
        <v>53090309061</v>
      </c>
      <c r="J7" s="2395"/>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1976</v>
      </c>
      <c r="F9" s="1020"/>
      <c r="G9" s="1020"/>
      <c r="H9" s="1893" t="s">
        <v>1977</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96" t="s">
        <v>481</v>
      </c>
      <c r="B11" s="2397"/>
      <c r="C11" s="2398"/>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564204</v>
      </c>
      <c r="F12" s="1036"/>
      <c r="G12" s="1808">
        <f t="shared" ref="G12:G18" si="0">SUM(E12:F12)</f>
        <v>564204</v>
      </c>
      <c r="H12" s="1037"/>
      <c r="I12" s="1036"/>
      <c r="J12" s="1808">
        <f t="shared" ref="J12:J18" si="1">SUM(H12:I12)</f>
        <v>0</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99" t="s">
        <v>7</v>
      </c>
      <c r="C18" s="2400"/>
      <c r="D18" s="2401"/>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564204</v>
      </c>
      <c r="F19" s="1810">
        <f t="shared" si="2"/>
        <v>0</v>
      </c>
      <c r="G19" s="1810">
        <f t="shared" si="2"/>
        <v>564204</v>
      </c>
      <c r="H19" s="1810">
        <f t="shared" si="2"/>
        <v>0</v>
      </c>
      <c r="I19" s="1810">
        <f t="shared" si="2"/>
        <v>0</v>
      </c>
      <c r="J19" s="1810">
        <f t="shared" si="2"/>
        <v>0</v>
      </c>
    </row>
    <row r="20" spans="1:10" ht="13.5" thickTop="1" x14ac:dyDescent="0.2">
      <c r="A20" s="1032">
        <v>9</v>
      </c>
      <c r="B20" s="2402" t="s">
        <v>1978</v>
      </c>
      <c r="C20" s="2402"/>
      <c r="D20" s="2403"/>
      <c r="E20" s="1043"/>
      <c r="F20" s="1043"/>
      <c r="G20" s="1043"/>
      <c r="H20" s="1043"/>
      <c r="I20" s="1043"/>
      <c r="J20" s="1811" t="str">
        <f>IF(AND(G19&gt;0,J19&gt;0),(((J19-G19)/G19)),"Enter Budget Data")</f>
        <v>Enter Budget Data</v>
      </c>
    </row>
    <row r="21" spans="1:10" ht="9" customHeight="1" x14ac:dyDescent="0.2">
      <c r="B21" s="1044"/>
    </row>
    <row r="22" spans="1:10" x14ac:dyDescent="0.2">
      <c r="A22" s="1045" t="s">
        <v>133</v>
      </c>
      <c r="B22" s="1044"/>
    </row>
    <row r="23" spans="1:10" x14ac:dyDescent="0.2">
      <c r="A23" s="1008" t="s">
        <v>1979</v>
      </c>
      <c r="B23" s="1044"/>
    </row>
    <row r="24" spans="1:10" x14ac:dyDescent="0.2">
      <c r="A24" s="1008" t="s">
        <v>1992</v>
      </c>
      <c r="B24" s="1044"/>
    </row>
    <row r="25" spans="1:10" x14ac:dyDescent="0.2">
      <c r="A25" s="1046"/>
      <c r="B25" s="1044"/>
    </row>
    <row r="26" spans="1:10" ht="20.100000000000001" customHeight="1" x14ac:dyDescent="0.2">
      <c r="B26" s="1044"/>
      <c r="C26" s="2408"/>
      <c r="D26" s="2408"/>
      <c r="E26" s="1047"/>
      <c r="F26" s="2407"/>
      <c r="G26" s="2407"/>
    </row>
    <row r="27" spans="1:10" x14ac:dyDescent="0.2">
      <c r="B27" s="1044"/>
      <c r="C27" s="1048" t="s">
        <v>1033</v>
      </c>
      <c r="D27" s="1049"/>
      <c r="E27" s="1050"/>
      <c r="F27" s="2404" t="s">
        <v>1509</v>
      </c>
      <c r="G27" s="2404"/>
    </row>
    <row r="28" spans="1:10" ht="28.5" customHeight="1" x14ac:dyDescent="0.2">
      <c r="B28" s="1044"/>
      <c r="C28" s="2406"/>
      <c r="D28" s="2406"/>
      <c r="E28" s="1051"/>
      <c r="F28" s="2406"/>
      <c r="G28" s="2406"/>
    </row>
    <row r="29" spans="1:10" x14ac:dyDescent="0.2">
      <c r="B29" s="1044"/>
      <c r="C29" s="1052" t="s">
        <v>1561</v>
      </c>
      <c r="E29" s="1053"/>
      <c r="F29" s="2405" t="s">
        <v>1510</v>
      </c>
      <c r="G29" s="2405"/>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87" t="s">
        <v>132</v>
      </c>
      <c r="D33" s="2388"/>
      <c r="E33" s="2388"/>
      <c r="F33" s="2388"/>
      <c r="G33" s="2388"/>
      <c r="H33" s="2388"/>
      <c r="I33" s="2388"/>
    </row>
    <row r="34" spans="1:10" ht="10.35" customHeight="1" x14ac:dyDescent="0.2">
      <c r="C34" s="2388"/>
      <c r="D34" s="2388"/>
      <c r="E34" s="2388"/>
      <c r="F34" s="2388"/>
      <c r="G34" s="2388"/>
      <c r="H34" s="2388"/>
      <c r="I34" s="2388"/>
    </row>
    <row r="35" spans="1:10" ht="7.5" customHeight="1" x14ac:dyDescent="0.2">
      <c r="C35" s="1059"/>
    </row>
    <row r="36" spans="1:10" ht="13.5" customHeight="1" x14ac:dyDescent="0.2">
      <c r="B36" s="1058"/>
      <c r="C36" s="2389" t="s">
        <v>1980</v>
      </c>
      <c r="D36" s="2388"/>
      <c r="E36" s="2388"/>
      <c r="F36" s="2388"/>
      <c r="G36" s="2388"/>
      <c r="H36" s="2388"/>
      <c r="I36" s="2388"/>
      <c r="J36" s="1060"/>
    </row>
    <row r="37" spans="1:10" ht="22.5" customHeight="1" x14ac:dyDescent="0.2">
      <c r="C37" s="2388"/>
      <c r="D37" s="2388"/>
      <c r="E37" s="2388"/>
      <c r="F37" s="2388"/>
      <c r="G37" s="2388"/>
      <c r="H37" s="2388"/>
      <c r="I37" s="2388"/>
      <c r="J37" s="1060"/>
    </row>
    <row r="38" spans="1:10" ht="7.5" customHeight="1" x14ac:dyDescent="0.2">
      <c r="C38" s="1059"/>
      <c r="D38" s="1061"/>
      <c r="E38" s="1062"/>
      <c r="F38" s="1063"/>
      <c r="G38" s="1062"/>
    </row>
    <row r="39" spans="1:10" ht="13.5" customHeight="1" x14ac:dyDescent="0.2">
      <c r="B39" s="1058"/>
      <c r="C39" s="2385" t="s">
        <v>882</v>
      </c>
      <c r="D39" s="2386"/>
      <c r="E39" s="2386"/>
      <c r="F39" s="2386"/>
      <c r="G39" s="2386"/>
      <c r="H39" s="2386"/>
      <c r="I39" s="2386"/>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2104</v>
      </c>
    </row>
    <row r="6" spans="1:2" x14ac:dyDescent="0.2">
      <c r="A6" s="1065">
        <v>2</v>
      </c>
      <c r="B6" s="329" t="s">
        <v>2105</v>
      </c>
    </row>
    <row r="7" spans="1:2" x14ac:dyDescent="0.2">
      <c r="A7" s="1065">
        <v>3</v>
      </c>
    </row>
    <row r="8" spans="1:2" x14ac:dyDescent="0.2">
      <c r="A8" s="1065">
        <v>4</v>
      </c>
    </row>
    <row r="9" spans="1:2" x14ac:dyDescent="0.2">
      <c r="A9" s="1066"/>
    </row>
    <row r="10" spans="1:2" x14ac:dyDescent="0.2">
      <c r="A10" s="1066"/>
    </row>
    <row r="11" spans="1:2" x14ac:dyDescent="0.2">
      <c r="A11" s="1066"/>
      <c r="B11" s="389" t="s">
        <v>2121</v>
      </c>
    </row>
    <row r="12" spans="1:2" x14ac:dyDescent="0.2">
      <c r="A12" s="1066"/>
      <c r="B12" s="329" t="s">
        <v>2122</v>
      </c>
    </row>
    <row r="13" spans="1:2" x14ac:dyDescent="0.2">
      <c r="A13" s="1066"/>
      <c r="B13" s="329" t="s">
        <v>2123</v>
      </c>
    </row>
    <row r="14" spans="1:2" x14ac:dyDescent="0.2">
      <c r="A14" s="1066"/>
      <c r="B14" s="329" t="s">
        <v>2128</v>
      </c>
    </row>
    <row r="15" spans="1:2" x14ac:dyDescent="0.2">
      <c r="A15" s="1066"/>
    </row>
    <row r="16" spans="1:2" x14ac:dyDescent="0.2">
      <c r="A16" s="1066"/>
      <c r="B16" s="329" t="s">
        <v>2124</v>
      </c>
    </row>
    <row r="17" spans="1:2" x14ac:dyDescent="0.2">
      <c r="A17" s="1066"/>
      <c r="B17" s="329" t="s">
        <v>2125</v>
      </c>
    </row>
    <row r="18" spans="1:2" x14ac:dyDescent="0.2">
      <c r="A18" s="1066"/>
      <c r="B18" s="329" t="s">
        <v>2126</v>
      </c>
    </row>
    <row r="19" spans="1:2" x14ac:dyDescent="0.2">
      <c r="A19" s="1066"/>
      <c r="B19" s="329" t="s">
        <v>2127</v>
      </c>
    </row>
    <row r="20" spans="1:2" x14ac:dyDescent="0.2">
      <c r="A20" s="1066"/>
    </row>
    <row r="21" spans="1:2" x14ac:dyDescent="0.2">
      <c r="A21" s="1066"/>
    </row>
    <row r="22" spans="1:2" x14ac:dyDescent="0.2">
      <c r="A22" s="1066"/>
    </row>
    <row r="23" spans="1:2" x14ac:dyDescent="0.2">
      <c r="A23" s="1066"/>
    </row>
    <row r="24" spans="1:2" x14ac:dyDescent="0.2">
      <c r="A24" s="1066"/>
    </row>
    <row r="25" spans="1:2" x14ac:dyDescent="0.2">
      <c r="A25" s="1066"/>
    </row>
    <row r="26" spans="1:2" x14ac:dyDescent="0.2">
      <c r="A26" s="1066"/>
    </row>
    <row r="27" spans="1:2" x14ac:dyDescent="0.2">
      <c r="A27" s="1066"/>
    </row>
    <row r="28" spans="1:2" x14ac:dyDescent="0.2">
      <c r="A28" s="1066"/>
    </row>
    <row r="29" spans="1:2" x14ac:dyDescent="0.2">
      <c r="A29" s="1066"/>
    </row>
    <row r="30" spans="1:2" x14ac:dyDescent="0.2">
      <c r="A30" s="1066"/>
    </row>
    <row r="31" spans="1:2" x14ac:dyDescent="0.2">
      <c r="A31" s="1066"/>
    </row>
    <row r="32" spans="1:2"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Tazewell Mason Cntys Sp Ed Assoc</v>
      </c>
    </row>
    <row r="65" spans="2:2" x14ac:dyDescent="0.2">
      <c r="B65" s="1067">
        <f>COVER!A13</f>
        <v>53090309061</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3" t="s">
        <v>1611</v>
      </c>
    </row>
    <row r="23" spans="1:5" x14ac:dyDescent="0.2">
      <c r="A23" s="168"/>
      <c r="B23" s="162" t="s">
        <v>1854</v>
      </c>
      <c r="D23" s="167" t="s">
        <v>637</v>
      </c>
      <c r="E23" s="1833"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26" t="s">
        <v>1065</v>
      </c>
      <c r="B35" s="2126"/>
      <c r="C35" s="2126"/>
      <c r="D35" s="2126"/>
      <c r="E35" s="212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23" t="s">
        <v>691</v>
      </c>
      <c r="B40" s="2123"/>
      <c r="C40" s="2123"/>
      <c r="D40" s="2123"/>
      <c r="E40" s="2123"/>
    </row>
    <row r="41" spans="1:5" x14ac:dyDescent="0.2">
      <c r="A41" s="2124" t="s">
        <v>1608</v>
      </c>
      <c r="B41" s="2124"/>
      <c r="C41" s="2124"/>
      <c r="D41" s="2124"/>
      <c r="E41" s="2124"/>
    </row>
    <row r="42" spans="1:5" ht="12.75" customHeight="1" x14ac:dyDescent="0.2">
      <c r="A42" s="2125" t="s">
        <v>1022</v>
      </c>
      <c r="B42" s="2125"/>
      <c r="C42" s="2125"/>
      <c r="D42" s="2125"/>
      <c r="E42" s="2125"/>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2" t="s">
        <v>1773</v>
      </c>
    </row>
    <row r="60" spans="1:3" x14ac:dyDescent="0.2">
      <c r="A60" s="196"/>
      <c r="B60" s="1482"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4"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3"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37" sqref="B37"/>
    </sheetView>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409" t="s">
        <v>1685</v>
      </c>
      <c r="B18" s="240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571500</xdr:colOff>
                <xdr:row>3</xdr:row>
                <xdr:rowOff>76200</xdr:rowOff>
              </from>
              <to>
                <xdr:col>1</xdr:col>
                <xdr:colOff>1485900</xdr:colOff>
                <xdr:row>7</xdr:row>
                <xdr:rowOff>114300</xdr:rowOff>
              </to>
            </anchor>
          </objectPr>
        </oleObject>
      </mc:Choice>
      <mc:Fallback>
        <oleObject progId="Acrobat Documen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10" t="s">
        <v>1690</v>
      </c>
      <c r="B1" s="2411"/>
      <c r="C1" s="2411"/>
      <c r="D1" s="2411"/>
      <c r="E1" s="2411"/>
      <c r="F1" s="2412"/>
    </row>
    <row r="2" spans="1:8" ht="45" customHeight="1" x14ac:dyDescent="0.2">
      <c r="A2" s="2420" t="s">
        <v>1984</v>
      </c>
      <c r="B2" s="2421"/>
      <c r="C2" s="2421"/>
      <c r="D2" s="2421"/>
      <c r="E2" s="2421"/>
      <c r="F2" s="2422"/>
      <c r="G2" s="1071"/>
      <c r="H2" s="1071"/>
    </row>
    <row r="3" spans="1:8" ht="57" customHeight="1" x14ac:dyDescent="0.2">
      <c r="A3" s="2423" t="s">
        <v>1686</v>
      </c>
      <c r="B3" s="2424"/>
      <c r="C3" s="2424"/>
      <c r="D3" s="2424"/>
      <c r="E3" s="2424"/>
      <c r="F3" s="2425"/>
      <c r="G3" s="1071"/>
      <c r="H3" s="1071"/>
    </row>
    <row r="4" spans="1:8" ht="14.25" customHeight="1" x14ac:dyDescent="0.2">
      <c r="A4" s="2429" t="s">
        <v>1985</v>
      </c>
      <c r="B4" s="2430"/>
      <c r="C4" s="2430"/>
      <c r="D4" s="2430"/>
      <c r="E4" s="2430"/>
      <c r="F4" s="2431"/>
      <c r="G4" s="1071"/>
      <c r="H4" s="1071"/>
    </row>
    <row r="5" spans="1:8" ht="14.25" customHeight="1" x14ac:dyDescent="0.2">
      <c r="A5" s="2432" t="s">
        <v>1981</v>
      </c>
      <c r="B5" s="2433"/>
      <c r="C5" s="2433"/>
      <c r="D5" s="2433"/>
      <c r="E5" s="2433"/>
      <c r="F5" s="2434"/>
      <c r="G5" s="1071"/>
      <c r="H5" s="1071"/>
    </row>
    <row r="6" spans="1:8" s="1072" customFormat="1" ht="41.25" customHeight="1" x14ac:dyDescent="0.2">
      <c r="A6" s="2426" t="s">
        <v>1691</v>
      </c>
      <c r="B6" s="2427"/>
      <c r="C6" s="2427"/>
      <c r="D6" s="2427"/>
      <c r="E6" s="2427"/>
      <c r="F6" s="2428"/>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9693213</v>
      </c>
      <c r="C8" s="1812">
        <f>'Acct Summary 7-8'!D8</f>
        <v>0</v>
      </c>
      <c r="D8" s="1812">
        <f>'Acct Summary 7-8'!F8</f>
        <v>10896</v>
      </c>
      <c r="E8" s="1812">
        <f>'Acct Summary 7-8'!I8</f>
        <v>0</v>
      </c>
      <c r="F8" s="1812">
        <f>SUM(B8:E8)</f>
        <v>9704109</v>
      </c>
    </row>
    <row r="9" spans="1:8" s="1076" customFormat="1" ht="14.25" customHeight="1" thickBot="1" x14ac:dyDescent="0.25">
      <c r="A9" s="1075" t="s">
        <v>1369</v>
      </c>
      <c r="B9" s="1813">
        <f>'Acct Summary 7-8'!C17</f>
        <v>10026638</v>
      </c>
      <c r="C9" s="1813">
        <f>'Acct Summary 7-8'!D17</f>
        <v>0</v>
      </c>
      <c r="D9" s="1813">
        <f>'Acct Summary 7-8'!F17</f>
        <v>10675</v>
      </c>
      <c r="E9" s="1812"/>
      <c r="F9" s="1812">
        <f>SUM(B9:E9)</f>
        <v>10037313</v>
      </c>
    </row>
    <row r="10" spans="1:8" s="1076" customFormat="1" ht="14.25" thickTop="1" thickBot="1" x14ac:dyDescent="0.25">
      <c r="A10" s="1077" t="s">
        <v>1370</v>
      </c>
      <c r="B10" s="1814">
        <f>(B8-B9)</f>
        <v>-333425</v>
      </c>
      <c r="C10" s="1814">
        <f>(C8-C9)</f>
        <v>0</v>
      </c>
      <c r="D10" s="1814">
        <f>(D8-D9)</f>
        <v>221</v>
      </c>
      <c r="E10" s="1813">
        <f>(E8-E9)</f>
        <v>0</v>
      </c>
      <c r="F10" s="1815">
        <f>SUM(F8-F9)</f>
        <v>-333204</v>
      </c>
    </row>
    <row r="11" spans="1:8" s="1076" customFormat="1" ht="14.25" thickTop="1" thickBot="1" x14ac:dyDescent="0.25">
      <c r="A11" s="1078" t="s">
        <v>1982</v>
      </c>
      <c r="B11" s="1816">
        <f>'Acct Summary 7-8'!C81</f>
        <v>277628</v>
      </c>
      <c r="C11" s="1816">
        <f>'Acct Summary 7-8'!D81</f>
        <v>472037</v>
      </c>
      <c r="D11" s="1816">
        <f>'Acct Summary 7-8'!F81</f>
        <v>4499</v>
      </c>
      <c r="E11" s="1816">
        <f>'Acct Summary 7-8'!I81</f>
        <v>0</v>
      </c>
      <c r="F11" s="1817">
        <f>SUM(B11:E11)</f>
        <v>754164</v>
      </c>
    </row>
    <row r="12" spans="1:8" ht="16.5" customHeight="1" thickTop="1" x14ac:dyDescent="0.2">
      <c r="A12" s="1079"/>
      <c r="B12" s="1080"/>
      <c r="C12" s="2414"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415"/>
      <c r="E12" s="2415"/>
      <c r="F12" s="2416"/>
    </row>
    <row r="13" spans="1:8" ht="19.5" customHeight="1" x14ac:dyDescent="0.2">
      <c r="A13" s="1081"/>
      <c r="B13" s="1082"/>
      <c r="C13" s="2414"/>
      <c r="D13" s="2415"/>
      <c r="E13" s="2415"/>
      <c r="F13" s="2416"/>
      <c r="H13" s="1071"/>
    </row>
    <row r="14" spans="1:8" ht="19.5" customHeight="1" x14ac:dyDescent="0.2">
      <c r="A14" s="1081"/>
      <c r="B14" s="1082"/>
      <c r="C14" s="2414"/>
      <c r="D14" s="2415"/>
      <c r="E14" s="2415"/>
      <c r="F14" s="2416"/>
      <c r="H14" s="1071"/>
    </row>
    <row r="15" spans="1:8" ht="17.25" customHeight="1" x14ac:dyDescent="0.2">
      <c r="A15" s="1081"/>
      <c r="B15" s="1082"/>
      <c r="C15" s="2417"/>
      <c r="D15" s="2418"/>
      <c r="E15" s="2418"/>
      <c r="F15" s="2419"/>
      <c r="H15" s="1071"/>
    </row>
    <row r="16" spans="1:8" s="310" customFormat="1" ht="51.75" hidden="1" customHeight="1" x14ac:dyDescent="0.2">
      <c r="A16" s="2413" t="s">
        <v>1687</v>
      </c>
      <c r="B16" s="2413"/>
      <c r="C16" s="2413"/>
      <c r="D16" s="2413"/>
      <c r="E16" s="2413"/>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435" t="s">
        <v>665</v>
      </c>
      <c r="B3" s="2436"/>
      <c r="C3" s="2436"/>
      <c r="D3" s="2437"/>
    </row>
    <row r="4" spans="1:4" x14ac:dyDescent="0.2">
      <c r="A4" s="1149" t="s">
        <v>1692</v>
      </c>
      <c r="B4" s="1150"/>
      <c r="C4" s="1151"/>
      <c r="D4" s="1152"/>
    </row>
    <row r="5" spans="1:4" ht="21" customHeight="1" x14ac:dyDescent="0.2">
      <c r="A5" s="1145"/>
      <c r="B5" s="1146">
        <v>1</v>
      </c>
      <c r="C5" s="1147" t="s">
        <v>1832</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446" t="s">
        <v>1504</v>
      </c>
      <c r="D7" s="2447"/>
    </row>
    <row r="8" spans="1:4" s="665" customFormat="1" ht="12.75" x14ac:dyDescent="0.2">
      <c r="A8" s="1135"/>
      <c r="B8" s="1090"/>
      <c r="C8" s="1093" t="s">
        <v>1503</v>
      </c>
      <c r="D8" s="1094"/>
    </row>
    <row r="9" spans="1:4" s="665" customFormat="1" ht="14.25" customHeight="1" x14ac:dyDescent="0.2">
      <c r="A9" s="1135"/>
      <c r="B9" s="1090">
        <f>B7+1</f>
        <v>4</v>
      </c>
      <c r="C9" s="1091" t="s">
        <v>1910</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438" t="s">
        <v>1008</v>
      </c>
      <c r="B15" s="2439"/>
      <c r="C15" s="2439"/>
      <c r="D15" s="2440"/>
    </row>
    <row r="16" spans="1:4" s="665" customFormat="1" ht="24" customHeight="1" x14ac:dyDescent="0.2">
      <c r="A16" s="2441" t="s">
        <v>663</v>
      </c>
      <c r="B16" s="2442"/>
      <c r="C16" s="2442"/>
      <c r="D16" s="2443"/>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450" t="s">
        <v>314</v>
      </c>
      <c r="D21" s="2451"/>
    </row>
    <row r="22" spans="1:10" ht="12.75" x14ac:dyDescent="0.2">
      <c r="A22" s="1136"/>
      <c r="B22" s="1137">
        <v>2</v>
      </c>
      <c r="C22" s="2448" t="s">
        <v>1524</v>
      </c>
      <c r="D22" s="2449"/>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NO FINDINGS WERE ISSUED</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452" t="s">
        <v>536</v>
      </c>
      <c r="D43" s="2453"/>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444" t="s">
        <v>784</v>
      </c>
      <c r="D56" s="2445"/>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1911</v>
      </c>
      <c r="D66" s="1122"/>
    </row>
    <row r="67" spans="1:4" x14ac:dyDescent="0.2">
      <c r="A67" s="1116"/>
      <c r="B67" s="1137"/>
      <c r="C67" s="1144" t="s">
        <v>1021</v>
      </c>
      <c r="D67" s="1122"/>
    </row>
    <row r="68" spans="1:4" x14ac:dyDescent="0.2">
      <c r="A68" s="1097"/>
      <c r="B68" s="1107"/>
      <c r="C68" s="1099" t="s">
        <v>1912</v>
      </c>
      <c r="D68" s="1121" t="str">
        <f>IF('Short-Term Long-Term Debt 24'!F49=SUM(,'Acct Summary 7-8'!C33:K33),"OK","ERROR!")</f>
        <v>OK</v>
      </c>
    </row>
    <row r="69" spans="1:4" x14ac:dyDescent="0.2">
      <c r="A69" s="1097"/>
      <c r="B69" s="1107"/>
      <c r="C69" s="1099" t="s">
        <v>1913</v>
      </c>
      <c r="D69" s="1121" t="str">
        <f>IF('Expenditures 15-22'!H170&lt;&gt;'Short-Term Long-Term Debt 24'!H49,"ERROR!","OK")</f>
        <v>OK</v>
      </c>
    </row>
    <row r="70" spans="1:4" x14ac:dyDescent="0.2">
      <c r="A70" s="1095"/>
      <c r="B70" s="1117">
        <f>B66+1</f>
        <v>9</v>
      </c>
      <c r="C70" s="2444" t="s">
        <v>1696</v>
      </c>
      <c r="D70" s="2445"/>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1914</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1915</v>
      </c>
      <c r="D78" s="1121" t="str">
        <f>IF(ISNUMBER('Acct Summary 7-8'!C9),"OK","ENTRY IS REQUIRED!")</f>
        <v>OK</v>
      </c>
    </row>
    <row r="79" spans="1:4" x14ac:dyDescent="0.2">
      <c r="A79" s="1116"/>
      <c r="B79" s="1117">
        <f>B74+1+1</f>
        <v>12</v>
      </c>
      <c r="C79" s="1127" t="s">
        <v>1900</v>
      </c>
      <c r="D79" s="1128" t="str">
        <f>IF(OR(COVER!$B$6="X",'PCTC-OEPP 27-28'!F78&gt;0),"OK","PLEASE ENTER 9 MO ADA.")</f>
        <v>OK</v>
      </c>
    </row>
    <row r="80" spans="1:4" x14ac:dyDescent="0.2">
      <c r="A80" s="1095"/>
      <c r="B80" s="1117">
        <v>13</v>
      </c>
      <c r="C80" s="1127" t="s">
        <v>1916</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53090309061</v>
      </c>
    </row>
    <row r="3" spans="1:2" x14ac:dyDescent="0.2">
      <c r="A3" t="s">
        <v>956</v>
      </c>
      <c r="B3" s="138" t="str">
        <f>COVER!A15</f>
        <v xml:space="preserve">Tazewell </v>
      </c>
    </row>
    <row r="4" spans="1:2" x14ac:dyDescent="0.2">
      <c r="A4" t="s">
        <v>1007</v>
      </c>
      <c r="B4" s="138" t="str">
        <f>COVER!A17</f>
        <v>Tazewell Mason Cntys Sp Ed Assoc</v>
      </c>
    </row>
    <row r="5" spans="1:2" x14ac:dyDescent="0.2">
      <c r="A5" t="s">
        <v>704</v>
      </c>
      <c r="B5" s="138" t="str">
        <f>COVER!A38</f>
        <v>Kristina Neville</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Thomas R. Peffer, CPA</v>
      </c>
    </row>
    <row r="18" spans="1:2" x14ac:dyDescent="0.2">
      <c r="A18" t="s">
        <v>1150</v>
      </c>
      <c r="B18" s="138" t="str">
        <f>COVER!T17</f>
        <v>4200 N Knoxville Ave</v>
      </c>
    </row>
    <row r="19" spans="1:2" x14ac:dyDescent="0.2">
      <c r="A19" t="s">
        <v>886</v>
      </c>
      <c r="B19" s="138" t="str">
        <f>COVER!T25</f>
        <v>tpeffer@gorenzcpa.com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277628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277628</v>
      </c>
      <c r="D92" s="2" t="str">
        <f t="shared" si="0"/>
        <v>Error?</v>
      </c>
    </row>
    <row r="93" spans="1:4" x14ac:dyDescent="0.2">
      <c r="A93" s="5">
        <v>32</v>
      </c>
      <c r="B93" s="138">
        <f>'Assets-Liab 5-6'!C41</f>
        <v>277628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472037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472037</v>
      </c>
      <c r="D123" s="2" t="str">
        <f t="shared" si="0"/>
        <v>Error?</v>
      </c>
    </row>
    <row r="124" spans="1:4" x14ac:dyDescent="0.2">
      <c r="A124" s="5">
        <v>63</v>
      </c>
      <c r="B124" s="138">
        <f>'Assets-Liab 5-6'!D41</f>
        <v>472037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4499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4499</v>
      </c>
      <c r="D170" s="2" t="str">
        <f t="shared" si="1"/>
        <v>Error?</v>
      </c>
    </row>
    <row r="171" spans="1:4" x14ac:dyDescent="0.2">
      <c r="A171" s="5">
        <v>110</v>
      </c>
      <c r="B171" s="138">
        <f>'Assets-Liab 5-6'!F41</f>
        <v>4499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55659</v>
      </c>
      <c r="D273" s="2" t="str">
        <f t="shared" si="3"/>
        <v>Error?</v>
      </c>
    </row>
    <row r="274" spans="1:4" x14ac:dyDescent="0.2">
      <c r="A274" s="5">
        <v>213</v>
      </c>
      <c r="B274" s="138">
        <f>'Assets-Liab 5-6'!M17</f>
        <v>2465770</v>
      </c>
      <c r="D274" s="2" t="str">
        <f t="shared" si="3"/>
        <v>Error?</v>
      </c>
    </row>
    <row r="275" spans="1:4" x14ac:dyDescent="0.2">
      <c r="A275" s="5">
        <v>214</v>
      </c>
      <c r="B275" s="138">
        <f>'Assets-Liab 5-6'!M18</f>
        <v>0</v>
      </c>
      <c r="D275" s="2" t="str">
        <f t="shared" si="3"/>
        <v>Error?</v>
      </c>
    </row>
    <row r="276" spans="1:4" x14ac:dyDescent="0.2">
      <c r="A276" s="5">
        <v>215</v>
      </c>
      <c r="B276" s="138">
        <f>'Assets-Liab 5-6'!M19</f>
        <v>605493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3126922</v>
      </c>
      <c r="C279" s="2" t="s">
        <v>573</v>
      </c>
      <c r="D279" s="2" t="str">
        <f t="shared" si="3"/>
        <v>Error?</v>
      </c>
    </row>
    <row r="280" spans="1:4" x14ac:dyDescent="0.2">
      <c r="A280" s="5">
        <v>219</v>
      </c>
      <c r="B280" s="138">
        <f>'Assets-Liab 5-6'!M40</f>
        <v>3126922</v>
      </c>
      <c r="D280" s="2" t="str">
        <f t="shared" si="3"/>
        <v>Error?</v>
      </c>
    </row>
    <row r="281" spans="1:4" x14ac:dyDescent="0.2">
      <c r="A281" s="5">
        <v>220</v>
      </c>
      <c r="B281" s="138">
        <f>'Assets-Liab 5-6'!M41</f>
        <v>3126922</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126385</v>
      </c>
      <c r="D717" s="2" t="str">
        <f t="shared" si="10"/>
        <v>Error?</v>
      </c>
    </row>
    <row r="718" spans="1:4" x14ac:dyDescent="0.2">
      <c r="A718" s="5">
        <v>657</v>
      </c>
      <c r="B718" s="138">
        <f>'Expenditures 15-22'!C14</f>
        <v>0</v>
      </c>
      <c r="D718" s="2" t="str">
        <f t="shared" si="10"/>
        <v>Error?</v>
      </c>
    </row>
    <row r="719" spans="1:4" x14ac:dyDescent="0.2">
      <c r="A719" s="5">
        <v>658</v>
      </c>
      <c r="B719" s="138">
        <f>'Expenditures 15-22'!C15</f>
        <v>83339</v>
      </c>
      <c r="D719" s="2" t="str">
        <f t="shared" si="10"/>
        <v>Error?</v>
      </c>
    </row>
    <row r="720" spans="1:4" x14ac:dyDescent="0.2">
      <c r="A720" s="5">
        <v>659</v>
      </c>
      <c r="B720" s="138">
        <f>'Expenditures 15-22'!C33</f>
        <v>1171208</v>
      </c>
      <c r="C720" s="2" t="s">
        <v>573</v>
      </c>
      <c r="D720" s="2" t="str">
        <f t="shared" si="10"/>
        <v>Error?</v>
      </c>
    </row>
    <row r="721" spans="1:4" x14ac:dyDescent="0.2">
      <c r="A721" s="5">
        <v>660</v>
      </c>
      <c r="B721" s="138">
        <f>'Expenditures 15-22'!C36</f>
        <v>39065</v>
      </c>
      <c r="D721" s="2" t="str">
        <f t="shared" si="10"/>
        <v>Error?</v>
      </c>
    </row>
    <row r="722" spans="1:4" x14ac:dyDescent="0.2">
      <c r="A722" s="5">
        <v>661</v>
      </c>
      <c r="B722" s="138">
        <f>'Expenditures 15-22'!C37</f>
        <v>0</v>
      </c>
      <c r="D722" s="2" t="str">
        <f t="shared" si="10"/>
        <v>Error?</v>
      </c>
    </row>
    <row r="723" spans="1:4" x14ac:dyDescent="0.2">
      <c r="A723" s="5">
        <v>662</v>
      </c>
      <c r="B723" s="138">
        <f>'Expenditures 15-22'!C38</f>
        <v>880916</v>
      </c>
      <c r="D723" s="2" t="str">
        <f t="shared" si="10"/>
        <v>Error?</v>
      </c>
    </row>
    <row r="724" spans="1:4" x14ac:dyDescent="0.2">
      <c r="A724" s="5">
        <v>663</v>
      </c>
      <c r="B724" s="138">
        <f>'Expenditures 15-22'!C39</f>
        <v>461127</v>
      </c>
      <c r="D724" s="2" t="str">
        <f t="shared" si="10"/>
        <v>Error?</v>
      </c>
    </row>
    <row r="725" spans="1:4" x14ac:dyDescent="0.2">
      <c r="A725" s="5">
        <v>664</v>
      </c>
      <c r="B725" s="138">
        <f>'Expenditures 15-22'!C40</f>
        <v>216867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1597975</v>
      </c>
      <c r="C727" s="2" t="s">
        <v>573</v>
      </c>
      <c r="D727" s="2" t="str">
        <f t="shared" si="10"/>
        <v>Error?</v>
      </c>
    </row>
    <row r="728" spans="1:4" x14ac:dyDescent="0.2">
      <c r="A728" s="5">
        <v>667</v>
      </c>
      <c r="B728" s="138">
        <f>'Expenditures 15-22'!C44</f>
        <v>157466</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157466</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270554</v>
      </c>
      <c r="D733" s="2" t="str">
        <f t="shared" si="10"/>
        <v>Error?</v>
      </c>
    </row>
    <row r="734" spans="1:4" x14ac:dyDescent="0.2">
      <c r="A734" s="5">
        <v>673</v>
      </c>
      <c r="B734" s="138">
        <f>'Expenditures 15-22'!C53</f>
        <v>270554</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54714</v>
      </c>
      <c r="D739" s="2" t="str">
        <f t="shared" si="10"/>
        <v>Error?</v>
      </c>
    </row>
    <row r="740" spans="1:4" x14ac:dyDescent="0.2">
      <c r="A740" s="5">
        <v>679</v>
      </c>
      <c r="B740" s="138">
        <f>'Expenditures 15-22'!C61</f>
        <v>86212</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28358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169284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2195279</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3366487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21197</v>
      </c>
      <c r="D775" s="2" t="str">
        <f t="shared" si="11"/>
        <v>Error?</v>
      </c>
    </row>
    <row r="776" spans="1:4" x14ac:dyDescent="0.2">
      <c r="A776" s="5">
        <v>715</v>
      </c>
      <c r="B776" s="138">
        <f>'Expenditures 15-22'!D14</f>
        <v>0</v>
      </c>
      <c r="D776" s="2" t="str">
        <f t="shared" si="11"/>
        <v>Error?</v>
      </c>
    </row>
    <row r="777" spans="1:4" x14ac:dyDescent="0.2">
      <c r="A777" s="5">
        <v>716</v>
      </c>
      <c r="B777" s="138">
        <f>'Expenditures 15-22'!D15</f>
        <v>7030</v>
      </c>
      <c r="D777" s="2" t="str">
        <f t="shared" si="11"/>
        <v>Error?</v>
      </c>
    </row>
    <row r="778" spans="1:4" x14ac:dyDescent="0.2">
      <c r="A778" s="5">
        <v>717</v>
      </c>
      <c r="B778" s="138">
        <f>'Expenditures 15-22'!D33</f>
        <v>274634</v>
      </c>
      <c r="C778" s="2" t="s">
        <v>573</v>
      </c>
      <c r="D778" s="2" t="str">
        <f t="shared" si="11"/>
        <v>Error?</v>
      </c>
    </row>
    <row r="779" spans="1:4" x14ac:dyDescent="0.2">
      <c r="A779" s="5">
        <v>718</v>
      </c>
      <c r="B779" s="138">
        <f>'Expenditures 15-22'!D36</f>
        <v>3423</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276740</v>
      </c>
      <c r="D781" s="2" t="str">
        <f t="shared" si="11"/>
        <v>Error?</v>
      </c>
    </row>
    <row r="782" spans="1:4" x14ac:dyDescent="0.2">
      <c r="A782" s="5">
        <v>721</v>
      </c>
      <c r="B782" s="138">
        <f>'Expenditures 15-22'!D39</f>
        <v>68684</v>
      </c>
      <c r="D782" s="2" t="str">
        <f t="shared" si="11"/>
        <v>Error?</v>
      </c>
    </row>
    <row r="783" spans="1:4" x14ac:dyDescent="0.2">
      <c r="A783" s="5">
        <v>722</v>
      </c>
      <c r="B783" s="138">
        <f>'Expenditures 15-22'!D40</f>
        <v>33224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382071</v>
      </c>
      <c r="C785" s="2" t="s">
        <v>573</v>
      </c>
      <c r="D785" s="2" t="str">
        <f t="shared" si="11"/>
        <v>Error?</v>
      </c>
    </row>
    <row r="786" spans="1:4" x14ac:dyDescent="0.2">
      <c r="A786" s="5">
        <v>725</v>
      </c>
      <c r="B786" s="138">
        <f>'Expenditures 15-22'!D44</f>
        <v>35126</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35126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121522</v>
      </c>
      <c r="D791" s="2" t="str">
        <f t="shared" si="11"/>
        <v>Error?</v>
      </c>
    </row>
    <row r="792" spans="1:4" x14ac:dyDescent="0.2">
      <c r="A792" s="5">
        <v>731</v>
      </c>
      <c r="B792" s="138">
        <f>'Expenditures 15-22'!D53</f>
        <v>121522</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18217</v>
      </c>
      <c r="D797" s="2" t="str">
        <f t="shared" si="11"/>
        <v>Error?</v>
      </c>
    </row>
    <row r="798" spans="1:4" x14ac:dyDescent="0.2">
      <c r="A798" s="5">
        <v>737</v>
      </c>
      <c r="B798" s="138">
        <f>'Expenditures 15-22'!D61</f>
        <v>28622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12352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59191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597910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872544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3234</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19314</v>
      </c>
      <c r="C836" s="2" t="s">
        <v>573</v>
      </c>
      <c r="D836" s="2" t="str">
        <f t="shared" si="12"/>
        <v>Error?</v>
      </c>
    </row>
    <row r="837" spans="1:4" x14ac:dyDescent="0.2">
      <c r="A837" s="5">
        <v>776</v>
      </c>
      <c r="B837" s="138">
        <f>'Expenditures 15-22'!E36</f>
        <v>267</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20857</v>
      </c>
      <c r="D839" s="2" t="str">
        <f t="shared" si="12"/>
        <v>Error?</v>
      </c>
    </row>
    <row r="840" spans="1:4" x14ac:dyDescent="0.2">
      <c r="A840" s="5">
        <v>779</v>
      </c>
      <c r="B840" s="138">
        <f>'Expenditures 15-22'!E39</f>
        <v>1998</v>
      </c>
      <c r="D840" s="2" t="str">
        <f t="shared" si="12"/>
        <v>Error?</v>
      </c>
    </row>
    <row r="841" spans="1:4" x14ac:dyDescent="0.2">
      <c r="A841" s="5">
        <v>780</v>
      </c>
      <c r="B841" s="138">
        <f>'Expenditures 15-22'!E40</f>
        <v>35739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58861</v>
      </c>
      <c r="C843" s="2" t="s">
        <v>573</v>
      </c>
      <c r="D843" s="2" t="str">
        <f t="shared" si="12"/>
        <v>Error?</v>
      </c>
    </row>
    <row r="844" spans="1:4" x14ac:dyDescent="0.2">
      <c r="A844" s="5">
        <v>783</v>
      </c>
      <c r="B844" s="138">
        <f>'Expenditures 15-22'!E44</f>
        <v>119417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119417</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146435</v>
      </c>
      <c r="D849" s="2" t="str">
        <f t="shared" si="12"/>
        <v>Error?</v>
      </c>
    </row>
    <row r="850" spans="1:4" x14ac:dyDescent="0.2">
      <c r="A850" s="5">
        <v>789</v>
      </c>
      <c r="B850" s="138">
        <f>'Expenditures 15-22'!E53</f>
        <v>146435</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10367</v>
      </c>
      <c r="D855" s="2" t="str">
        <f t="shared" si="12"/>
        <v>Error?</v>
      </c>
    </row>
    <row r="856" spans="1:4" x14ac:dyDescent="0.2">
      <c r="A856" s="5">
        <v>795</v>
      </c>
      <c r="B856" s="138">
        <f>'Expenditures 15-22'!E61</f>
        <v>78287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88654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413367</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438681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363</v>
      </c>
      <c r="D891" s="2" t="str">
        <f t="shared" si="12"/>
        <v>Error?</v>
      </c>
    </row>
    <row r="892" spans="1:4" x14ac:dyDescent="0.2">
      <c r="A892" s="5">
        <v>831</v>
      </c>
      <c r="B892" s="138">
        <f>'Expenditures 15-22'!F14</f>
        <v>0</v>
      </c>
      <c r="D892" s="2" t="str">
        <f t="shared" si="12"/>
        <v>Error?</v>
      </c>
    </row>
    <row r="893" spans="1:4" x14ac:dyDescent="0.2">
      <c r="A893" s="5">
        <v>832</v>
      </c>
      <c r="B893" s="138">
        <f>'Expenditures 15-22'!F15</f>
        <v>2958</v>
      </c>
      <c r="D893" s="2" t="str">
        <f t="shared" si="12"/>
        <v>Error?</v>
      </c>
    </row>
    <row r="894" spans="1:4" x14ac:dyDescent="0.2">
      <c r="A894" s="5">
        <v>833</v>
      </c>
      <c r="B894" s="138">
        <f>'Expenditures 15-22'!F33</f>
        <v>11155</v>
      </c>
      <c r="C894" s="2" t="s">
        <v>573</v>
      </c>
      <c r="D894" s="2" t="str">
        <f t="shared" si="12"/>
        <v>Error?</v>
      </c>
    </row>
    <row r="895" spans="1:4" x14ac:dyDescent="0.2">
      <c r="A895" s="5">
        <v>834</v>
      </c>
      <c r="B895" s="138">
        <f>'Expenditures 15-22'!F36</f>
        <v>168</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7836</v>
      </c>
      <c r="D897" s="2" t="str">
        <f t="shared" si="13"/>
        <v>Error?</v>
      </c>
    </row>
    <row r="898" spans="1:4" x14ac:dyDescent="0.2">
      <c r="A898" s="5">
        <v>837</v>
      </c>
      <c r="B898" s="138">
        <f>'Expenditures 15-22'!F39</f>
        <v>4012</v>
      </c>
      <c r="D898" s="2" t="str">
        <f t="shared" si="13"/>
        <v>Error?</v>
      </c>
    </row>
    <row r="899" spans="1:4" x14ac:dyDescent="0.2">
      <c r="A899" s="5">
        <v>838</v>
      </c>
      <c r="B899" s="138">
        <f>'Expenditures 15-22'!F40</f>
        <v>3809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15825</v>
      </c>
      <c r="C901" s="2" t="s">
        <v>573</v>
      </c>
      <c r="D901" s="2" t="str">
        <f t="shared" si="13"/>
        <v>Error?</v>
      </c>
    </row>
    <row r="902" spans="1:4" x14ac:dyDescent="0.2">
      <c r="A902" s="5">
        <v>841</v>
      </c>
      <c r="B902" s="138">
        <f>'Expenditures 15-22'!F44</f>
        <v>8517</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8517</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17003</v>
      </c>
      <c r="D907" s="2" t="str">
        <f t="shared" si="13"/>
        <v>Error?</v>
      </c>
    </row>
    <row r="908" spans="1:4" x14ac:dyDescent="0.2">
      <c r="A908" s="5">
        <v>847</v>
      </c>
      <c r="B908" s="138">
        <f>'Expenditures 15-22'!F53</f>
        <v>17003</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536</v>
      </c>
      <c r="D913" s="2" t="str">
        <f t="shared" si="13"/>
        <v>Error?</v>
      </c>
    </row>
    <row r="914" spans="1:4" x14ac:dyDescent="0.2">
      <c r="A914" s="5">
        <v>853</v>
      </c>
      <c r="B914" s="138">
        <f>'Expenditures 15-22'!F61</f>
        <v>57046</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26821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84403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125748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136903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1380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3003</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3003</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105244</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3505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108749</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111752</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113132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2215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2215</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2215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5087386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5089601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151179</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93327</v>
      </c>
      <c r="C1107" s="2" t="s">
        <v>573</v>
      </c>
      <c r="D1107" s="2" t="str">
        <f t="shared" si="16"/>
        <v>Error?</v>
      </c>
    </row>
    <row r="1108" spans="1:4" x14ac:dyDescent="0.2">
      <c r="A1108" s="5">
        <v>1047</v>
      </c>
      <c r="B1108" s="138">
        <f>'Expenditures 15-22'!K33</f>
        <v>1477691</v>
      </c>
      <c r="C1108" s="2" t="s">
        <v>573</v>
      </c>
      <c r="D1108" s="2" t="str">
        <f t="shared" si="16"/>
        <v>Error?</v>
      </c>
    </row>
    <row r="1109" spans="1:4" x14ac:dyDescent="0.2">
      <c r="A1109" s="5">
        <v>1048</v>
      </c>
      <c r="B1109" s="138">
        <f>'Expenditures 15-22'!K36</f>
        <v>42923</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1189352</v>
      </c>
      <c r="C1111" s="2" t="s">
        <v>573</v>
      </c>
      <c r="D1111" s="2" t="str">
        <f t="shared" si="16"/>
        <v>Error?</v>
      </c>
    </row>
    <row r="1112" spans="1:4" x14ac:dyDescent="0.2">
      <c r="A1112" s="5">
        <v>1051</v>
      </c>
      <c r="B1112" s="138">
        <f>'Expenditures 15-22'!K39</f>
        <v>535821</v>
      </c>
      <c r="C1112" s="2" t="s">
        <v>573</v>
      </c>
      <c r="D1112" s="2" t="str">
        <f t="shared" si="16"/>
        <v>Error?</v>
      </c>
    </row>
    <row r="1113" spans="1:4" x14ac:dyDescent="0.2">
      <c r="A1113" s="5">
        <v>1052</v>
      </c>
      <c r="B1113" s="138">
        <f>'Expenditures 15-22'!K40</f>
        <v>289639</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2057735</v>
      </c>
      <c r="C1115" s="2" t="s">
        <v>573</v>
      </c>
      <c r="D1115" s="2" t="str">
        <f t="shared" si="16"/>
        <v>Error?</v>
      </c>
    </row>
    <row r="1116" spans="1:4" x14ac:dyDescent="0.2">
      <c r="A1116" s="5">
        <v>1055</v>
      </c>
      <c r="B1116" s="138">
        <f>'Expenditures 15-22'!K44</f>
        <v>322741</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322741</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564204</v>
      </c>
      <c r="C1121" s="2" t="s">
        <v>573</v>
      </c>
      <c r="D1121" s="2" t="str">
        <f t="shared" si="16"/>
        <v>Error?</v>
      </c>
    </row>
    <row r="1122" spans="1:4" x14ac:dyDescent="0.2">
      <c r="A1122" s="5">
        <v>1061</v>
      </c>
      <c r="B1122" s="138">
        <f>'Expenditures 15-22'!K53</f>
        <v>564204</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83834</v>
      </c>
      <c r="C1127" s="2" t="s">
        <v>573</v>
      </c>
      <c r="D1127" s="2" t="str">
        <f t="shared" si="16"/>
        <v>Error?</v>
      </c>
    </row>
    <row r="1128" spans="1:4" x14ac:dyDescent="0.2">
      <c r="A1128" s="5">
        <v>1067</v>
      </c>
      <c r="B1128" s="138">
        <f>'Expenditures 15-22'!K61</f>
        <v>356011</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71036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510881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3455561</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5093386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10026638</v>
      </c>
      <c r="C1152" s="2" t="s">
        <v>573</v>
      </c>
      <c r="D1152" s="2" t="str">
        <f t="shared" si="17"/>
        <v>Error?</v>
      </c>
    </row>
    <row r="1153" spans="1:4" x14ac:dyDescent="0.2">
      <c r="A1153" s="5">
        <v>1092</v>
      </c>
      <c r="B1153" s="138">
        <f>'Expenditures 15-22'!K115</f>
        <v>-333425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10675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10675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10675</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10675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10675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10675</v>
      </c>
      <c r="C1388" s="2" t="s">
        <v>573</v>
      </c>
      <c r="D1388" s="2" t="str">
        <f t="shared" si="20"/>
        <v>Error?</v>
      </c>
    </row>
    <row r="1389" spans="1:4" x14ac:dyDescent="0.2">
      <c r="A1389" s="5">
        <v>1328</v>
      </c>
      <c r="B1389" s="138">
        <f>'Expenditures 15-22'!K211</f>
        <v>221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611053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277628</v>
      </c>
      <c r="C1630" s="2" t="s">
        <v>573</v>
      </c>
      <c r="D1630" s="2" t="str">
        <f t="shared" si="24"/>
        <v>Error?</v>
      </c>
    </row>
    <row r="1631" spans="1:4" x14ac:dyDescent="0.2">
      <c r="A1631" s="5">
        <v>1570</v>
      </c>
      <c r="B1631" s="138">
        <f>'Acct Summary 7-8'!D79</f>
        <v>472037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472037</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4278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4499</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55659</v>
      </c>
      <c r="D2008" s="2" t="str">
        <f t="shared" si="30"/>
        <v>Error?</v>
      </c>
    </row>
    <row r="2009" spans="1:4" x14ac:dyDescent="0.2">
      <c r="A2009" s="5">
        <v>1948</v>
      </c>
      <c r="B2009" s="138">
        <f>'Cap Outlay Deprec 26'!C8</f>
        <v>2210125</v>
      </c>
      <c r="D2009" s="2" t="str">
        <f t="shared" si="30"/>
        <v>Error?</v>
      </c>
    </row>
    <row r="2010" spans="1:4" x14ac:dyDescent="0.2">
      <c r="A2010" s="5">
        <v>1949</v>
      </c>
      <c r="B2010" s="138">
        <f>'Cap Outlay Deprec 26'!C10</f>
        <v>155296</v>
      </c>
      <c r="D2010" s="2" t="str">
        <f t="shared" si="30"/>
        <v>Error?</v>
      </c>
    </row>
    <row r="2011" spans="1:4" x14ac:dyDescent="0.2">
      <c r="A2011" s="5">
        <v>1950</v>
      </c>
      <c r="B2011" s="138">
        <f>'Cap Outlay Deprec 26'!C12</f>
        <v>592710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3013790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80459</v>
      </c>
      <c r="D2015" s="2" t="str">
        <f t="shared" si="30"/>
        <v>Error?</v>
      </c>
    </row>
    <row r="2016" spans="1:4" x14ac:dyDescent="0.2">
      <c r="A2016" s="5">
        <v>1955</v>
      </c>
      <c r="B2016" s="138">
        <f>'Cap Outlay Deprec 26'!D10</f>
        <v>19890</v>
      </c>
      <c r="D2016" s="2" t="str">
        <f t="shared" si="30"/>
        <v>Error?</v>
      </c>
    </row>
    <row r="2017" spans="1:4" x14ac:dyDescent="0.2">
      <c r="A2017" s="5">
        <v>1956</v>
      </c>
      <c r="B2017" s="138">
        <f>'Cap Outlay Deprec 26'!D12</f>
        <v>12783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113132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55659</v>
      </c>
      <c r="C2026" s="2" t="s">
        <v>573</v>
      </c>
      <c r="D2026" s="2" t="str">
        <f t="shared" si="30"/>
        <v>Error?</v>
      </c>
    </row>
    <row r="2027" spans="1:4" x14ac:dyDescent="0.2">
      <c r="A2027" s="5">
        <v>1966</v>
      </c>
      <c r="B2027" s="138">
        <f>'Cap Outlay Deprec 26'!F8</f>
        <v>2290584</v>
      </c>
      <c r="C2027" s="2" t="s">
        <v>573</v>
      </c>
      <c r="D2027" s="2" t="str">
        <f t="shared" si="30"/>
        <v>Error?</v>
      </c>
    </row>
    <row r="2028" spans="1:4" x14ac:dyDescent="0.2">
      <c r="A2028" s="5">
        <v>1967</v>
      </c>
      <c r="B2028" s="138">
        <f>'Cap Outlay Deprec 26'!F10</f>
        <v>175186</v>
      </c>
      <c r="C2028" s="2" t="s">
        <v>573</v>
      </c>
      <c r="D2028" s="2" t="str">
        <f t="shared" si="30"/>
        <v>Error?</v>
      </c>
    </row>
    <row r="2029" spans="1:4" x14ac:dyDescent="0.2">
      <c r="A2029" s="5">
        <v>1968</v>
      </c>
      <c r="B2029" s="138">
        <f>'Cap Outlay Deprec 26'!F12</f>
        <v>605493</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3126922</v>
      </c>
      <c r="C2031" s="2" t="s">
        <v>573</v>
      </c>
      <c r="D2031" s="2" t="str">
        <f t="shared" si="30"/>
        <v>Error?</v>
      </c>
    </row>
    <row r="2032" spans="1:4" x14ac:dyDescent="0.2">
      <c r="A2032" s="10">
        <v>1971</v>
      </c>
      <c r="D2032" s="2" t="str">
        <f t="shared" si="30"/>
        <v>OK</v>
      </c>
    </row>
    <row r="2033" spans="1:4" x14ac:dyDescent="0.2">
      <c r="A2033" s="5">
        <v>1972</v>
      </c>
      <c r="B2033" s="138">
        <f>'Cap Outlay Deprec 26'!H8</f>
        <v>1400012</v>
      </c>
      <c r="D2033" s="2" t="str">
        <f t="shared" si="30"/>
        <v>Error?</v>
      </c>
    </row>
    <row r="2034" spans="1:4" x14ac:dyDescent="0.2">
      <c r="A2034" s="5">
        <v>1973</v>
      </c>
      <c r="B2034" s="138">
        <f>'Cap Outlay Deprec 26'!H10</f>
        <v>125529</v>
      </c>
      <c r="D2034" s="2" t="str">
        <f t="shared" si="30"/>
        <v>Error?</v>
      </c>
    </row>
    <row r="2035" spans="1:4" x14ac:dyDescent="0.2">
      <c r="A2035" s="5">
        <v>1974</v>
      </c>
      <c r="B2035" s="138">
        <f>'Cap Outlay Deprec 26'!H12</f>
        <v>477244</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2002785</v>
      </c>
      <c r="C2037" s="2" t="s">
        <v>573</v>
      </c>
      <c r="D2037" s="2" t="str">
        <f t="shared" si="30"/>
        <v>Error?</v>
      </c>
    </row>
    <row r="2038" spans="1:4" x14ac:dyDescent="0.2">
      <c r="A2038" s="10">
        <v>1977</v>
      </c>
      <c r="D2038" s="2" t="str">
        <f t="shared" si="30"/>
        <v>OK</v>
      </c>
    </row>
    <row r="2039" spans="1:4" x14ac:dyDescent="0.2">
      <c r="A2039" s="5">
        <v>1978</v>
      </c>
      <c r="B2039" s="138">
        <f>'Cap Outlay Deprec 26'!I8</f>
        <v>45812</v>
      </c>
      <c r="D2039" s="2" t="str">
        <f t="shared" si="30"/>
        <v>Error?</v>
      </c>
    </row>
    <row r="2040" spans="1:4" x14ac:dyDescent="0.2">
      <c r="A2040" s="5">
        <v>1979</v>
      </c>
      <c r="B2040" s="138">
        <f>'Cap Outlay Deprec 26'!I10</f>
        <v>8760</v>
      </c>
      <c r="D2040" s="2" t="str">
        <f t="shared" si="30"/>
        <v>Error?</v>
      </c>
    </row>
    <row r="2041" spans="1:4" x14ac:dyDescent="0.2">
      <c r="A2041" s="5">
        <v>1980</v>
      </c>
      <c r="B2041" s="138">
        <f>'Cap Outlay Deprec 26'!I12</f>
        <v>60550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115122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1445824</v>
      </c>
      <c r="C2051" s="2" t="s">
        <v>573</v>
      </c>
      <c r="D2051" s="2" t="str">
        <f t="shared" si="31"/>
        <v>Error?</v>
      </c>
    </row>
    <row r="2052" spans="1:4" x14ac:dyDescent="0.2">
      <c r="A2052" s="5">
        <v>1991</v>
      </c>
      <c r="B2052" s="138">
        <f>'Cap Outlay Deprec 26'!K10</f>
        <v>134289</v>
      </c>
      <c r="C2052" s="2" t="s">
        <v>573</v>
      </c>
      <c r="D2052" s="2" t="str">
        <f t="shared" si="31"/>
        <v>Error?</v>
      </c>
    </row>
    <row r="2053" spans="1:4" x14ac:dyDescent="0.2">
      <c r="A2053" s="5">
        <v>1992</v>
      </c>
      <c r="B2053" s="138">
        <f>'Cap Outlay Deprec 26'!K12</f>
        <v>537794</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2117907</v>
      </c>
      <c r="C2055" s="2" t="s">
        <v>573</v>
      </c>
      <c r="D2055" s="2" t="str">
        <f t="shared" si="31"/>
        <v>Error?</v>
      </c>
    </row>
    <row r="2056" spans="1:4" x14ac:dyDescent="0.2">
      <c r="A2056" s="5">
        <v>1995</v>
      </c>
      <c r="B2056" s="138">
        <f>'Cap Outlay Deprec 26'!L5</f>
        <v>55659</v>
      </c>
      <c r="C2056" s="2" t="s">
        <v>573</v>
      </c>
      <c r="D2056" s="2" t="str">
        <f t="shared" si="31"/>
        <v>Error?</v>
      </c>
    </row>
    <row r="2057" spans="1:4" x14ac:dyDescent="0.2">
      <c r="A2057" s="5">
        <v>1996</v>
      </c>
      <c r="B2057" s="138">
        <f>'Cap Outlay Deprec 26'!L8</f>
        <v>844760</v>
      </c>
      <c r="C2057" s="2" t="s">
        <v>573</v>
      </c>
      <c r="D2057" s="2" t="str">
        <f t="shared" si="31"/>
        <v>Error?</v>
      </c>
    </row>
    <row r="2058" spans="1:4" x14ac:dyDescent="0.2">
      <c r="A2058" s="5">
        <v>1997</v>
      </c>
      <c r="B2058" s="138">
        <f>'Cap Outlay Deprec 26'!L10</f>
        <v>40897</v>
      </c>
      <c r="C2058" s="2" t="s">
        <v>573</v>
      </c>
      <c r="D2058" s="2" t="str">
        <f t="shared" si="31"/>
        <v>Error?</v>
      </c>
    </row>
    <row r="2059" spans="1:4" x14ac:dyDescent="0.2">
      <c r="A2059" s="5">
        <v>1998</v>
      </c>
      <c r="B2059" s="138">
        <f>'Cap Outlay Deprec 26'!L12</f>
        <v>67699</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1009015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6000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3684959</v>
      </c>
      <c r="C2551" s="2" t="s">
        <v>573</v>
      </c>
      <c r="D2551" s="2" t="str">
        <f t="shared" si="38"/>
        <v>Error?</v>
      </c>
    </row>
    <row r="2552" spans="1:4" x14ac:dyDescent="0.2">
      <c r="A2552" s="10">
        <v>2491</v>
      </c>
      <c r="D2552" s="2" t="str">
        <f t="shared" si="38"/>
        <v>OK</v>
      </c>
    </row>
    <row r="2553" spans="1:4" x14ac:dyDescent="0.2">
      <c r="A2553" s="5">
        <v>2492</v>
      </c>
      <c r="B2553" s="138">
        <f>'Acct Summary 7-8'!C6</f>
        <v>407932</v>
      </c>
      <c r="C2553" s="2" t="s">
        <v>573</v>
      </c>
      <c r="D2553" s="2" t="str">
        <f t="shared" si="38"/>
        <v>Error?</v>
      </c>
    </row>
    <row r="2554" spans="1:4" x14ac:dyDescent="0.2">
      <c r="A2554" s="5">
        <v>2493</v>
      </c>
      <c r="B2554" s="138">
        <f>'Acct Summary 7-8'!C7</f>
        <v>2500169</v>
      </c>
      <c r="C2554" s="2" t="s">
        <v>573</v>
      </c>
      <c r="D2554" s="2" t="str">
        <f t="shared" si="38"/>
        <v>Error?</v>
      </c>
    </row>
    <row r="2555" spans="1:4" x14ac:dyDescent="0.2">
      <c r="A2555" s="5">
        <v>2494</v>
      </c>
      <c r="B2555" s="138">
        <f>'Acct Summary 7-8'!C8</f>
        <v>9693213</v>
      </c>
      <c r="C2555" s="2" t="s">
        <v>573</v>
      </c>
      <c r="D2555" s="2" t="str">
        <f t="shared" si="38"/>
        <v>Error?</v>
      </c>
    </row>
    <row r="2556" spans="1:4" x14ac:dyDescent="0.2">
      <c r="A2556" s="5">
        <v>2495</v>
      </c>
      <c r="B2556" s="138">
        <f>'Acct Summary 7-8'!C12</f>
        <v>1477691</v>
      </c>
      <c r="C2556" s="2" t="s">
        <v>573</v>
      </c>
      <c r="D2556" s="2" t="str">
        <f t="shared" si="38"/>
        <v>Error?</v>
      </c>
    </row>
    <row r="2557" spans="1:4" x14ac:dyDescent="0.2">
      <c r="A2557" s="5">
        <v>2496</v>
      </c>
      <c r="B2557" s="138">
        <f>'Acct Summary 7-8'!C13</f>
        <v>3455561</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5093386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10026638</v>
      </c>
      <c r="C2561" s="2" t="s">
        <v>573</v>
      </c>
      <c r="D2561" s="2" t="str">
        <f t="shared" si="39"/>
        <v>Error?</v>
      </c>
    </row>
    <row r="2562" spans="1:4" x14ac:dyDescent="0.2">
      <c r="A2562" s="5">
        <v>2501</v>
      </c>
      <c r="B2562" s="138">
        <f>'Acct Summary 7-8'!C20</f>
        <v>-333425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10896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10896</v>
      </c>
      <c r="C2595" s="2" t="s">
        <v>573</v>
      </c>
      <c r="D2595" s="2" t="str">
        <f t="shared" si="39"/>
        <v>Error?</v>
      </c>
    </row>
    <row r="2596" spans="1:4" x14ac:dyDescent="0.2">
      <c r="A2596" s="5">
        <v>2535</v>
      </c>
      <c r="B2596" s="138">
        <f>'Acct Summary 7-8'!F13</f>
        <v>10675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10675</v>
      </c>
      <c r="C2600" s="2" t="s">
        <v>573</v>
      </c>
      <c r="D2600" s="2" t="str">
        <f t="shared" si="39"/>
        <v>Error?</v>
      </c>
    </row>
    <row r="2601" spans="1:4" x14ac:dyDescent="0.2">
      <c r="A2601" s="5">
        <v>2540</v>
      </c>
      <c r="B2601" s="138">
        <f>'Acct Summary 7-8'!F20</f>
        <v>221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6000</v>
      </c>
      <c r="C2789" s="2" t="s">
        <v>573</v>
      </c>
      <c r="D2789" s="2" t="str">
        <f t="shared" si="42"/>
        <v>Error?</v>
      </c>
    </row>
    <row r="2790" spans="1:4" x14ac:dyDescent="0.2">
      <c r="A2790" s="5">
        <v>2729</v>
      </c>
      <c r="B2790" s="138">
        <f>'Expenditures 15-22'!E102</f>
        <v>6000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5252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5252</v>
      </c>
      <c r="D2914" s="2" t="str">
        <f t="shared" si="44"/>
        <v>Error?</v>
      </c>
    </row>
    <row r="2915" spans="1:4" x14ac:dyDescent="0.2">
      <c r="A2915" s="10">
        <v>2854</v>
      </c>
      <c r="D2915" s="2" t="str">
        <f t="shared" si="44"/>
        <v>OK</v>
      </c>
    </row>
    <row r="2916" spans="1:4" x14ac:dyDescent="0.2">
      <c r="A2916" s="5">
        <v>2855</v>
      </c>
      <c r="B2916" s="138">
        <f>'Assets-Liab 5-6'!L34</f>
        <v>5252</v>
      </c>
      <c r="C2916" s="2" t="s">
        <v>573</v>
      </c>
      <c r="D2916" s="2" t="str">
        <f t="shared" si="44"/>
        <v>Error?</v>
      </c>
    </row>
    <row r="2917" spans="1:4" x14ac:dyDescent="0.2">
      <c r="A2917" s="5">
        <v>2856</v>
      </c>
      <c r="B2917" s="138">
        <f>'Assets-Liab 5-6'!L41</f>
        <v>5252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6000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6000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-333425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221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961484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246407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16080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7834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1380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1233185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3100153</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277628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472037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4499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5252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25769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1128633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10821846</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10896</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1128633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11155271</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10675</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754164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39958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269857</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226854</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113448</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3275562</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3389010</v>
      </c>
      <c r="C5087" s="2" t="s">
        <v>573</v>
      </c>
      <c r="D5087" s="2" t="str">
        <f t="shared" si="78"/>
        <v>Error?</v>
      </c>
    </row>
    <row r="5088" spans="1:4" x14ac:dyDescent="0.2">
      <c r="A5088" s="5">
        <v>5027</v>
      </c>
      <c r="B5088" s="138">
        <f>'Revenues 9-14'!C65</f>
        <v>16617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16617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5663</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3812</v>
      </c>
      <c r="D5119" s="2" t="str">
        <f t="shared" ref="D5119:D5182" si="79">IF(ISBLANK(B5119),"OK",IF(A5119-B5119=0,"OK","Error?"))</f>
        <v>Error?</v>
      </c>
    </row>
    <row r="5120" spans="1:4" x14ac:dyDescent="0.2">
      <c r="A5120" s="5">
        <v>5059</v>
      </c>
      <c r="B5120" s="138">
        <f>'Revenues 9-14'!C108</f>
        <v>273669</v>
      </c>
      <c r="C5120" s="2" t="s">
        <v>573</v>
      </c>
      <c r="D5120" s="2" t="str">
        <f t="shared" si="79"/>
        <v>Error?</v>
      </c>
    </row>
    <row r="5121" spans="1:4" x14ac:dyDescent="0.2">
      <c r="A5121" s="5">
        <v>5060</v>
      </c>
      <c r="B5121" s="138">
        <f>'Revenues 9-14'!C109</f>
        <v>3684959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3100153</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3100153</v>
      </c>
      <c r="C5125" s="2" t="s">
        <v>573</v>
      </c>
      <c r="D5125" s="2" t="str">
        <f t="shared" si="79"/>
        <v>Error?</v>
      </c>
    </row>
    <row r="5126" spans="1:4" x14ac:dyDescent="0.2">
      <c r="A5126" s="5">
        <v>5065</v>
      </c>
      <c r="B5126" s="138">
        <f>'Revenues 9-14'!C117</f>
        <v>407593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407593</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339</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339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407932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19473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19473</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2213835</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2213835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2500169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2500169</v>
      </c>
      <c r="C5326" s="2" t="s">
        <v>573</v>
      </c>
      <c r="D5326" s="2" t="str">
        <f t="shared" si="82"/>
        <v>Error?</v>
      </c>
    </row>
    <row r="5327" spans="1:5" x14ac:dyDescent="0.2">
      <c r="A5327" s="5">
        <v>5266</v>
      </c>
      <c r="B5327" s="138">
        <f>'Revenues 9-14'!C268</f>
        <v>9693213</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10896</v>
      </c>
      <c r="D5617" s="2" t="str">
        <f t="shared" si="86"/>
        <v>Error?</v>
      </c>
    </row>
    <row r="5618" spans="1:5" x14ac:dyDescent="0.2">
      <c r="A5618" s="5">
        <v>5557</v>
      </c>
      <c r="B5618" s="138">
        <f>'Revenues 9-14'!F155</f>
        <v>10896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10896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10896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10896</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5663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2566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-333425</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221</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-1.2009775671041827</v>
      </c>
      <c r="D6276" s="2" t="str">
        <f t="shared" si="97"/>
        <v>Error?</v>
      </c>
      <c r="E6276" s="2" t="s">
        <v>190</v>
      </c>
    </row>
    <row r="6277" spans="1:5" x14ac:dyDescent="0.2">
      <c r="A6277">
        <v>6216</v>
      </c>
      <c r="B6277" s="138">
        <f>'Acct Summary 7-8'!D83</f>
        <v>0</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4.9122027117137139E-2</v>
      </c>
      <c r="D6279" s="2" t="str">
        <f t="shared" si="97"/>
        <v>Error?</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8690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8690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600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600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9290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5087386</v>
      </c>
      <c r="D6998" s="2" t="str">
        <f t="shared" si="108"/>
        <v>Error?</v>
      </c>
    </row>
    <row r="6999" spans="1:4" x14ac:dyDescent="0.2">
      <c r="A6999">
        <v>6938</v>
      </c>
      <c r="B6999" s="138">
        <f>'Expenditures 15-22'!K94</f>
        <v>5087386</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5087386</v>
      </c>
      <c r="D7012" s="2" t="str">
        <f t="shared" si="108"/>
        <v>Error?</v>
      </c>
    </row>
    <row r="7013" spans="1:4" x14ac:dyDescent="0.2">
      <c r="A7013">
        <v>6952</v>
      </c>
      <c r="B7013" s="138">
        <f>'Expenditures 15-22'!K100</f>
        <v>5087386</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9290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9290</v>
      </c>
      <c r="D7624" s="2" t="str">
        <f t="shared" si="124"/>
        <v>Error?</v>
      </c>
      <c r="E7624" s="2" t="s">
        <v>19</v>
      </c>
    </row>
    <row r="7625" spans="1:5" x14ac:dyDescent="0.2">
      <c r="A7625">
        <f t="shared" si="123"/>
        <v>7564</v>
      </c>
      <c r="B7625" s="138">
        <f>'Cap Outlay Deprec 26'!I17</f>
        <v>929</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116051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157265</v>
      </c>
      <c r="D7797" s="2" t="str">
        <f t="shared" si="127"/>
        <v>Error?</v>
      </c>
      <c r="E7797" s="4" t="s">
        <v>1901</v>
      </c>
    </row>
    <row r="7798" spans="1:5" x14ac:dyDescent="0.2">
      <c r="A7798">
        <v>7737</v>
      </c>
      <c r="B7798" s="138">
        <f>'Contracts Paid in CY 29'!F141</f>
        <v>128309</v>
      </c>
      <c r="D7798" s="2" t="str">
        <f t="shared" si="127"/>
        <v>Error?</v>
      </c>
      <c r="E7798" s="4" t="s">
        <v>1901</v>
      </c>
    </row>
    <row r="7799" spans="1:5" x14ac:dyDescent="0.2">
      <c r="A7799">
        <v>7738</v>
      </c>
      <c r="B7799" s="138">
        <f>'Contracts Paid in CY 29'!G141</f>
        <v>28956</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54" t="s">
        <v>1191</v>
      </c>
      <c r="B2" s="2454"/>
      <c r="C2" s="2454"/>
      <c r="D2" s="2454"/>
      <c r="E2" s="2454"/>
      <c r="F2" s="2454"/>
      <c r="G2" s="2454"/>
      <c r="H2" s="2454"/>
      <c r="I2" s="2454"/>
      <c r="J2" s="2454"/>
      <c r="K2" s="2454"/>
      <c r="L2" s="2454"/>
    </row>
    <row r="3" spans="1:29" ht="13.5" customHeight="1" x14ac:dyDescent="0.2">
      <c r="A3" s="2485" t="s">
        <v>1190</v>
      </c>
      <c r="B3" s="2485"/>
      <c r="C3" s="2485"/>
      <c r="D3" s="2485"/>
      <c r="E3" s="2485"/>
      <c r="F3" s="2485"/>
      <c r="G3" s="2485"/>
      <c r="H3" s="2485"/>
      <c r="I3" s="2485"/>
      <c r="J3" s="2485"/>
      <c r="K3" s="2485"/>
      <c r="L3" s="2485"/>
    </row>
    <row r="4" spans="1:29" ht="13.5" customHeight="1" x14ac:dyDescent="0.2">
      <c r="A4" s="2454" t="s">
        <v>1986</v>
      </c>
      <c r="B4" s="2475"/>
      <c r="C4" s="2475"/>
      <c r="D4" s="2475"/>
      <c r="E4" s="2475"/>
      <c r="F4" s="2475"/>
      <c r="G4" s="2475"/>
      <c r="H4" s="2475"/>
      <c r="I4" s="2475"/>
      <c r="J4" s="2475"/>
      <c r="K4" s="2475"/>
      <c r="L4" s="2475"/>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76" t="str">
        <f>COVER!A17</f>
        <v>Tazewell Mason Cntys Sp Ed Assoc</v>
      </c>
      <c r="B7" s="2477"/>
      <c r="C7" s="2477"/>
      <c r="D7" s="2478"/>
      <c r="E7" s="2479">
        <f>COVER!A13</f>
        <v>53090309061</v>
      </c>
      <c r="F7" s="2480"/>
      <c r="G7" s="2486" t="str">
        <f>COVER!T23</f>
        <v>066-005027</v>
      </c>
      <c r="H7" s="2487"/>
      <c r="I7" s="2487"/>
      <c r="J7" s="2487"/>
      <c r="K7" s="2487"/>
      <c r="L7" s="2488"/>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89"/>
      <c r="B9" s="2490"/>
      <c r="C9" s="2490"/>
      <c r="D9" s="2490"/>
      <c r="E9" s="2490"/>
      <c r="F9" s="2491"/>
      <c r="G9" s="2460" t="str">
        <f>COVER!T13</f>
        <v>Gorenz and Associates, Ltd.</v>
      </c>
      <c r="H9" s="2492"/>
      <c r="I9" s="2492"/>
      <c r="J9" s="2492"/>
      <c r="K9" s="2492"/>
      <c r="L9" s="2493"/>
    </row>
    <row r="10" spans="1:29" ht="13.5" customHeight="1" x14ac:dyDescent="0.2">
      <c r="A10" s="2466" t="str">
        <f>COVER!A38</f>
        <v>Kristina Neville</v>
      </c>
      <c r="B10" s="2467"/>
      <c r="C10" s="2467"/>
      <c r="D10" s="2467"/>
      <c r="E10" s="2467"/>
      <c r="F10" s="2468"/>
      <c r="G10" s="2460" t="str">
        <f>COVER!T17</f>
        <v>4200 N Knoxville Ave</v>
      </c>
      <c r="H10" s="2461"/>
      <c r="I10" s="2461"/>
      <c r="J10" s="2461"/>
      <c r="K10" s="2461"/>
      <c r="L10" s="2462"/>
    </row>
    <row r="11" spans="1:29" ht="13.5" customHeight="1" x14ac:dyDescent="0.2">
      <c r="A11" s="1181" t="s">
        <v>1519</v>
      </c>
      <c r="B11" s="1182"/>
      <c r="C11" s="1183"/>
      <c r="D11" s="1188"/>
      <c r="E11" s="1183"/>
      <c r="F11" s="1187"/>
      <c r="G11" s="2460" t="str">
        <f>COVER!T19</f>
        <v>Peoria</v>
      </c>
      <c r="H11" s="2461"/>
      <c r="I11" s="2461"/>
      <c r="J11" s="2461"/>
      <c r="K11" s="2461"/>
      <c r="L11" s="2462"/>
    </row>
    <row r="12" spans="1:29" ht="13.5" customHeight="1" x14ac:dyDescent="0.2">
      <c r="A12" s="2469" t="s">
        <v>1518</v>
      </c>
      <c r="B12" s="2470"/>
      <c r="C12" s="2470"/>
      <c r="D12" s="2470"/>
      <c r="E12" s="2470"/>
      <c r="F12" s="2471"/>
      <c r="G12" s="2463"/>
      <c r="H12" s="2464"/>
      <c r="I12" s="2464"/>
      <c r="J12" s="2464"/>
      <c r="K12" s="2464"/>
      <c r="L12" s="2465"/>
    </row>
    <row r="13" spans="1:29" ht="13.5" customHeight="1" x14ac:dyDescent="0.2">
      <c r="A13" s="2460"/>
      <c r="B13" s="2461"/>
      <c r="C13" s="2461"/>
      <c r="D13" s="2461"/>
      <c r="E13" s="2461"/>
      <c r="F13" s="2462"/>
      <c r="G13" s="2455" t="s">
        <v>1520</v>
      </c>
      <c r="H13" s="2456"/>
      <c r="I13" s="2472" t="str">
        <f>COVER!T25</f>
        <v>tpeffer@gorenzcpa.com</v>
      </c>
      <c r="J13" s="2473"/>
      <c r="K13" s="2473"/>
      <c r="L13" s="2474"/>
    </row>
    <row r="14" spans="1:29" ht="13.5" customHeight="1" x14ac:dyDescent="0.2">
      <c r="A14" s="2460" t="str">
        <f>COVER!A19</f>
        <v>300 Cedar St.</v>
      </c>
      <c r="B14" s="2461"/>
      <c r="C14" s="2461"/>
      <c r="D14" s="2461"/>
      <c r="E14" s="2461"/>
      <c r="F14" s="2462"/>
      <c r="G14" s="1192" t="s">
        <v>1185</v>
      </c>
      <c r="H14" s="1190"/>
      <c r="I14" s="1190"/>
      <c r="J14" s="1190"/>
      <c r="K14" s="1190"/>
      <c r="L14" s="1191"/>
    </row>
    <row r="15" spans="1:29" ht="13.5" customHeight="1" x14ac:dyDescent="0.2">
      <c r="A15" s="2460" t="str">
        <f>COVER!A21</f>
        <v>Pekin</v>
      </c>
      <c r="B15" s="2461"/>
      <c r="C15" s="2461"/>
      <c r="D15" s="2461"/>
      <c r="E15" s="2461"/>
      <c r="F15" s="2462"/>
      <c r="G15" s="2457" t="str">
        <f>COVER!T15</f>
        <v>Thomas R. Peffer, CPA</v>
      </c>
      <c r="H15" s="2458"/>
      <c r="I15" s="2458"/>
      <c r="J15" s="2458"/>
      <c r="K15" s="2458"/>
      <c r="L15" s="2459"/>
    </row>
    <row r="16" spans="1:29" ht="12.2" customHeight="1" x14ac:dyDescent="0.2">
      <c r="A16" s="2482">
        <f>COVER!A25</f>
        <v>61554</v>
      </c>
      <c r="B16" s="2483"/>
      <c r="C16" s="2483"/>
      <c r="D16" s="2483"/>
      <c r="E16" s="2483"/>
      <c r="F16" s="2484"/>
      <c r="G16" s="2494"/>
      <c r="H16" s="2495"/>
      <c r="I16" s="2495"/>
      <c r="J16" s="2495"/>
      <c r="K16" s="2495"/>
      <c r="L16" s="2496"/>
    </row>
    <row r="17" spans="1:13" ht="12.2" customHeight="1" x14ac:dyDescent="0.2">
      <c r="A17" s="2497"/>
      <c r="B17" s="2483"/>
      <c r="C17" s="2483"/>
      <c r="D17" s="2483"/>
      <c r="E17" s="2483"/>
      <c r="F17" s="2484"/>
      <c r="G17" s="1192" t="s">
        <v>1184</v>
      </c>
      <c r="H17" s="1190"/>
      <c r="I17" s="1190"/>
      <c r="J17" s="1190"/>
      <c r="K17" s="1194" t="s">
        <v>1183</v>
      </c>
      <c r="L17" s="1187"/>
      <c r="M17" s="1180"/>
    </row>
    <row r="18" spans="1:13" ht="12.2" customHeight="1" x14ac:dyDescent="0.2">
      <c r="A18" s="2466"/>
      <c r="B18" s="2467"/>
      <c r="C18" s="2467"/>
      <c r="D18" s="2467"/>
      <c r="E18" s="2467"/>
      <c r="F18" s="2468"/>
      <c r="G18" s="2476" t="str">
        <f>COVER!T21</f>
        <v>309-685-7621</v>
      </c>
      <c r="H18" s="2477"/>
      <c r="I18" s="2477"/>
      <c r="J18" s="2477"/>
      <c r="K18" s="2476" t="str">
        <f>COVER!X21</f>
        <v>309-685-4758</v>
      </c>
      <c r="L18" s="2481"/>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t="s">
        <v>2067</v>
      </c>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t="s">
        <v>2067</v>
      </c>
      <c r="C26" s="1199" t="s">
        <v>1699</v>
      </c>
    </row>
    <row r="27" spans="1:13" s="1195" customFormat="1" ht="9" customHeight="1" x14ac:dyDescent="0.2">
      <c r="B27" s="1200"/>
      <c r="C27" s="1199"/>
    </row>
    <row r="28" spans="1:13" s="1195" customFormat="1" ht="12.2" customHeight="1" x14ac:dyDescent="0.2">
      <c r="A28" s="1202"/>
      <c r="B28" s="1198" t="s">
        <v>2067</v>
      </c>
      <c r="C28" s="1199" t="s">
        <v>1700</v>
      </c>
    </row>
    <row r="29" spans="1:13" s="1195" customFormat="1" ht="9" customHeight="1" x14ac:dyDescent="0.2">
      <c r="A29" s="1202"/>
      <c r="B29" s="1200"/>
      <c r="C29" s="1199"/>
    </row>
    <row r="30" spans="1:13" s="1195" customFormat="1" ht="12.2" customHeight="1" x14ac:dyDescent="0.2">
      <c r="B30" s="1198" t="s">
        <v>2067</v>
      </c>
      <c r="C30" s="1199" t="s">
        <v>1562</v>
      </c>
      <c r="D30" s="1193"/>
      <c r="E30" s="1193"/>
    </row>
    <row r="31" spans="1:13" s="1195" customFormat="1" ht="9" customHeight="1" x14ac:dyDescent="0.2">
      <c r="B31" s="1200"/>
      <c r="C31" s="1199"/>
      <c r="D31" s="1193"/>
      <c r="E31" s="1193"/>
    </row>
    <row r="32" spans="1:13" s="1195" customFormat="1" ht="12.2" customHeight="1" x14ac:dyDescent="0.2">
      <c r="B32" s="1198" t="s">
        <v>2067</v>
      </c>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t="s">
        <v>2067</v>
      </c>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t="s">
        <v>2067</v>
      </c>
      <c r="C38" s="1199" t="s">
        <v>1566</v>
      </c>
    </row>
    <row r="39" spans="1:8" ht="9" customHeight="1" x14ac:dyDescent="0.2">
      <c r="B39" s="1200"/>
      <c r="C39" s="1203"/>
    </row>
    <row r="40" spans="1:8" s="1195" customFormat="1" ht="13.5" customHeight="1" x14ac:dyDescent="0.2">
      <c r="B40" s="1198" t="s">
        <v>2067</v>
      </c>
      <c r="C40" s="1199" t="s">
        <v>1567</v>
      </c>
    </row>
    <row r="41" spans="1:8" ht="9" customHeight="1" x14ac:dyDescent="0.2">
      <c r="A41" s="1204"/>
      <c r="B41" s="1200"/>
      <c r="C41" s="1203"/>
    </row>
    <row r="42" spans="1:8" s="1195" customFormat="1" ht="13.5" customHeight="1" x14ac:dyDescent="0.2">
      <c r="B42" s="1198"/>
      <c r="C42" s="1199" t="s">
        <v>1833</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98" t="str">
        <f>'Single Audit Cover'!A7</f>
        <v>Tazewell Mason Cntys Sp Ed Assoc</v>
      </c>
      <c r="B1" s="2475"/>
      <c r="C1" s="2475"/>
      <c r="D1" s="2475"/>
    </row>
    <row r="2" spans="1:11" s="1209" customFormat="1" ht="12.75" x14ac:dyDescent="0.2">
      <c r="A2" s="2499">
        <f>'Single Audit Cover'!E7</f>
        <v>53090309061</v>
      </c>
      <c r="B2" s="2500"/>
      <c r="C2" s="2500"/>
      <c r="D2" s="2500"/>
    </row>
    <row r="3" spans="1:11" s="1209" customFormat="1" ht="12.75" x14ac:dyDescent="0.2">
      <c r="A3" s="2498" t="s">
        <v>1513</v>
      </c>
      <c r="B3" s="2475"/>
      <c r="C3" s="2475"/>
      <c r="D3" s="2475"/>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1834</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502" t="str">
        <f>'Single Audit Cover'!A7</f>
        <v>Tazewell Mason Cntys Sp Ed Assoc</v>
      </c>
      <c r="B1" s="2502"/>
      <c r="C1" s="2502"/>
      <c r="D1" s="2502"/>
      <c r="E1" s="2502"/>
    </row>
    <row r="2" spans="1:5" x14ac:dyDescent="0.2">
      <c r="A2" s="2503">
        <f>'Single Audit Cover'!E7</f>
        <v>53090309061</v>
      </c>
      <c r="B2" s="2503"/>
      <c r="C2" s="2503"/>
      <c r="D2" s="2503"/>
      <c r="E2" s="2503"/>
    </row>
    <row r="3" spans="1:5" ht="4.5" customHeight="1" x14ac:dyDescent="0.2"/>
    <row r="4" spans="1:5" x14ac:dyDescent="0.2">
      <c r="A4" s="2502" t="s">
        <v>1245</v>
      </c>
      <c r="B4" s="2502"/>
      <c r="C4" s="2502"/>
      <c r="D4" s="2502"/>
      <c r="E4" s="2502"/>
    </row>
    <row r="5" spans="1:5" x14ac:dyDescent="0.2">
      <c r="A5" s="2505" t="str">
        <f>'Single Audit Cover'!A4</f>
        <v>Year Ending June 30, 2019</v>
      </c>
      <c r="B5" s="2505"/>
      <c r="C5" s="2505"/>
      <c r="D5" s="2505"/>
      <c r="E5" s="2505"/>
    </row>
    <row r="6" spans="1:5" x14ac:dyDescent="0.2">
      <c r="A6" s="2502" t="s">
        <v>1244</v>
      </c>
      <c r="B6" s="2502"/>
      <c r="C6" s="2502"/>
      <c r="D6" s="2502"/>
      <c r="E6" s="2502"/>
    </row>
    <row r="8" spans="1:5" x14ac:dyDescent="0.2">
      <c r="A8" s="1254" t="s">
        <v>1243</v>
      </c>
    </row>
    <row r="10" spans="1:5" x14ac:dyDescent="0.2">
      <c r="A10" s="1255" t="s">
        <v>1242</v>
      </c>
      <c r="B10" s="1256" t="s">
        <v>1241</v>
      </c>
      <c r="C10" s="1256"/>
      <c r="D10" s="1257">
        <f>SUM('Acct Summary 7-8'!C7:K7)</f>
        <v>2500169</v>
      </c>
    </row>
    <row r="11" spans="1:5" ht="18" customHeight="1" x14ac:dyDescent="0.2">
      <c r="A11" s="1255" t="s">
        <v>1240</v>
      </c>
      <c r="B11" s="1256"/>
      <c r="C11" s="1256"/>
    </row>
    <row r="12" spans="1:5" x14ac:dyDescent="0.2">
      <c r="A12" s="1255" t="s">
        <v>1239</v>
      </c>
      <c r="B12" s="1256" t="s">
        <v>1238</v>
      </c>
      <c r="C12" s="1256"/>
      <c r="D12" s="1258">
        <f>SUM('Revenues 9-14'!C112:D112,'Revenues 9-14'!F112:G112)</f>
        <v>3100153</v>
      </c>
    </row>
    <row r="13" spans="1:5" x14ac:dyDescent="0.2">
      <c r="A13" s="1255" t="s">
        <v>1237</v>
      </c>
      <c r="B13" s="1256"/>
      <c r="C13" s="1256"/>
    </row>
    <row r="14" spans="1:5" x14ac:dyDescent="0.2">
      <c r="A14" s="1255" t="s">
        <v>1727</v>
      </c>
      <c r="B14" s="1256"/>
      <c r="C14" s="1256"/>
      <c r="D14" s="1258">
        <f>'ICR Computation 30'!E11</f>
        <v>2566</v>
      </c>
    </row>
    <row r="15" spans="1:5" x14ac:dyDescent="0.2">
      <c r="A15" s="1255"/>
      <c r="B15" s="1256"/>
      <c r="C15" s="1256"/>
    </row>
    <row r="16" spans="1:5" x14ac:dyDescent="0.2">
      <c r="A16" s="1255" t="s">
        <v>1841</v>
      </c>
      <c r="B16" s="1256"/>
      <c r="C16" s="1256"/>
    </row>
    <row r="17" spans="1:4" x14ac:dyDescent="0.2">
      <c r="A17" s="1255" t="s">
        <v>2058</v>
      </c>
      <c r="B17" s="1256" t="s">
        <v>1236</v>
      </c>
      <c r="C17" s="1256"/>
      <c r="D17" s="1258">
        <f>-SUM('Revenues 9-14'!C264:D264,'Revenues 9-14'!F264:G264)</f>
        <v>-49</v>
      </c>
    </row>
    <row r="19" spans="1:4" ht="13.5" thickBot="1" x14ac:dyDescent="0.25">
      <c r="A19" s="1259" t="s">
        <v>1235</v>
      </c>
      <c r="D19" s="1260">
        <f>SUM(D10:D17)</f>
        <v>5602839</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504" t="s">
        <v>2106</v>
      </c>
      <c r="B24" s="2504"/>
      <c r="D24" s="1262">
        <v>-2566</v>
      </c>
    </row>
    <row r="25" spans="1:4" x14ac:dyDescent="0.2">
      <c r="A25" s="2501"/>
      <c r="B25" s="2501"/>
      <c r="D25" s="1262"/>
    </row>
    <row r="26" spans="1:4" x14ac:dyDescent="0.2">
      <c r="A26" s="2501"/>
      <c r="B26" s="2501"/>
      <c r="D26" s="1262"/>
    </row>
    <row r="27" spans="1:4" x14ac:dyDescent="0.2">
      <c r="A27" s="2501"/>
      <c r="B27" s="2501"/>
      <c r="D27" s="1262"/>
    </row>
    <row r="28" spans="1:4" x14ac:dyDescent="0.2">
      <c r="A28" s="2501"/>
      <c r="B28" s="2501"/>
      <c r="D28" s="1262"/>
    </row>
    <row r="29" spans="1:4" x14ac:dyDescent="0.2">
      <c r="A29" s="2501"/>
      <c r="B29" s="2501"/>
      <c r="D29" s="1262"/>
    </row>
    <row r="30" spans="1:4" x14ac:dyDescent="0.2">
      <c r="A30" s="2501"/>
      <c r="B30" s="2501"/>
      <c r="D30" s="1262"/>
    </row>
    <row r="32" spans="1:4" x14ac:dyDescent="0.2">
      <c r="A32" s="1254" t="s">
        <v>1233</v>
      </c>
      <c r="D32" s="1257">
        <f>SUM(D19:D30)</f>
        <v>5600273</v>
      </c>
    </row>
    <row r="33" spans="1:4" x14ac:dyDescent="0.2">
      <c r="D33" s="1263"/>
    </row>
    <row r="34" spans="1:4" x14ac:dyDescent="0.2">
      <c r="A34" s="317" t="s">
        <v>1232</v>
      </c>
    </row>
    <row r="35" spans="1:4" x14ac:dyDescent="0.2">
      <c r="A35" s="317" t="s">
        <v>1231</v>
      </c>
      <c r="B35" s="1252" t="s">
        <v>1230</v>
      </c>
      <c r="D35" s="1264">
        <v>5600273</v>
      </c>
    </row>
    <row r="37" spans="1:4" x14ac:dyDescent="0.2">
      <c r="A37" s="1254" t="s">
        <v>1229</v>
      </c>
    </row>
    <row r="39" spans="1:4" ht="13.35" customHeight="1" x14ac:dyDescent="0.2">
      <c r="A39" s="1261" t="s">
        <v>1228</v>
      </c>
    </row>
    <row r="40" spans="1:4" x14ac:dyDescent="0.2">
      <c r="A40" s="2501"/>
      <c r="B40" s="2501"/>
      <c r="D40" s="1262"/>
    </row>
    <row r="41" spans="1:4" x14ac:dyDescent="0.2">
      <c r="A41" s="2501"/>
      <c r="B41" s="2501"/>
      <c r="D41" s="1265"/>
    </row>
    <row r="42" spans="1:4" x14ac:dyDescent="0.2">
      <c r="A42" s="2501"/>
      <c r="B42" s="2501"/>
      <c r="D42" s="1265"/>
    </row>
    <row r="43" spans="1:4" x14ac:dyDescent="0.2">
      <c r="A43" s="2501"/>
      <c r="B43" s="2501"/>
      <c r="D43" s="1265"/>
    </row>
    <row r="44" spans="1:4" x14ac:dyDescent="0.2">
      <c r="A44" s="2501"/>
      <c r="B44" s="2501"/>
      <c r="D44" s="1265"/>
    </row>
    <row r="45" spans="1:4" x14ac:dyDescent="0.2">
      <c r="A45" s="2501"/>
      <c r="B45" s="2501"/>
      <c r="D45" s="1265"/>
    </row>
    <row r="47" spans="1:4" x14ac:dyDescent="0.2">
      <c r="B47" s="1266" t="s">
        <v>1227</v>
      </c>
      <c r="C47" s="1266"/>
      <c r="D47" s="1267">
        <f>SUM(D35:D45)</f>
        <v>5600273</v>
      </c>
    </row>
    <row r="49" spans="2:4" x14ac:dyDescent="0.2">
      <c r="B49" s="1266" t="s">
        <v>1226</v>
      </c>
      <c r="C49" s="1266"/>
      <c r="D49" s="1267">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85" t="str">
        <f>'Single Audit Cover'!A7</f>
        <v>Tazewell Mason Cntys Sp Ed Assoc</v>
      </c>
      <c r="C1" s="2506"/>
      <c r="D1" s="2506"/>
      <c r="E1" s="2506"/>
      <c r="F1" s="2506"/>
      <c r="G1" s="2506"/>
      <c r="H1" s="2506"/>
      <c r="I1" s="2506"/>
      <c r="J1" s="2506"/>
      <c r="K1" s="2506"/>
      <c r="L1" s="2506"/>
      <c r="M1" s="2506"/>
    </row>
    <row r="2" spans="2:14" ht="15" x14ac:dyDescent="0.2">
      <c r="B2" s="2507">
        <f>'Single Audit Cover'!E7</f>
        <v>53090309061</v>
      </c>
      <c r="C2" s="2507"/>
      <c r="D2" s="2507"/>
      <c r="E2" s="2507"/>
      <c r="F2" s="2507"/>
      <c r="G2" s="2507"/>
      <c r="H2" s="2507"/>
      <c r="I2" s="2507"/>
      <c r="J2" s="2507"/>
      <c r="K2" s="2507"/>
      <c r="L2" s="2507"/>
      <c r="M2" s="2507"/>
      <c r="N2" s="1296"/>
    </row>
    <row r="3" spans="2:14" ht="15" x14ac:dyDescent="0.2">
      <c r="B3" s="2508" t="s">
        <v>1219</v>
      </c>
      <c r="C3" s="2508"/>
      <c r="D3" s="2508"/>
      <c r="E3" s="2508"/>
      <c r="F3" s="2508"/>
      <c r="G3" s="2508"/>
      <c r="H3" s="2508"/>
      <c r="I3" s="2508"/>
      <c r="J3" s="2508"/>
      <c r="K3" s="2508"/>
      <c r="L3" s="2508"/>
      <c r="M3" s="2508"/>
      <c r="N3" s="1296"/>
    </row>
    <row r="4" spans="2:14" ht="15" x14ac:dyDescent="0.2">
      <c r="B4" s="2509" t="str">
        <f>'Single Audit Cover'!A4</f>
        <v>Year Ending June 30, 2019</v>
      </c>
      <c r="C4" s="2509"/>
      <c r="D4" s="2509"/>
      <c r="E4" s="2509"/>
      <c r="F4" s="2509"/>
      <c r="G4" s="2509"/>
      <c r="H4" s="2509"/>
      <c r="I4" s="2509"/>
      <c r="J4" s="2509"/>
      <c r="K4" s="2509"/>
      <c r="L4" s="2509"/>
      <c r="M4" s="2509"/>
      <c r="N4" s="1296"/>
    </row>
    <row r="6" spans="2:14" x14ac:dyDescent="0.2">
      <c r="B6" s="1297"/>
      <c r="C6" s="1298"/>
      <c r="D6" s="1299" t="s">
        <v>1265</v>
      </c>
      <c r="E6" s="1300" t="s">
        <v>527</v>
      </c>
      <c r="F6" s="1301"/>
      <c r="G6" s="1302" t="s">
        <v>1731</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1836</v>
      </c>
      <c r="I8" s="1313" t="s">
        <v>1262</v>
      </c>
      <c r="J8" s="1312" t="s">
        <v>1987</v>
      </c>
      <c r="K8" s="1313" t="s">
        <v>1261</v>
      </c>
      <c r="L8" s="1314" t="s">
        <v>1257</v>
      </c>
      <c r="M8" s="1315" t="s">
        <v>30</v>
      </c>
    </row>
    <row r="9" spans="2:14" ht="14.25" x14ac:dyDescent="0.2">
      <c r="B9" s="1319" t="s">
        <v>1259</v>
      </c>
      <c r="C9" s="1307" t="s">
        <v>1732</v>
      </c>
      <c r="D9" s="1308" t="s">
        <v>1733</v>
      </c>
      <c r="E9" s="1316" t="s">
        <v>1836</v>
      </c>
      <c r="F9" s="1317" t="s">
        <v>1987</v>
      </c>
      <c r="G9" s="1318" t="s">
        <v>1836</v>
      </c>
      <c r="H9" s="1311" t="s">
        <v>1582</v>
      </c>
      <c r="I9" s="1313" t="s">
        <v>1987</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c r="C12" s="1335"/>
      <c r="D12" s="1336"/>
      <c r="E12" s="1337"/>
      <c r="F12" s="1337"/>
      <c r="G12" s="1337"/>
      <c r="H12" s="1337"/>
      <c r="I12" s="1337"/>
      <c r="J12" s="1337"/>
      <c r="K12" s="1337"/>
      <c r="L12" s="1334">
        <f t="shared" ref="L12:L27" si="0">+G12+I12+K12</f>
        <v>0</v>
      </c>
      <c r="M12" s="1337"/>
    </row>
    <row r="13" spans="2:14" ht="20.100000000000001" customHeight="1" x14ac:dyDescent="0.2">
      <c r="B13" s="1331" t="s">
        <v>2068</v>
      </c>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1734</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1837</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1735</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1736</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1737</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1738</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A45CB-AAB6-4651-97F2-A785E2F4D908}">
  <sheetPr transitionEvaluation="1">
    <pageSetUpPr fitToPage="1"/>
  </sheetPr>
  <dimension ref="A1:S107"/>
  <sheetViews>
    <sheetView showGridLines="0" topLeftCell="A4" zoomScale="115" zoomScaleNormal="115" zoomScaleSheetLayoutView="100" workbookViewId="0">
      <selection activeCell="A4" sqref="A4:S4"/>
    </sheetView>
  </sheetViews>
  <sheetFormatPr defaultColWidth="16.7109375" defaultRowHeight="12.75" x14ac:dyDescent="0.2"/>
  <cols>
    <col min="1" max="1" width="6.5703125" style="1937" customWidth="1"/>
    <col min="2" max="2" width="55" style="1938" customWidth="1"/>
    <col min="3" max="3" width="11" style="1938" customWidth="1"/>
    <col min="4" max="4" width="1.85546875" style="1938" customWidth="1"/>
    <col min="5" max="5" width="13.42578125" style="1938" customWidth="1"/>
    <col min="6" max="6" width="6.42578125" style="1939" customWidth="1"/>
    <col min="7" max="7" width="14" style="1938" customWidth="1"/>
    <col min="8" max="8" width="1.85546875" style="1938" customWidth="1"/>
    <col min="9" max="9" width="13.5703125" style="1938" customWidth="1"/>
    <col min="10" max="10" width="3.85546875" style="1939" customWidth="1"/>
    <col min="11" max="11" width="13.140625" style="1938" bestFit="1" customWidth="1"/>
    <col min="12" max="12" width="3.7109375" style="1938" customWidth="1"/>
    <col min="13" max="13" width="13.7109375" style="1938" customWidth="1"/>
    <col min="14" max="14" width="5.28515625" style="1938" customWidth="1"/>
    <col min="15" max="15" width="11" style="1938" customWidth="1"/>
    <col min="16" max="16" width="5.28515625" style="1939" customWidth="1"/>
    <col min="17" max="17" width="15.85546875" style="1938" customWidth="1"/>
    <col min="18" max="18" width="6.140625" style="1938" customWidth="1"/>
    <col min="19" max="19" width="13.85546875" style="1939" customWidth="1"/>
    <col min="20" max="247" width="16.7109375" style="1938"/>
    <col min="248" max="248" width="6.5703125" style="1938" customWidth="1"/>
    <col min="249" max="249" width="55" style="1938" customWidth="1"/>
    <col min="250" max="250" width="11" style="1938" customWidth="1"/>
    <col min="251" max="251" width="1.85546875" style="1938" customWidth="1"/>
    <col min="252" max="252" width="13.42578125" style="1938" customWidth="1"/>
    <col min="253" max="253" width="6.42578125" style="1938" customWidth="1"/>
    <col min="254" max="254" width="14" style="1938" customWidth="1"/>
    <col min="255" max="255" width="1.85546875" style="1938" customWidth="1"/>
    <col min="256" max="256" width="13.5703125" style="1938" customWidth="1"/>
    <col min="257" max="257" width="3.85546875" style="1938" customWidth="1"/>
    <col min="258" max="258" width="13.140625" style="1938" bestFit="1" customWidth="1"/>
    <col min="259" max="259" width="3.7109375" style="1938" customWidth="1"/>
    <col min="260" max="260" width="13.7109375" style="1938" customWidth="1"/>
    <col min="261" max="261" width="5.28515625" style="1938" customWidth="1"/>
    <col min="262" max="262" width="11" style="1938" customWidth="1"/>
    <col min="263" max="263" width="5.28515625" style="1938" customWidth="1"/>
    <col min="264" max="264" width="15.85546875" style="1938" customWidth="1"/>
    <col min="265" max="265" width="6.140625" style="1938" customWidth="1"/>
    <col min="266" max="266" width="13.85546875" style="1938" customWidth="1"/>
    <col min="267" max="503" width="16.7109375" style="1938"/>
    <col min="504" max="504" width="6.5703125" style="1938" customWidth="1"/>
    <col min="505" max="505" width="55" style="1938" customWidth="1"/>
    <col min="506" max="506" width="11" style="1938" customWidth="1"/>
    <col min="507" max="507" width="1.85546875" style="1938" customWidth="1"/>
    <col min="508" max="508" width="13.42578125" style="1938" customWidth="1"/>
    <col min="509" max="509" width="6.42578125" style="1938" customWidth="1"/>
    <col min="510" max="510" width="14" style="1938" customWidth="1"/>
    <col min="511" max="511" width="1.85546875" style="1938" customWidth="1"/>
    <col min="512" max="512" width="13.5703125" style="1938" customWidth="1"/>
    <col min="513" max="513" width="3.85546875" style="1938" customWidth="1"/>
    <col min="514" max="514" width="13.140625" style="1938" bestFit="1" customWidth="1"/>
    <col min="515" max="515" width="3.7109375" style="1938" customWidth="1"/>
    <col min="516" max="516" width="13.7109375" style="1938" customWidth="1"/>
    <col min="517" max="517" width="5.28515625" style="1938" customWidth="1"/>
    <col min="518" max="518" width="11" style="1938" customWidth="1"/>
    <col min="519" max="519" width="5.28515625" style="1938" customWidth="1"/>
    <col min="520" max="520" width="15.85546875" style="1938" customWidth="1"/>
    <col min="521" max="521" width="6.140625" style="1938" customWidth="1"/>
    <col min="522" max="522" width="13.85546875" style="1938" customWidth="1"/>
    <col min="523" max="759" width="16.7109375" style="1938"/>
    <col min="760" max="760" width="6.5703125" style="1938" customWidth="1"/>
    <col min="761" max="761" width="55" style="1938" customWidth="1"/>
    <col min="762" max="762" width="11" style="1938" customWidth="1"/>
    <col min="763" max="763" width="1.85546875" style="1938" customWidth="1"/>
    <col min="764" max="764" width="13.42578125" style="1938" customWidth="1"/>
    <col min="765" max="765" width="6.42578125" style="1938" customWidth="1"/>
    <col min="766" max="766" width="14" style="1938" customWidth="1"/>
    <col min="767" max="767" width="1.85546875" style="1938" customWidth="1"/>
    <col min="768" max="768" width="13.5703125" style="1938" customWidth="1"/>
    <col min="769" max="769" width="3.85546875" style="1938" customWidth="1"/>
    <col min="770" max="770" width="13.140625" style="1938" bestFit="1" customWidth="1"/>
    <col min="771" max="771" width="3.7109375" style="1938" customWidth="1"/>
    <col min="772" max="772" width="13.7109375" style="1938" customWidth="1"/>
    <col min="773" max="773" width="5.28515625" style="1938" customWidth="1"/>
    <col min="774" max="774" width="11" style="1938" customWidth="1"/>
    <col min="775" max="775" width="5.28515625" style="1938" customWidth="1"/>
    <col min="776" max="776" width="15.85546875" style="1938" customWidth="1"/>
    <col min="777" max="777" width="6.140625" style="1938" customWidth="1"/>
    <col min="778" max="778" width="13.85546875" style="1938" customWidth="1"/>
    <col min="779" max="1015" width="16.7109375" style="1938"/>
    <col min="1016" max="1016" width="6.5703125" style="1938" customWidth="1"/>
    <col min="1017" max="1017" width="55" style="1938" customWidth="1"/>
    <col min="1018" max="1018" width="11" style="1938" customWidth="1"/>
    <col min="1019" max="1019" width="1.85546875" style="1938" customWidth="1"/>
    <col min="1020" max="1020" width="13.42578125" style="1938" customWidth="1"/>
    <col min="1021" max="1021" width="6.42578125" style="1938" customWidth="1"/>
    <col min="1022" max="1022" width="14" style="1938" customWidth="1"/>
    <col min="1023" max="1023" width="1.85546875" style="1938" customWidth="1"/>
    <col min="1024" max="1024" width="13.5703125" style="1938" customWidth="1"/>
    <col min="1025" max="1025" width="3.85546875" style="1938" customWidth="1"/>
    <col min="1026" max="1026" width="13.140625" style="1938" bestFit="1" customWidth="1"/>
    <col min="1027" max="1027" width="3.7109375" style="1938" customWidth="1"/>
    <col min="1028" max="1028" width="13.7109375" style="1938" customWidth="1"/>
    <col min="1029" max="1029" width="5.28515625" style="1938" customWidth="1"/>
    <col min="1030" max="1030" width="11" style="1938" customWidth="1"/>
    <col min="1031" max="1031" width="5.28515625" style="1938" customWidth="1"/>
    <col min="1032" max="1032" width="15.85546875" style="1938" customWidth="1"/>
    <col min="1033" max="1033" width="6.140625" style="1938" customWidth="1"/>
    <col min="1034" max="1034" width="13.85546875" style="1938" customWidth="1"/>
    <col min="1035" max="1271" width="16.7109375" style="1938"/>
    <col min="1272" max="1272" width="6.5703125" style="1938" customWidth="1"/>
    <col min="1273" max="1273" width="55" style="1938" customWidth="1"/>
    <col min="1274" max="1274" width="11" style="1938" customWidth="1"/>
    <col min="1275" max="1275" width="1.85546875" style="1938" customWidth="1"/>
    <col min="1276" max="1276" width="13.42578125" style="1938" customWidth="1"/>
    <col min="1277" max="1277" width="6.42578125" style="1938" customWidth="1"/>
    <col min="1278" max="1278" width="14" style="1938" customWidth="1"/>
    <col min="1279" max="1279" width="1.85546875" style="1938" customWidth="1"/>
    <col min="1280" max="1280" width="13.5703125" style="1938" customWidth="1"/>
    <col min="1281" max="1281" width="3.85546875" style="1938" customWidth="1"/>
    <col min="1282" max="1282" width="13.140625" style="1938" bestFit="1" customWidth="1"/>
    <col min="1283" max="1283" width="3.7109375" style="1938" customWidth="1"/>
    <col min="1284" max="1284" width="13.7109375" style="1938" customWidth="1"/>
    <col min="1285" max="1285" width="5.28515625" style="1938" customWidth="1"/>
    <col min="1286" max="1286" width="11" style="1938" customWidth="1"/>
    <col min="1287" max="1287" width="5.28515625" style="1938" customWidth="1"/>
    <col min="1288" max="1288" width="15.85546875" style="1938" customWidth="1"/>
    <col min="1289" max="1289" width="6.140625" style="1938" customWidth="1"/>
    <col min="1290" max="1290" width="13.85546875" style="1938" customWidth="1"/>
    <col min="1291" max="1527" width="16.7109375" style="1938"/>
    <col min="1528" max="1528" width="6.5703125" style="1938" customWidth="1"/>
    <col min="1529" max="1529" width="55" style="1938" customWidth="1"/>
    <col min="1530" max="1530" width="11" style="1938" customWidth="1"/>
    <col min="1531" max="1531" width="1.85546875" style="1938" customWidth="1"/>
    <col min="1532" max="1532" width="13.42578125" style="1938" customWidth="1"/>
    <col min="1533" max="1533" width="6.42578125" style="1938" customWidth="1"/>
    <col min="1534" max="1534" width="14" style="1938" customWidth="1"/>
    <col min="1535" max="1535" width="1.85546875" style="1938" customWidth="1"/>
    <col min="1536" max="1536" width="13.5703125" style="1938" customWidth="1"/>
    <col min="1537" max="1537" width="3.85546875" style="1938" customWidth="1"/>
    <col min="1538" max="1538" width="13.140625" style="1938" bestFit="1" customWidth="1"/>
    <col min="1539" max="1539" width="3.7109375" style="1938" customWidth="1"/>
    <col min="1540" max="1540" width="13.7109375" style="1938" customWidth="1"/>
    <col min="1541" max="1541" width="5.28515625" style="1938" customWidth="1"/>
    <col min="1542" max="1542" width="11" style="1938" customWidth="1"/>
    <col min="1543" max="1543" width="5.28515625" style="1938" customWidth="1"/>
    <col min="1544" max="1544" width="15.85546875" style="1938" customWidth="1"/>
    <col min="1545" max="1545" width="6.140625" style="1938" customWidth="1"/>
    <col min="1546" max="1546" width="13.85546875" style="1938" customWidth="1"/>
    <col min="1547" max="1783" width="16.7109375" style="1938"/>
    <col min="1784" max="1784" width="6.5703125" style="1938" customWidth="1"/>
    <col min="1785" max="1785" width="55" style="1938" customWidth="1"/>
    <col min="1786" max="1786" width="11" style="1938" customWidth="1"/>
    <col min="1787" max="1787" width="1.85546875" style="1938" customWidth="1"/>
    <col min="1788" max="1788" width="13.42578125" style="1938" customWidth="1"/>
    <col min="1789" max="1789" width="6.42578125" style="1938" customWidth="1"/>
    <col min="1790" max="1790" width="14" style="1938" customWidth="1"/>
    <col min="1791" max="1791" width="1.85546875" style="1938" customWidth="1"/>
    <col min="1792" max="1792" width="13.5703125" style="1938" customWidth="1"/>
    <col min="1793" max="1793" width="3.85546875" style="1938" customWidth="1"/>
    <col min="1794" max="1794" width="13.140625" style="1938" bestFit="1" customWidth="1"/>
    <col min="1795" max="1795" width="3.7109375" style="1938" customWidth="1"/>
    <col min="1796" max="1796" width="13.7109375" style="1938" customWidth="1"/>
    <col min="1797" max="1797" width="5.28515625" style="1938" customWidth="1"/>
    <col min="1798" max="1798" width="11" style="1938" customWidth="1"/>
    <col min="1799" max="1799" width="5.28515625" style="1938" customWidth="1"/>
    <col min="1800" max="1800" width="15.85546875" style="1938" customWidth="1"/>
    <col min="1801" max="1801" width="6.140625" style="1938" customWidth="1"/>
    <col min="1802" max="1802" width="13.85546875" style="1938" customWidth="1"/>
    <col min="1803" max="2039" width="16.7109375" style="1938"/>
    <col min="2040" max="2040" width="6.5703125" style="1938" customWidth="1"/>
    <col min="2041" max="2041" width="55" style="1938" customWidth="1"/>
    <col min="2042" max="2042" width="11" style="1938" customWidth="1"/>
    <col min="2043" max="2043" width="1.85546875" style="1938" customWidth="1"/>
    <col min="2044" max="2044" width="13.42578125" style="1938" customWidth="1"/>
    <col min="2045" max="2045" width="6.42578125" style="1938" customWidth="1"/>
    <col min="2046" max="2046" width="14" style="1938" customWidth="1"/>
    <col min="2047" max="2047" width="1.85546875" style="1938" customWidth="1"/>
    <col min="2048" max="2048" width="13.5703125" style="1938" customWidth="1"/>
    <col min="2049" max="2049" width="3.85546875" style="1938" customWidth="1"/>
    <col min="2050" max="2050" width="13.140625" style="1938" bestFit="1" customWidth="1"/>
    <col min="2051" max="2051" width="3.7109375" style="1938" customWidth="1"/>
    <col min="2052" max="2052" width="13.7109375" style="1938" customWidth="1"/>
    <col min="2053" max="2053" width="5.28515625" style="1938" customWidth="1"/>
    <col min="2054" max="2054" width="11" style="1938" customWidth="1"/>
    <col min="2055" max="2055" width="5.28515625" style="1938" customWidth="1"/>
    <col min="2056" max="2056" width="15.85546875" style="1938" customWidth="1"/>
    <col min="2057" max="2057" width="6.140625" style="1938" customWidth="1"/>
    <col min="2058" max="2058" width="13.85546875" style="1938" customWidth="1"/>
    <col min="2059" max="2295" width="16.7109375" style="1938"/>
    <col min="2296" max="2296" width="6.5703125" style="1938" customWidth="1"/>
    <col min="2297" max="2297" width="55" style="1938" customWidth="1"/>
    <col min="2298" max="2298" width="11" style="1938" customWidth="1"/>
    <col min="2299" max="2299" width="1.85546875" style="1938" customWidth="1"/>
    <col min="2300" max="2300" width="13.42578125" style="1938" customWidth="1"/>
    <col min="2301" max="2301" width="6.42578125" style="1938" customWidth="1"/>
    <col min="2302" max="2302" width="14" style="1938" customWidth="1"/>
    <col min="2303" max="2303" width="1.85546875" style="1938" customWidth="1"/>
    <col min="2304" max="2304" width="13.5703125" style="1938" customWidth="1"/>
    <col min="2305" max="2305" width="3.85546875" style="1938" customWidth="1"/>
    <col min="2306" max="2306" width="13.140625" style="1938" bestFit="1" customWidth="1"/>
    <col min="2307" max="2307" width="3.7109375" style="1938" customWidth="1"/>
    <col min="2308" max="2308" width="13.7109375" style="1938" customWidth="1"/>
    <col min="2309" max="2309" width="5.28515625" style="1938" customWidth="1"/>
    <col min="2310" max="2310" width="11" style="1938" customWidth="1"/>
    <col min="2311" max="2311" width="5.28515625" style="1938" customWidth="1"/>
    <col min="2312" max="2312" width="15.85546875" style="1938" customWidth="1"/>
    <col min="2313" max="2313" width="6.140625" style="1938" customWidth="1"/>
    <col min="2314" max="2314" width="13.85546875" style="1938" customWidth="1"/>
    <col min="2315" max="2551" width="16.7109375" style="1938"/>
    <col min="2552" max="2552" width="6.5703125" style="1938" customWidth="1"/>
    <col min="2553" max="2553" width="55" style="1938" customWidth="1"/>
    <col min="2554" max="2554" width="11" style="1938" customWidth="1"/>
    <col min="2555" max="2555" width="1.85546875" style="1938" customWidth="1"/>
    <col min="2556" max="2556" width="13.42578125" style="1938" customWidth="1"/>
    <col min="2557" max="2557" width="6.42578125" style="1938" customWidth="1"/>
    <col min="2558" max="2558" width="14" style="1938" customWidth="1"/>
    <col min="2559" max="2559" width="1.85546875" style="1938" customWidth="1"/>
    <col min="2560" max="2560" width="13.5703125" style="1938" customWidth="1"/>
    <col min="2561" max="2561" width="3.85546875" style="1938" customWidth="1"/>
    <col min="2562" max="2562" width="13.140625" style="1938" bestFit="1" customWidth="1"/>
    <col min="2563" max="2563" width="3.7109375" style="1938" customWidth="1"/>
    <col min="2564" max="2564" width="13.7109375" style="1938" customWidth="1"/>
    <col min="2565" max="2565" width="5.28515625" style="1938" customWidth="1"/>
    <col min="2566" max="2566" width="11" style="1938" customWidth="1"/>
    <col min="2567" max="2567" width="5.28515625" style="1938" customWidth="1"/>
    <col min="2568" max="2568" width="15.85546875" style="1938" customWidth="1"/>
    <col min="2569" max="2569" width="6.140625" style="1938" customWidth="1"/>
    <col min="2570" max="2570" width="13.85546875" style="1938" customWidth="1"/>
    <col min="2571" max="2807" width="16.7109375" style="1938"/>
    <col min="2808" max="2808" width="6.5703125" style="1938" customWidth="1"/>
    <col min="2809" max="2809" width="55" style="1938" customWidth="1"/>
    <col min="2810" max="2810" width="11" style="1938" customWidth="1"/>
    <col min="2811" max="2811" width="1.85546875" style="1938" customWidth="1"/>
    <col min="2812" max="2812" width="13.42578125" style="1938" customWidth="1"/>
    <col min="2813" max="2813" width="6.42578125" style="1938" customWidth="1"/>
    <col min="2814" max="2814" width="14" style="1938" customWidth="1"/>
    <col min="2815" max="2815" width="1.85546875" style="1938" customWidth="1"/>
    <col min="2816" max="2816" width="13.5703125" style="1938" customWidth="1"/>
    <col min="2817" max="2817" width="3.85546875" style="1938" customWidth="1"/>
    <col min="2818" max="2818" width="13.140625" style="1938" bestFit="1" customWidth="1"/>
    <col min="2819" max="2819" width="3.7109375" style="1938" customWidth="1"/>
    <col min="2820" max="2820" width="13.7109375" style="1938" customWidth="1"/>
    <col min="2821" max="2821" width="5.28515625" style="1938" customWidth="1"/>
    <col min="2822" max="2822" width="11" style="1938" customWidth="1"/>
    <col min="2823" max="2823" width="5.28515625" style="1938" customWidth="1"/>
    <col min="2824" max="2824" width="15.85546875" style="1938" customWidth="1"/>
    <col min="2825" max="2825" width="6.140625" style="1938" customWidth="1"/>
    <col min="2826" max="2826" width="13.85546875" style="1938" customWidth="1"/>
    <col min="2827" max="3063" width="16.7109375" style="1938"/>
    <col min="3064" max="3064" width="6.5703125" style="1938" customWidth="1"/>
    <col min="3065" max="3065" width="55" style="1938" customWidth="1"/>
    <col min="3066" max="3066" width="11" style="1938" customWidth="1"/>
    <col min="3067" max="3067" width="1.85546875" style="1938" customWidth="1"/>
    <col min="3068" max="3068" width="13.42578125" style="1938" customWidth="1"/>
    <col min="3069" max="3069" width="6.42578125" style="1938" customWidth="1"/>
    <col min="3070" max="3070" width="14" style="1938" customWidth="1"/>
    <col min="3071" max="3071" width="1.85546875" style="1938" customWidth="1"/>
    <col min="3072" max="3072" width="13.5703125" style="1938" customWidth="1"/>
    <col min="3073" max="3073" width="3.85546875" style="1938" customWidth="1"/>
    <col min="3074" max="3074" width="13.140625" style="1938" bestFit="1" customWidth="1"/>
    <col min="3075" max="3075" width="3.7109375" style="1938" customWidth="1"/>
    <col min="3076" max="3076" width="13.7109375" style="1938" customWidth="1"/>
    <col min="3077" max="3077" width="5.28515625" style="1938" customWidth="1"/>
    <col min="3078" max="3078" width="11" style="1938" customWidth="1"/>
    <col min="3079" max="3079" width="5.28515625" style="1938" customWidth="1"/>
    <col min="3080" max="3080" width="15.85546875" style="1938" customWidth="1"/>
    <col min="3081" max="3081" width="6.140625" style="1938" customWidth="1"/>
    <col min="3082" max="3082" width="13.85546875" style="1938" customWidth="1"/>
    <col min="3083" max="3319" width="16.7109375" style="1938"/>
    <col min="3320" max="3320" width="6.5703125" style="1938" customWidth="1"/>
    <col min="3321" max="3321" width="55" style="1938" customWidth="1"/>
    <col min="3322" max="3322" width="11" style="1938" customWidth="1"/>
    <col min="3323" max="3323" width="1.85546875" style="1938" customWidth="1"/>
    <col min="3324" max="3324" width="13.42578125" style="1938" customWidth="1"/>
    <col min="3325" max="3325" width="6.42578125" style="1938" customWidth="1"/>
    <col min="3326" max="3326" width="14" style="1938" customWidth="1"/>
    <col min="3327" max="3327" width="1.85546875" style="1938" customWidth="1"/>
    <col min="3328" max="3328" width="13.5703125" style="1938" customWidth="1"/>
    <col min="3329" max="3329" width="3.85546875" style="1938" customWidth="1"/>
    <col min="3330" max="3330" width="13.140625" style="1938" bestFit="1" customWidth="1"/>
    <col min="3331" max="3331" width="3.7109375" style="1938" customWidth="1"/>
    <col min="3332" max="3332" width="13.7109375" style="1938" customWidth="1"/>
    <col min="3333" max="3333" width="5.28515625" style="1938" customWidth="1"/>
    <col min="3334" max="3334" width="11" style="1938" customWidth="1"/>
    <col min="3335" max="3335" width="5.28515625" style="1938" customWidth="1"/>
    <col min="3336" max="3336" width="15.85546875" style="1938" customWidth="1"/>
    <col min="3337" max="3337" width="6.140625" style="1938" customWidth="1"/>
    <col min="3338" max="3338" width="13.85546875" style="1938" customWidth="1"/>
    <col min="3339" max="3575" width="16.7109375" style="1938"/>
    <col min="3576" max="3576" width="6.5703125" style="1938" customWidth="1"/>
    <col min="3577" max="3577" width="55" style="1938" customWidth="1"/>
    <col min="3578" max="3578" width="11" style="1938" customWidth="1"/>
    <col min="3579" max="3579" width="1.85546875" style="1938" customWidth="1"/>
    <col min="3580" max="3580" width="13.42578125" style="1938" customWidth="1"/>
    <col min="3581" max="3581" width="6.42578125" style="1938" customWidth="1"/>
    <col min="3582" max="3582" width="14" style="1938" customWidth="1"/>
    <col min="3583" max="3583" width="1.85546875" style="1938" customWidth="1"/>
    <col min="3584" max="3584" width="13.5703125" style="1938" customWidth="1"/>
    <col min="3585" max="3585" width="3.85546875" style="1938" customWidth="1"/>
    <col min="3586" max="3586" width="13.140625" style="1938" bestFit="1" customWidth="1"/>
    <col min="3587" max="3587" width="3.7109375" style="1938" customWidth="1"/>
    <col min="3588" max="3588" width="13.7109375" style="1938" customWidth="1"/>
    <col min="3589" max="3589" width="5.28515625" style="1938" customWidth="1"/>
    <col min="3590" max="3590" width="11" style="1938" customWidth="1"/>
    <col min="3591" max="3591" width="5.28515625" style="1938" customWidth="1"/>
    <col min="3592" max="3592" width="15.85546875" style="1938" customWidth="1"/>
    <col min="3593" max="3593" width="6.140625" style="1938" customWidth="1"/>
    <col min="3594" max="3594" width="13.85546875" style="1938" customWidth="1"/>
    <col min="3595" max="3831" width="16.7109375" style="1938"/>
    <col min="3832" max="3832" width="6.5703125" style="1938" customWidth="1"/>
    <col min="3833" max="3833" width="55" style="1938" customWidth="1"/>
    <col min="3834" max="3834" width="11" style="1938" customWidth="1"/>
    <col min="3835" max="3835" width="1.85546875" style="1938" customWidth="1"/>
    <col min="3836" max="3836" width="13.42578125" style="1938" customWidth="1"/>
    <col min="3837" max="3837" width="6.42578125" style="1938" customWidth="1"/>
    <col min="3838" max="3838" width="14" style="1938" customWidth="1"/>
    <col min="3839" max="3839" width="1.85546875" style="1938" customWidth="1"/>
    <col min="3840" max="3840" width="13.5703125" style="1938" customWidth="1"/>
    <col min="3841" max="3841" width="3.85546875" style="1938" customWidth="1"/>
    <col min="3842" max="3842" width="13.140625" style="1938" bestFit="1" customWidth="1"/>
    <col min="3843" max="3843" width="3.7109375" style="1938" customWidth="1"/>
    <col min="3844" max="3844" width="13.7109375" style="1938" customWidth="1"/>
    <col min="3845" max="3845" width="5.28515625" style="1938" customWidth="1"/>
    <col min="3846" max="3846" width="11" style="1938" customWidth="1"/>
    <col min="3847" max="3847" width="5.28515625" style="1938" customWidth="1"/>
    <col min="3848" max="3848" width="15.85546875" style="1938" customWidth="1"/>
    <col min="3849" max="3849" width="6.140625" style="1938" customWidth="1"/>
    <col min="3850" max="3850" width="13.85546875" style="1938" customWidth="1"/>
    <col min="3851" max="4087" width="16.7109375" style="1938"/>
    <col min="4088" max="4088" width="6.5703125" style="1938" customWidth="1"/>
    <col min="4089" max="4089" width="55" style="1938" customWidth="1"/>
    <col min="4090" max="4090" width="11" style="1938" customWidth="1"/>
    <col min="4091" max="4091" width="1.85546875" style="1938" customWidth="1"/>
    <col min="4092" max="4092" width="13.42578125" style="1938" customWidth="1"/>
    <col min="4093" max="4093" width="6.42578125" style="1938" customWidth="1"/>
    <col min="4094" max="4094" width="14" style="1938" customWidth="1"/>
    <col min="4095" max="4095" width="1.85546875" style="1938" customWidth="1"/>
    <col min="4096" max="4096" width="13.5703125" style="1938" customWidth="1"/>
    <col min="4097" max="4097" width="3.85546875" style="1938" customWidth="1"/>
    <col min="4098" max="4098" width="13.140625" style="1938" bestFit="1" customWidth="1"/>
    <col min="4099" max="4099" width="3.7109375" style="1938" customWidth="1"/>
    <col min="4100" max="4100" width="13.7109375" style="1938" customWidth="1"/>
    <col min="4101" max="4101" width="5.28515625" style="1938" customWidth="1"/>
    <col min="4102" max="4102" width="11" style="1938" customWidth="1"/>
    <col min="4103" max="4103" width="5.28515625" style="1938" customWidth="1"/>
    <col min="4104" max="4104" width="15.85546875" style="1938" customWidth="1"/>
    <col min="4105" max="4105" width="6.140625" style="1938" customWidth="1"/>
    <col min="4106" max="4106" width="13.85546875" style="1938" customWidth="1"/>
    <col min="4107" max="4343" width="16.7109375" style="1938"/>
    <col min="4344" max="4344" width="6.5703125" style="1938" customWidth="1"/>
    <col min="4345" max="4345" width="55" style="1938" customWidth="1"/>
    <col min="4346" max="4346" width="11" style="1938" customWidth="1"/>
    <col min="4347" max="4347" width="1.85546875" style="1938" customWidth="1"/>
    <col min="4348" max="4348" width="13.42578125" style="1938" customWidth="1"/>
    <col min="4349" max="4349" width="6.42578125" style="1938" customWidth="1"/>
    <col min="4350" max="4350" width="14" style="1938" customWidth="1"/>
    <col min="4351" max="4351" width="1.85546875" style="1938" customWidth="1"/>
    <col min="4352" max="4352" width="13.5703125" style="1938" customWidth="1"/>
    <col min="4353" max="4353" width="3.85546875" style="1938" customWidth="1"/>
    <col min="4354" max="4354" width="13.140625" style="1938" bestFit="1" customWidth="1"/>
    <col min="4355" max="4355" width="3.7109375" style="1938" customWidth="1"/>
    <col min="4356" max="4356" width="13.7109375" style="1938" customWidth="1"/>
    <col min="4357" max="4357" width="5.28515625" style="1938" customWidth="1"/>
    <col min="4358" max="4358" width="11" style="1938" customWidth="1"/>
    <col min="4359" max="4359" width="5.28515625" style="1938" customWidth="1"/>
    <col min="4360" max="4360" width="15.85546875" style="1938" customWidth="1"/>
    <col min="4361" max="4361" width="6.140625" style="1938" customWidth="1"/>
    <col min="4362" max="4362" width="13.85546875" style="1938" customWidth="1"/>
    <col min="4363" max="4599" width="16.7109375" style="1938"/>
    <col min="4600" max="4600" width="6.5703125" style="1938" customWidth="1"/>
    <col min="4601" max="4601" width="55" style="1938" customWidth="1"/>
    <col min="4602" max="4602" width="11" style="1938" customWidth="1"/>
    <col min="4603" max="4603" width="1.85546875" style="1938" customWidth="1"/>
    <col min="4604" max="4604" width="13.42578125" style="1938" customWidth="1"/>
    <col min="4605" max="4605" width="6.42578125" style="1938" customWidth="1"/>
    <col min="4606" max="4606" width="14" style="1938" customWidth="1"/>
    <col min="4607" max="4607" width="1.85546875" style="1938" customWidth="1"/>
    <col min="4608" max="4608" width="13.5703125" style="1938" customWidth="1"/>
    <col min="4609" max="4609" width="3.85546875" style="1938" customWidth="1"/>
    <col min="4610" max="4610" width="13.140625" style="1938" bestFit="1" customWidth="1"/>
    <col min="4611" max="4611" width="3.7109375" style="1938" customWidth="1"/>
    <col min="4612" max="4612" width="13.7109375" style="1938" customWidth="1"/>
    <col min="4613" max="4613" width="5.28515625" style="1938" customWidth="1"/>
    <col min="4614" max="4614" width="11" style="1938" customWidth="1"/>
    <col min="4615" max="4615" width="5.28515625" style="1938" customWidth="1"/>
    <col min="4616" max="4616" width="15.85546875" style="1938" customWidth="1"/>
    <col min="4617" max="4617" width="6.140625" style="1938" customWidth="1"/>
    <col min="4618" max="4618" width="13.85546875" style="1938" customWidth="1"/>
    <col min="4619" max="4855" width="16.7109375" style="1938"/>
    <col min="4856" max="4856" width="6.5703125" style="1938" customWidth="1"/>
    <col min="4857" max="4857" width="55" style="1938" customWidth="1"/>
    <col min="4858" max="4858" width="11" style="1938" customWidth="1"/>
    <col min="4859" max="4859" width="1.85546875" style="1938" customWidth="1"/>
    <col min="4860" max="4860" width="13.42578125" style="1938" customWidth="1"/>
    <col min="4861" max="4861" width="6.42578125" style="1938" customWidth="1"/>
    <col min="4862" max="4862" width="14" style="1938" customWidth="1"/>
    <col min="4863" max="4863" width="1.85546875" style="1938" customWidth="1"/>
    <col min="4864" max="4864" width="13.5703125" style="1938" customWidth="1"/>
    <col min="4865" max="4865" width="3.85546875" style="1938" customWidth="1"/>
    <col min="4866" max="4866" width="13.140625" style="1938" bestFit="1" customWidth="1"/>
    <col min="4867" max="4867" width="3.7109375" style="1938" customWidth="1"/>
    <col min="4868" max="4868" width="13.7109375" style="1938" customWidth="1"/>
    <col min="4869" max="4869" width="5.28515625" style="1938" customWidth="1"/>
    <col min="4870" max="4870" width="11" style="1938" customWidth="1"/>
    <col min="4871" max="4871" width="5.28515625" style="1938" customWidth="1"/>
    <col min="4872" max="4872" width="15.85546875" style="1938" customWidth="1"/>
    <col min="4873" max="4873" width="6.140625" style="1938" customWidth="1"/>
    <col min="4874" max="4874" width="13.85546875" style="1938" customWidth="1"/>
    <col min="4875" max="5111" width="16.7109375" style="1938"/>
    <col min="5112" max="5112" width="6.5703125" style="1938" customWidth="1"/>
    <col min="5113" max="5113" width="55" style="1938" customWidth="1"/>
    <col min="5114" max="5114" width="11" style="1938" customWidth="1"/>
    <col min="5115" max="5115" width="1.85546875" style="1938" customWidth="1"/>
    <col min="5116" max="5116" width="13.42578125" style="1938" customWidth="1"/>
    <col min="5117" max="5117" width="6.42578125" style="1938" customWidth="1"/>
    <col min="5118" max="5118" width="14" style="1938" customWidth="1"/>
    <col min="5119" max="5119" width="1.85546875" style="1938" customWidth="1"/>
    <col min="5120" max="5120" width="13.5703125" style="1938" customWidth="1"/>
    <col min="5121" max="5121" width="3.85546875" style="1938" customWidth="1"/>
    <col min="5122" max="5122" width="13.140625" style="1938" bestFit="1" customWidth="1"/>
    <col min="5123" max="5123" width="3.7109375" style="1938" customWidth="1"/>
    <col min="5124" max="5124" width="13.7109375" style="1938" customWidth="1"/>
    <col min="5125" max="5125" width="5.28515625" style="1938" customWidth="1"/>
    <col min="5126" max="5126" width="11" style="1938" customWidth="1"/>
    <col min="5127" max="5127" width="5.28515625" style="1938" customWidth="1"/>
    <col min="5128" max="5128" width="15.85546875" style="1938" customWidth="1"/>
    <col min="5129" max="5129" width="6.140625" style="1938" customWidth="1"/>
    <col min="5130" max="5130" width="13.85546875" style="1938" customWidth="1"/>
    <col min="5131" max="5367" width="16.7109375" style="1938"/>
    <col min="5368" max="5368" width="6.5703125" style="1938" customWidth="1"/>
    <col min="5369" max="5369" width="55" style="1938" customWidth="1"/>
    <col min="5370" max="5370" width="11" style="1938" customWidth="1"/>
    <col min="5371" max="5371" width="1.85546875" style="1938" customWidth="1"/>
    <col min="5372" max="5372" width="13.42578125" style="1938" customWidth="1"/>
    <col min="5373" max="5373" width="6.42578125" style="1938" customWidth="1"/>
    <col min="5374" max="5374" width="14" style="1938" customWidth="1"/>
    <col min="5375" max="5375" width="1.85546875" style="1938" customWidth="1"/>
    <col min="5376" max="5376" width="13.5703125" style="1938" customWidth="1"/>
    <col min="5377" max="5377" width="3.85546875" style="1938" customWidth="1"/>
    <col min="5378" max="5378" width="13.140625" style="1938" bestFit="1" customWidth="1"/>
    <col min="5379" max="5379" width="3.7109375" style="1938" customWidth="1"/>
    <col min="5380" max="5380" width="13.7109375" style="1938" customWidth="1"/>
    <col min="5381" max="5381" width="5.28515625" style="1938" customWidth="1"/>
    <col min="5382" max="5382" width="11" style="1938" customWidth="1"/>
    <col min="5383" max="5383" width="5.28515625" style="1938" customWidth="1"/>
    <col min="5384" max="5384" width="15.85546875" style="1938" customWidth="1"/>
    <col min="5385" max="5385" width="6.140625" style="1938" customWidth="1"/>
    <col min="5386" max="5386" width="13.85546875" style="1938" customWidth="1"/>
    <col min="5387" max="5623" width="16.7109375" style="1938"/>
    <col min="5624" max="5624" width="6.5703125" style="1938" customWidth="1"/>
    <col min="5625" max="5625" width="55" style="1938" customWidth="1"/>
    <col min="5626" max="5626" width="11" style="1938" customWidth="1"/>
    <col min="5627" max="5627" width="1.85546875" style="1938" customWidth="1"/>
    <col min="5628" max="5628" width="13.42578125" style="1938" customWidth="1"/>
    <col min="5629" max="5629" width="6.42578125" style="1938" customWidth="1"/>
    <col min="5630" max="5630" width="14" style="1938" customWidth="1"/>
    <col min="5631" max="5631" width="1.85546875" style="1938" customWidth="1"/>
    <col min="5632" max="5632" width="13.5703125" style="1938" customWidth="1"/>
    <col min="5633" max="5633" width="3.85546875" style="1938" customWidth="1"/>
    <col min="5634" max="5634" width="13.140625" style="1938" bestFit="1" customWidth="1"/>
    <col min="5635" max="5635" width="3.7109375" style="1938" customWidth="1"/>
    <col min="5636" max="5636" width="13.7109375" style="1938" customWidth="1"/>
    <col min="5637" max="5637" width="5.28515625" style="1938" customWidth="1"/>
    <col min="5638" max="5638" width="11" style="1938" customWidth="1"/>
    <col min="5639" max="5639" width="5.28515625" style="1938" customWidth="1"/>
    <col min="5640" max="5640" width="15.85546875" style="1938" customWidth="1"/>
    <col min="5641" max="5641" width="6.140625" style="1938" customWidth="1"/>
    <col min="5642" max="5642" width="13.85546875" style="1938" customWidth="1"/>
    <col min="5643" max="5879" width="16.7109375" style="1938"/>
    <col min="5880" max="5880" width="6.5703125" style="1938" customWidth="1"/>
    <col min="5881" max="5881" width="55" style="1938" customWidth="1"/>
    <col min="5882" max="5882" width="11" style="1938" customWidth="1"/>
    <col min="5883" max="5883" width="1.85546875" style="1938" customWidth="1"/>
    <col min="5884" max="5884" width="13.42578125" style="1938" customWidth="1"/>
    <col min="5885" max="5885" width="6.42578125" style="1938" customWidth="1"/>
    <col min="5886" max="5886" width="14" style="1938" customWidth="1"/>
    <col min="5887" max="5887" width="1.85546875" style="1938" customWidth="1"/>
    <col min="5888" max="5888" width="13.5703125" style="1938" customWidth="1"/>
    <col min="5889" max="5889" width="3.85546875" style="1938" customWidth="1"/>
    <col min="5890" max="5890" width="13.140625" style="1938" bestFit="1" customWidth="1"/>
    <col min="5891" max="5891" width="3.7109375" style="1938" customWidth="1"/>
    <col min="5892" max="5892" width="13.7109375" style="1938" customWidth="1"/>
    <col min="5893" max="5893" width="5.28515625" style="1938" customWidth="1"/>
    <col min="5894" max="5894" width="11" style="1938" customWidth="1"/>
    <col min="5895" max="5895" width="5.28515625" style="1938" customWidth="1"/>
    <col min="5896" max="5896" width="15.85546875" style="1938" customWidth="1"/>
    <col min="5897" max="5897" width="6.140625" style="1938" customWidth="1"/>
    <col min="5898" max="5898" width="13.85546875" style="1938" customWidth="1"/>
    <col min="5899" max="6135" width="16.7109375" style="1938"/>
    <col min="6136" max="6136" width="6.5703125" style="1938" customWidth="1"/>
    <col min="6137" max="6137" width="55" style="1938" customWidth="1"/>
    <col min="6138" max="6138" width="11" style="1938" customWidth="1"/>
    <col min="6139" max="6139" width="1.85546875" style="1938" customWidth="1"/>
    <col min="6140" max="6140" width="13.42578125" style="1938" customWidth="1"/>
    <col min="6141" max="6141" width="6.42578125" style="1938" customWidth="1"/>
    <col min="6142" max="6142" width="14" style="1938" customWidth="1"/>
    <col min="6143" max="6143" width="1.85546875" style="1938" customWidth="1"/>
    <col min="6144" max="6144" width="13.5703125" style="1938" customWidth="1"/>
    <col min="6145" max="6145" width="3.85546875" style="1938" customWidth="1"/>
    <col min="6146" max="6146" width="13.140625" style="1938" bestFit="1" customWidth="1"/>
    <col min="6147" max="6147" width="3.7109375" style="1938" customWidth="1"/>
    <col min="6148" max="6148" width="13.7109375" style="1938" customWidth="1"/>
    <col min="6149" max="6149" width="5.28515625" style="1938" customWidth="1"/>
    <col min="6150" max="6150" width="11" style="1938" customWidth="1"/>
    <col min="6151" max="6151" width="5.28515625" style="1938" customWidth="1"/>
    <col min="6152" max="6152" width="15.85546875" style="1938" customWidth="1"/>
    <col min="6153" max="6153" width="6.140625" style="1938" customWidth="1"/>
    <col min="6154" max="6154" width="13.85546875" style="1938" customWidth="1"/>
    <col min="6155" max="6391" width="16.7109375" style="1938"/>
    <col min="6392" max="6392" width="6.5703125" style="1938" customWidth="1"/>
    <col min="6393" max="6393" width="55" style="1938" customWidth="1"/>
    <col min="6394" max="6394" width="11" style="1938" customWidth="1"/>
    <col min="6395" max="6395" width="1.85546875" style="1938" customWidth="1"/>
    <col min="6396" max="6396" width="13.42578125" style="1938" customWidth="1"/>
    <col min="6397" max="6397" width="6.42578125" style="1938" customWidth="1"/>
    <col min="6398" max="6398" width="14" style="1938" customWidth="1"/>
    <col min="6399" max="6399" width="1.85546875" style="1938" customWidth="1"/>
    <col min="6400" max="6400" width="13.5703125" style="1938" customWidth="1"/>
    <col min="6401" max="6401" width="3.85546875" style="1938" customWidth="1"/>
    <col min="6402" max="6402" width="13.140625" style="1938" bestFit="1" customWidth="1"/>
    <col min="6403" max="6403" width="3.7109375" style="1938" customWidth="1"/>
    <col min="6404" max="6404" width="13.7109375" style="1938" customWidth="1"/>
    <col min="6405" max="6405" width="5.28515625" style="1938" customWidth="1"/>
    <col min="6406" max="6406" width="11" style="1938" customWidth="1"/>
    <col min="6407" max="6407" width="5.28515625" style="1938" customWidth="1"/>
    <col min="6408" max="6408" width="15.85546875" style="1938" customWidth="1"/>
    <col min="6409" max="6409" width="6.140625" style="1938" customWidth="1"/>
    <col min="6410" max="6410" width="13.85546875" style="1938" customWidth="1"/>
    <col min="6411" max="6647" width="16.7109375" style="1938"/>
    <col min="6648" max="6648" width="6.5703125" style="1938" customWidth="1"/>
    <col min="6649" max="6649" width="55" style="1938" customWidth="1"/>
    <col min="6650" max="6650" width="11" style="1938" customWidth="1"/>
    <col min="6651" max="6651" width="1.85546875" style="1938" customWidth="1"/>
    <col min="6652" max="6652" width="13.42578125" style="1938" customWidth="1"/>
    <col min="6653" max="6653" width="6.42578125" style="1938" customWidth="1"/>
    <col min="6654" max="6654" width="14" style="1938" customWidth="1"/>
    <col min="6655" max="6655" width="1.85546875" style="1938" customWidth="1"/>
    <col min="6656" max="6656" width="13.5703125" style="1938" customWidth="1"/>
    <col min="6657" max="6657" width="3.85546875" style="1938" customWidth="1"/>
    <col min="6658" max="6658" width="13.140625" style="1938" bestFit="1" customWidth="1"/>
    <col min="6659" max="6659" width="3.7109375" style="1938" customWidth="1"/>
    <col min="6660" max="6660" width="13.7109375" style="1938" customWidth="1"/>
    <col min="6661" max="6661" width="5.28515625" style="1938" customWidth="1"/>
    <col min="6662" max="6662" width="11" style="1938" customWidth="1"/>
    <col min="6663" max="6663" width="5.28515625" style="1938" customWidth="1"/>
    <col min="6664" max="6664" width="15.85546875" style="1938" customWidth="1"/>
    <col min="6665" max="6665" width="6.140625" style="1938" customWidth="1"/>
    <col min="6666" max="6666" width="13.85546875" style="1938" customWidth="1"/>
    <col min="6667" max="6903" width="16.7109375" style="1938"/>
    <col min="6904" max="6904" width="6.5703125" style="1938" customWidth="1"/>
    <col min="6905" max="6905" width="55" style="1938" customWidth="1"/>
    <col min="6906" max="6906" width="11" style="1938" customWidth="1"/>
    <col min="6907" max="6907" width="1.85546875" style="1938" customWidth="1"/>
    <col min="6908" max="6908" width="13.42578125" style="1938" customWidth="1"/>
    <col min="6909" max="6909" width="6.42578125" style="1938" customWidth="1"/>
    <col min="6910" max="6910" width="14" style="1938" customWidth="1"/>
    <col min="6911" max="6911" width="1.85546875" style="1938" customWidth="1"/>
    <col min="6912" max="6912" width="13.5703125" style="1938" customWidth="1"/>
    <col min="6913" max="6913" width="3.85546875" style="1938" customWidth="1"/>
    <col min="6914" max="6914" width="13.140625" style="1938" bestFit="1" customWidth="1"/>
    <col min="6915" max="6915" width="3.7109375" style="1938" customWidth="1"/>
    <col min="6916" max="6916" width="13.7109375" style="1938" customWidth="1"/>
    <col min="6917" max="6917" width="5.28515625" style="1938" customWidth="1"/>
    <col min="6918" max="6918" width="11" style="1938" customWidth="1"/>
    <col min="6919" max="6919" width="5.28515625" style="1938" customWidth="1"/>
    <col min="6920" max="6920" width="15.85546875" style="1938" customWidth="1"/>
    <col min="6921" max="6921" width="6.140625" style="1938" customWidth="1"/>
    <col min="6922" max="6922" width="13.85546875" style="1938" customWidth="1"/>
    <col min="6923" max="7159" width="16.7109375" style="1938"/>
    <col min="7160" max="7160" width="6.5703125" style="1938" customWidth="1"/>
    <col min="7161" max="7161" width="55" style="1938" customWidth="1"/>
    <col min="7162" max="7162" width="11" style="1938" customWidth="1"/>
    <col min="7163" max="7163" width="1.85546875" style="1938" customWidth="1"/>
    <col min="7164" max="7164" width="13.42578125" style="1938" customWidth="1"/>
    <col min="7165" max="7165" width="6.42578125" style="1938" customWidth="1"/>
    <col min="7166" max="7166" width="14" style="1938" customWidth="1"/>
    <col min="7167" max="7167" width="1.85546875" style="1938" customWidth="1"/>
    <col min="7168" max="7168" width="13.5703125" style="1938" customWidth="1"/>
    <col min="7169" max="7169" width="3.85546875" style="1938" customWidth="1"/>
    <col min="7170" max="7170" width="13.140625" style="1938" bestFit="1" customWidth="1"/>
    <col min="7171" max="7171" width="3.7109375" style="1938" customWidth="1"/>
    <col min="7172" max="7172" width="13.7109375" style="1938" customWidth="1"/>
    <col min="7173" max="7173" width="5.28515625" style="1938" customWidth="1"/>
    <col min="7174" max="7174" width="11" style="1938" customWidth="1"/>
    <col min="7175" max="7175" width="5.28515625" style="1938" customWidth="1"/>
    <col min="7176" max="7176" width="15.85546875" style="1938" customWidth="1"/>
    <col min="7177" max="7177" width="6.140625" style="1938" customWidth="1"/>
    <col min="7178" max="7178" width="13.85546875" style="1938" customWidth="1"/>
    <col min="7179" max="7415" width="16.7109375" style="1938"/>
    <col min="7416" max="7416" width="6.5703125" style="1938" customWidth="1"/>
    <col min="7417" max="7417" width="55" style="1938" customWidth="1"/>
    <col min="7418" max="7418" width="11" style="1938" customWidth="1"/>
    <col min="7419" max="7419" width="1.85546875" style="1938" customWidth="1"/>
    <col min="7420" max="7420" width="13.42578125" style="1938" customWidth="1"/>
    <col min="7421" max="7421" width="6.42578125" style="1938" customWidth="1"/>
    <col min="7422" max="7422" width="14" style="1938" customWidth="1"/>
    <col min="7423" max="7423" width="1.85546875" style="1938" customWidth="1"/>
    <col min="7424" max="7424" width="13.5703125" style="1938" customWidth="1"/>
    <col min="7425" max="7425" width="3.85546875" style="1938" customWidth="1"/>
    <col min="7426" max="7426" width="13.140625" style="1938" bestFit="1" customWidth="1"/>
    <col min="7427" max="7427" width="3.7109375" style="1938" customWidth="1"/>
    <col min="7428" max="7428" width="13.7109375" style="1938" customWidth="1"/>
    <col min="7429" max="7429" width="5.28515625" style="1938" customWidth="1"/>
    <col min="7430" max="7430" width="11" style="1938" customWidth="1"/>
    <col min="7431" max="7431" width="5.28515625" style="1938" customWidth="1"/>
    <col min="7432" max="7432" width="15.85546875" style="1938" customWidth="1"/>
    <col min="7433" max="7433" width="6.140625" style="1938" customWidth="1"/>
    <col min="7434" max="7434" width="13.85546875" style="1938" customWidth="1"/>
    <col min="7435" max="7671" width="16.7109375" style="1938"/>
    <col min="7672" max="7672" width="6.5703125" style="1938" customWidth="1"/>
    <col min="7673" max="7673" width="55" style="1938" customWidth="1"/>
    <col min="7674" max="7674" width="11" style="1938" customWidth="1"/>
    <col min="7675" max="7675" width="1.85546875" style="1938" customWidth="1"/>
    <col min="7676" max="7676" width="13.42578125" style="1938" customWidth="1"/>
    <col min="7677" max="7677" width="6.42578125" style="1938" customWidth="1"/>
    <col min="7678" max="7678" width="14" style="1938" customWidth="1"/>
    <col min="7679" max="7679" width="1.85546875" style="1938" customWidth="1"/>
    <col min="7680" max="7680" width="13.5703125" style="1938" customWidth="1"/>
    <col min="7681" max="7681" width="3.85546875" style="1938" customWidth="1"/>
    <col min="7682" max="7682" width="13.140625" style="1938" bestFit="1" customWidth="1"/>
    <col min="7683" max="7683" width="3.7109375" style="1938" customWidth="1"/>
    <col min="7684" max="7684" width="13.7109375" style="1938" customWidth="1"/>
    <col min="7685" max="7685" width="5.28515625" style="1938" customWidth="1"/>
    <col min="7686" max="7686" width="11" style="1938" customWidth="1"/>
    <col min="7687" max="7687" width="5.28515625" style="1938" customWidth="1"/>
    <col min="7688" max="7688" width="15.85546875" style="1938" customWidth="1"/>
    <col min="7689" max="7689" width="6.140625" style="1938" customWidth="1"/>
    <col min="7690" max="7690" width="13.85546875" style="1938" customWidth="1"/>
    <col min="7691" max="7927" width="16.7109375" style="1938"/>
    <col min="7928" max="7928" width="6.5703125" style="1938" customWidth="1"/>
    <col min="7929" max="7929" width="55" style="1938" customWidth="1"/>
    <col min="7930" max="7930" width="11" style="1938" customWidth="1"/>
    <col min="7931" max="7931" width="1.85546875" style="1938" customWidth="1"/>
    <col min="7932" max="7932" width="13.42578125" style="1938" customWidth="1"/>
    <col min="7933" max="7933" width="6.42578125" style="1938" customWidth="1"/>
    <col min="7934" max="7934" width="14" style="1938" customWidth="1"/>
    <col min="7935" max="7935" width="1.85546875" style="1938" customWidth="1"/>
    <col min="7936" max="7936" width="13.5703125" style="1938" customWidth="1"/>
    <col min="7937" max="7937" width="3.85546875" style="1938" customWidth="1"/>
    <col min="7938" max="7938" width="13.140625" style="1938" bestFit="1" customWidth="1"/>
    <col min="7939" max="7939" width="3.7109375" style="1938" customWidth="1"/>
    <col min="7940" max="7940" width="13.7109375" style="1938" customWidth="1"/>
    <col min="7941" max="7941" width="5.28515625" style="1938" customWidth="1"/>
    <col min="7942" max="7942" width="11" style="1938" customWidth="1"/>
    <col min="7943" max="7943" width="5.28515625" style="1938" customWidth="1"/>
    <col min="7944" max="7944" width="15.85546875" style="1938" customWidth="1"/>
    <col min="7945" max="7945" width="6.140625" style="1938" customWidth="1"/>
    <col min="7946" max="7946" width="13.85546875" style="1938" customWidth="1"/>
    <col min="7947" max="8183" width="16.7109375" style="1938"/>
    <col min="8184" max="8184" width="6.5703125" style="1938" customWidth="1"/>
    <col min="8185" max="8185" width="55" style="1938" customWidth="1"/>
    <col min="8186" max="8186" width="11" style="1938" customWidth="1"/>
    <col min="8187" max="8187" width="1.85546875" style="1938" customWidth="1"/>
    <col min="8188" max="8188" width="13.42578125" style="1938" customWidth="1"/>
    <col min="8189" max="8189" width="6.42578125" style="1938" customWidth="1"/>
    <col min="8190" max="8190" width="14" style="1938" customWidth="1"/>
    <col min="8191" max="8191" width="1.85546875" style="1938" customWidth="1"/>
    <col min="8192" max="8192" width="13.5703125" style="1938" customWidth="1"/>
    <col min="8193" max="8193" width="3.85546875" style="1938" customWidth="1"/>
    <col min="8194" max="8194" width="13.140625" style="1938" bestFit="1" customWidth="1"/>
    <col min="8195" max="8195" width="3.7109375" style="1938" customWidth="1"/>
    <col min="8196" max="8196" width="13.7109375" style="1938" customWidth="1"/>
    <col min="8197" max="8197" width="5.28515625" style="1938" customWidth="1"/>
    <col min="8198" max="8198" width="11" style="1938" customWidth="1"/>
    <col min="8199" max="8199" width="5.28515625" style="1938" customWidth="1"/>
    <col min="8200" max="8200" width="15.85546875" style="1938" customWidth="1"/>
    <col min="8201" max="8201" width="6.140625" style="1938" customWidth="1"/>
    <col min="8202" max="8202" width="13.85546875" style="1938" customWidth="1"/>
    <col min="8203" max="8439" width="16.7109375" style="1938"/>
    <col min="8440" max="8440" width="6.5703125" style="1938" customWidth="1"/>
    <col min="8441" max="8441" width="55" style="1938" customWidth="1"/>
    <col min="8442" max="8442" width="11" style="1938" customWidth="1"/>
    <col min="8443" max="8443" width="1.85546875" style="1938" customWidth="1"/>
    <col min="8444" max="8444" width="13.42578125" style="1938" customWidth="1"/>
    <col min="8445" max="8445" width="6.42578125" style="1938" customWidth="1"/>
    <col min="8446" max="8446" width="14" style="1938" customWidth="1"/>
    <col min="8447" max="8447" width="1.85546875" style="1938" customWidth="1"/>
    <col min="8448" max="8448" width="13.5703125" style="1938" customWidth="1"/>
    <col min="8449" max="8449" width="3.85546875" style="1938" customWidth="1"/>
    <col min="8450" max="8450" width="13.140625" style="1938" bestFit="1" customWidth="1"/>
    <col min="8451" max="8451" width="3.7109375" style="1938" customWidth="1"/>
    <col min="8452" max="8452" width="13.7109375" style="1938" customWidth="1"/>
    <col min="8453" max="8453" width="5.28515625" style="1938" customWidth="1"/>
    <col min="8454" max="8454" width="11" style="1938" customWidth="1"/>
    <col min="8455" max="8455" width="5.28515625" style="1938" customWidth="1"/>
    <col min="8456" max="8456" width="15.85546875" style="1938" customWidth="1"/>
    <col min="8457" max="8457" width="6.140625" style="1938" customWidth="1"/>
    <col min="8458" max="8458" width="13.85546875" style="1938" customWidth="1"/>
    <col min="8459" max="8695" width="16.7109375" style="1938"/>
    <col min="8696" max="8696" width="6.5703125" style="1938" customWidth="1"/>
    <col min="8697" max="8697" width="55" style="1938" customWidth="1"/>
    <col min="8698" max="8698" width="11" style="1938" customWidth="1"/>
    <col min="8699" max="8699" width="1.85546875" style="1938" customWidth="1"/>
    <col min="8700" max="8700" width="13.42578125" style="1938" customWidth="1"/>
    <col min="8701" max="8701" width="6.42578125" style="1938" customWidth="1"/>
    <col min="8702" max="8702" width="14" style="1938" customWidth="1"/>
    <col min="8703" max="8703" width="1.85546875" style="1938" customWidth="1"/>
    <col min="8704" max="8704" width="13.5703125" style="1938" customWidth="1"/>
    <col min="8705" max="8705" width="3.85546875" style="1938" customWidth="1"/>
    <col min="8706" max="8706" width="13.140625" style="1938" bestFit="1" customWidth="1"/>
    <col min="8707" max="8707" width="3.7109375" style="1938" customWidth="1"/>
    <col min="8708" max="8708" width="13.7109375" style="1938" customWidth="1"/>
    <col min="8709" max="8709" width="5.28515625" style="1938" customWidth="1"/>
    <col min="8710" max="8710" width="11" style="1938" customWidth="1"/>
    <col min="8711" max="8711" width="5.28515625" style="1938" customWidth="1"/>
    <col min="8712" max="8712" width="15.85546875" style="1938" customWidth="1"/>
    <col min="8713" max="8713" width="6.140625" style="1938" customWidth="1"/>
    <col min="8714" max="8714" width="13.85546875" style="1938" customWidth="1"/>
    <col min="8715" max="8951" width="16.7109375" style="1938"/>
    <col min="8952" max="8952" width="6.5703125" style="1938" customWidth="1"/>
    <col min="8953" max="8953" width="55" style="1938" customWidth="1"/>
    <col min="8954" max="8954" width="11" style="1938" customWidth="1"/>
    <col min="8955" max="8955" width="1.85546875" style="1938" customWidth="1"/>
    <col min="8956" max="8956" width="13.42578125" style="1938" customWidth="1"/>
    <col min="8957" max="8957" width="6.42578125" style="1938" customWidth="1"/>
    <col min="8958" max="8958" width="14" style="1938" customWidth="1"/>
    <col min="8959" max="8959" width="1.85546875" style="1938" customWidth="1"/>
    <col min="8960" max="8960" width="13.5703125" style="1938" customWidth="1"/>
    <col min="8961" max="8961" width="3.85546875" style="1938" customWidth="1"/>
    <col min="8962" max="8962" width="13.140625" style="1938" bestFit="1" customWidth="1"/>
    <col min="8963" max="8963" width="3.7109375" style="1938" customWidth="1"/>
    <col min="8964" max="8964" width="13.7109375" style="1938" customWidth="1"/>
    <col min="8965" max="8965" width="5.28515625" style="1938" customWidth="1"/>
    <col min="8966" max="8966" width="11" style="1938" customWidth="1"/>
    <col min="8967" max="8967" width="5.28515625" style="1938" customWidth="1"/>
    <col min="8968" max="8968" width="15.85546875" style="1938" customWidth="1"/>
    <col min="8969" max="8969" width="6.140625" style="1938" customWidth="1"/>
    <col min="8970" max="8970" width="13.85546875" style="1938" customWidth="1"/>
    <col min="8971" max="9207" width="16.7109375" style="1938"/>
    <col min="9208" max="9208" width="6.5703125" style="1938" customWidth="1"/>
    <col min="9209" max="9209" width="55" style="1938" customWidth="1"/>
    <col min="9210" max="9210" width="11" style="1938" customWidth="1"/>
    <col min="9211" max="9211" width="1.85546875" style="1938" customWidth="1"/>
    <col min="9212" max="9212" width="13.42578125" style="1938" customWidth="1"/>
    <col min="9213" max="9213" width="6.42578125" style="1938" customWidth="1"/>
    <col min="9214" max="9214" width="14" style="1938" customWidth="1"/>
    <col min="9215" max="9215" width="1.85546875" style="1938" customWidth="1"/>
    <col min="9216" max="9216" width="13.5703125" style="1938" customWidth="1"/>
    <col min="9217" max="9217" width="3.85546875" style="1938" customWidth="1"/>
    <col min="9218" max="9218" width="13.140625" style="1938" bestFit="1" customWidth="1"/>
    <col min="9219" max="9219" width="3.7109375" style="1938" customWidth="1"/>
    <col min="9220" max="9220" width="13.7109375" style="1938" customWidth="1"/>
    <col min="9221" max="9221" width="5.28515625" style="1938" customWidth="1"/>
    <col min="9222" max="9222" width="11" style="1938" customWidth="1"/>
    <col min="9223" max="9223" width="5.28515625" style="1938" customWidth="1"/>
    <col min="9224" max="9224" width="15.85546875" style="1938" customWidth="1"/>
    <col min="9225" max="9225" width="6.140625" style="1938" customWidth="1"/>
    <col min="9226" max="9226" width="13.85546875" style="1938" customWidth="1"/>
    <col min="9227" max="9463" width="16.7109375" style="1938"/>
    <col min="9464" max="9464" width="6.5703125" style="1938" customWidth="1"/>
    <col min="9465" max="9465" width="55" style="1938" customWidth="1"/>
    <col min="9466" max="9466" width="11" style="1938" customWidth="1"/>
    <col min="9467" max="9467" width="1.85546875" style="1938" customWidth="1"/>
    <col min="9468" max="9468" width="13.42578125" style="1938" customWidth="1"/>
    <col min="9469" max="9469" width="6.42578125" style="1938" customWidth="1"/>
    <col min="9470" max="9470" width="14" style="1938" customWidth="1"/>
    <col min="9471" max="9471" width="1.85546875" style="1938" customWidth="1"/>
    <col min="9472" max="9472" width="13.5703125" style="1938" customWidth="1"/>
    <col min="9473" max="9473" width="3.85546875" style="1938" customWidth="1"/>
    <col min="9474" max="9474" width="13.140625" style="1938" bestFit="1" customWidth="1"/>
    <col min="9475" max="9475" width="3.7109375" style="1938" customWidth="1"/>
    <col min="9476" max="9476" width="13.7109375" style="1938" customWidth="1"/>
    <col min="9477" max="9477" width="5.28515625" style="1938" customWidth="1"/>
    <col min="9478" max="9478" width="11" style="1938" customWidth="1"/>
    <col min="9479" max="9479" width="5.28515625" style="1938" customWidth="1"/>
    <col min="9480" max="9480" width="15.85546875" style="1938" customWidth="1"/>
    <col min="9481" max="9481" width="6.140625" style="1938" customWidth="1"/>
    <col min="9482" max="9482" width="13.85546875" style="1938" customWidth="1"/>
    <col min="9483" max="9719" width="16.7109375" style="1938"/>
    <col min="9720" max="9720" width="6.5703125" style="1938" customWidth="1"/>
    <col min="9721" max="9721" width="55" style="1938" customWidth="1"/>
    <col min="9722" max="9722" width="11" style="1938" customWidth="1"/>
    <col min="9723" max="9723" width="1.85546875" style="1938" customWidth="1"/>
    <col min="9724" max="9724" width="13.42578125" style="1938" customWidth="1"/>
    <col min="9725" max="9725" width="6.42578125" style="1938" customWidth="1"/>
    <col min="9726" max="9726" width="14" style="1938" customWidth="1"/>
    <col min="9727" max="9727" width="1.85546875" style="1938" customWidth="1"/>
    <col min="9728" max="9728" width="13.5703125" style="1938" customWidth="1"/>
    <col min="9729" max="9729" width="3.85546875" style="1938" customWidth="1"/>
    <col min="9730" max="9730" width="13.140625" style="1938" bestFit="1" customWidth="1"/>
    <col min="9731" max="9731" width="3.7109375" style="1938" customWidth="1"/>
    <col min="9732" max="9732" width="13.7109375" style="1938" customWidth="1"/>
    <col min="9733" max="9733" width="5.28515625" style="1938" customWidth="1"/>
    <col min="9734" max="9734" width="11" style="1938" customWidth="1"/>
    <col min="9735" max="9735" width="5.28515625" style="1938" customWidth="1"/>
    <col min="9736" max="9736" width="15.85546875" style="1938" customWidth="1"/>
    <col min="9737" max="9737" width="6.140625" style="1938" customWidth="1"/>
    <col min="9738" max="9738" width="13.85546875" style="1938" customWidth="1"/>
    <col min="9739" max="9975" width="16.7109375" style="1938"/>
    <col min="9976" max="9976" width="6.5703125" style="1938" customWidth="1"/>
    <col min="9977" max="9977" width="55" style="1938" customWidth="1"/>
    <col min="9978" max="9978" width="11" style="1938" customWidth="1"/>
    <col min="9979" max="9979" width="1.85546875" style="1938" customWidth="1"/>
    <col min="9980" max="9980" width="13.42578125" style="1938" customWidth="1"/>
    <col min="9981" max="9981" width="6.42578125" style="1938" customWidth="1"/>
    <col min="9982" max="9982" width="14" style="1938" customWidth="1"/>
    <col min="9983" max="9983" width="1.85546875" style="1938" customWidth="1"/>
    <col min="9984" max="9984" width="13.5703125" style="1938" customWidth="1"/>
    <col min="9985" max="9985" width="3.85546875" style="1938" customWidth="1"/>
    <col min="9986" max="9986" width="13.140625" style="1938" bestFit="1" customWidth="1"/>
    <col min="9987" max="9987" width="3.7109375" style="1938" customWidth="1"/>
    <col min="9988" max="9988" width="13.7109375" style="1938" customWidth="1"/>
    <col min="9989" max="9989" width="5.28515625" style="1938" customWidth="1"/>
    <col min="9990" max="9990" width="11" style="1938" customWidth="1"/>
    <col min="9991" max="9991" width="5.28515625" style="1938" customWidth="1"/>
    <col min="9992" max="9992" width="15.85546875" style="1938" customWidth="1"/>
    <col min="9993" max="9993" width="6.140625" style="1938" customWidth="1"/>
    <col min="9994" max="9994" width="13.85546875" style="1938" customWidth="1"/>
    <col min="9995" max="10231" width="16.7109375" style="1938"/>
    <col min="10232" max="10232" width="6.5703125" style="1938" customWidth="1"/>
    <col min="10233" max="10233" width="55" style="1938" customWidth="1"/>
    <col min="10234" max="10234" width="11" style="1938" customWidth="1"/>
    <col min="10235" max="10235" width="1.85546875" style="1938" customWidth="1"/>
    <col min="10236" max="10236" width="13.42578125" style="1938" customWidth="1"/>
    <col min="10237" max="10237" width="6.42578125" style="1938" customWidth="1"/>
    <col min="10238" max="10238" width="14" style="1938" customWidth="1"/>
    <col min="10239" max="10239" width="1.85546875" style="1938" customWidth="1"/>
    <col min="10240" max="10240" width="13.5703125" style="1938" customWidth="1"/>
    <col min="10241" max="10241" width="3.85546875" style="1938" customWidth="1"/>
    <col min="10242" max="10242" width="13.140625" style="1938" bestFit="1" customWidth="1"/>
    <col min="10243" max="10243" width="3.7109375" style="1938" customWidth="1"/>
    <col min="10244" max="10244" width="13.7109375" style="1938" customWidth="1"/>
    <col min="10245" max="10245" width="5.28515625" style="1938" customWidth="1"/>
    <col min="10246" max="10246" width="11" style="1938" customWidth="1"/>
    <col min="10247" max="10247" width="5.28515625" style="1938" customWidth="1"/>
    <col min="10248" max="10248" width="15.85546875" style="1938" customWidth="1"/>
    <col min="10249" max="10249" width="6.140625" style="1938" customWidth="1"/>
    <col min="10250" max="10250" width="13.85546875" style="1938" customWidth="1"/>
    <col min="10251" max="10487" width="16.7109375" style="1938"/>
    <col min="10488" max="10488" width="6.5703125" style="1938" customWidth="1"/>
    <col min="10489" max="10489" width="55" style="1938" customWidth="1"/>
    <col min="10490" max="10490" width="11" style="1938" customWidth="1"/>
    <col min="10491" max="10491" width="1.85546875" style="1938" customWidth="1"/>
    <col min="10492" max="10492" width="13.42578125" style="1938" customWidth="1"/>
    <col min="10493" max="10493" width="6.42578125" style="1938" customWidth="1"/>
    <col min="10494" max="10494" width="14" style="1938" customWidth="1"/>
    <col min="10495" max="10495" width="1.85546875" style="1938" customWidth="1"/>
    <col min="10496" max="10496" width="13.5703125" style="1938" customWidth="1"/>
    <col min="10497" max="10497" width="3.85546875" style="1938" customWidth="1"/>
    <col min="10498" max="10498" width="13.140625" style="1938" bestFit="1" customWidth="1"/>
    <col min="10499" max="10499" width="3.7109375" style="1938" customWidth="1"/>
    <col min="10500" max="10500" width="13.7109375" style="1938" customWidth="1"/>
    <col min="10501" max="10501" width="5.28515625" style="1938" customWidth="1"/>
    <col min="10502" max="10502" width="11" style="1938" customWidth="1"/>
    <col min="10503" max="10503" width="5.28515625" style="1938" customWidth="1"/>
    <col min="10504" max="10504" width="15.85546875" style="1938" customWidth="1"/>
    <col min="10505" max="10505" width="6.140625" style="1938" customWidth="1"/>
    <col min="10506" max="10506" width="13.85546875" style="1938" customWidth="1"/>
    <col min="10507" max="10743" width="16.7109375" style="1938"/>
    <col min="10744" max="10744" width="6.5703125" style="1938" customWidth="1"/>
    <col min="10745" max="10745" width="55" style="1938" customWidth="1"/>
    <col min="10746" max="10746" width="11" style="1938" customWidth="1"/>
    <col min="10747" max="10747" width="1.85546875" style="1938" customWidth="1"/>
    <col min="10748" max="10748" width="13.42578125" style="1938" customWidth="1"/>
    <col min="10749" max="10749" width="6.42578125" style="1938" customWidth="1"/>
    <col min="10750" max="10750" width="14" style="1938" customWidth="1"/>
    <col min="10751" max="10751" width="1.85546875" style="1938" customWidth="1"/>
    <col min="10752" max="10752" width="13.5703125" style="1938" customWidth="1"/>
    <col min="10753" max="10753" width="3.85546875" style="1938" customWidth="1"/>
    <col min="10754" max="10754" width="13.140625" style="1938" bestFit="1" customWidth="1"/>
    <col min="10755" max="10755" width="3.7109375" style="1938" customWidth="1"/>
    <col min="10756" max="10756" width="13.7109375" style="1938" customWidth="1"/>
    <col min="10757" max="10757" width="5.28515625" style="1938" customWidth="1"/>
    <col min="10758" max="10758" width="11" style="1938" customWidth="1"/>
    <col min="10759" max="10759" width="5.28515625" style="1938" customWidth="1"/>
    <col min="10760" max="10760" width="15.85546875" style="1938" customWidth="1"/>
    <col min="10761" max="10761" width="6.140625" style="1938" customWidth="1"/>
    <col min="10762" max="10762" width="13.85546875" style="1938" customWidth="1"/>
    <col min="10763" max="10999" width="16.7109375" style="1938"/>
    <col min="11000" max="11000" width="6.5703125" style="1938" customWidth="1"/>
    <col min="11001" max="11001" width="55" style="1938" customWidth="1"/>
    <col min="11002" max="11002" width="11" style="1938" customWidth="1"/>
    <col min="11003" max="11003" width="1.85546875" style="1938" customWidth="1"/>
    <col min="11004" max="11004" width="13.42578125" style="1938" customWidth="1"/>
    <col min="11005" max="11005" width="6.42578125" style="1938" customWidth="1"/>
    <col min="11006" max="11006" width="14" style="1938" customWidth="1"/>
    <col min="11007" max="11007" width="1.85546875" style="1938" customWidth="1"/>
    <col min="11008" max="11008" width="13.5703125" style="1938" customWidth="1"/>
    <col min="11009" max="11009" width="3.85546875" style="1938" customWidth="1"/>
    <col min="11010" max="11010" width="13.140625" style="1938" bestFit="1" customWidth="1"/>
    <col min="11011" max="11011" width="3.7109375" style="1938" customWidth="1"/>
    <col min="11012" max="11012" width="13.7109375" style="1938" customWidth="1"/>
    <col min="11013" max="11013" width="5.28515625" style="1938" customWidth="1"/>
    <col min="11014" max="11014" width="11" style="1938" customWidth="1"/>
    <col min="11015" max="11015" width="5.28515625" style="1938" customWidth="1"/>
    <col min="11016" max="11016" width="15.85546875" style="1938" customWidth="1"/>
    <col min="11017" max="11017" width="6.140625" style="1938" customWidth="1"/>
    <col min="11018" max="11018" width="13.85546875" style="1938" customWidth="1"/>
    <col min="11019" max="11255" width="16.7109375" style="1938"/>
    <col min="11256" max="11256" width="6.5703125" style="1938" customWidth="1"/>
    <col min="11257" max="11257" width="55" style="1938" customWidth="1"/>
    <col min="11258" max="11258" width="11" style="1938" customWidth="1"/>
    <col min="11259" max="11259" width="1.85546875" style="1938" customWidth="1"/>
    <col min="11260" max="11260" width="13.42578125" style="1938" customWidth="1"/>
    <col min="11261" max="11261" width="6.42578125" style="1938" customWidth="1"/>
    <col min="11262" max="11262" width="14" style="1938" customWidth="1"/>
    <col min="11263" max="11263" width="1.85546875" style="1938" customWidth="1"/>
    <col min="11264" max="11264" width="13.5703125" style="1938" customWidth="1"/>
    <col min="11265" max="11265" width="3.85546875" style="1938" customWidth="1"/>
    <col min="11266" max="11266" width="13.140625" style="1938" bestFit="1" customWidth="1"/>
    <col min="11267" max="11267" width="3.7109375" style="1938" customWidth="1"/>
    <col min="11268" max="11268" width="13.7109375" style="1938" customWidth="1"/>
    <col min="11269" max="11269" width="5.28515625" style="1938" customWidth="1"/>
    <col min="11270" max="11270" width="11" style="1938" customWidth="1"/>
    <col min="11271" max="11271" width="5.28515625" style="1938" customWidth="1"/>
    <col min="11272" max="11272" width="15.85546875" style="1938" customWidth="1"/>
    <col min="11273" max="11273" width="6.140625" style="1938" customWidth="1"/>
    <col min="11274" max="11274" width="13.85546875" style="1938" customWidth="1"/>
    <col min="11275" max="11511" width="16.7109375" style="1938"/>
    <col min="11512" max="11512" width="6.5703125" style="1938" customWidth="1"/>
    <col min="11513" max="11513" width="55" style="1938" customWidth="1"/>
    <col min="11514" max="11514" width="11" style="1938" customWidth="1"/>
    <col min="11515" max="11515" width="1.85546875" style="1938" customWidth="1"/>
    <col min="11516" max="11516" width="13.42578125" style="1938" customWidth="1"/>
    <col min="11517" max="11517" width="6.42578125" style="1938" customWidth="1"/>
    <col min="11518" max="11518" width="14" style="1938" customWidth="1"/>
    <col min="11519" max="11519" width="1.85546875" style="1938" customWidth="1"/>
    <col min="11520" max="11520" width="13.5703125" style="1938" customWidth="1"/>
    <col min="11521" max="11521" width="3.85546875" style="1938" customWidth="1"/>
    <col min="11522" max="11522" width="13.140625" style="1938" bestFit="1" customWidth="1"/>
    <col min="11523" max="11523" width="3.7109375" style="1938" customWidth="1"/>
    <col min="11524" max="11524" width="13.7109375" style="1938" customWidth="1"/>
    <col min="11525" max="11525" width="5.28515625" style="1938" customWidth="1"/>
    <col min="11526" max="11526" width="11" style="1938" customWidth="1"/>
    <col min="11527" max="11527" width="5.28515625" style="1938" customWidth="1"/>
    <col min="11528" max="11528" width="15.85546875" style="1938" customWidth="1"/>
    <col min="11529" max="11529" width="6.140625" style="1938" customWidth="1"/>
    <col min="11530" max="11530" width="13.85546875" style="1938" customWidth="1"/>
    <col min="11531" max="11767" width="16.7109375" style="1938"/>
    <col min="11768" max="11768" width="6.5703125" style="1938" customWidth="1"/>
    <col min="11769" max="11769" width="55" style="1938" customWidth="1"/>
    <col min="11770" max="11770" width="11" style="1938" customWidth="1"/>
    <col min="11771" max="11771" width="1.85546875" style="1938" customWidth="1"/>
    <col min="11772" max="11772" width="13.42578125" style="1938" customWidth="1"/>
    <col min="11773" max="11773" width="6.42578125" style="1938" customWidth="1"/>
    <col min="11774" max="11774" width="14" style="1938" customWidth="1"/>
    <col min="11775" max="11775" width="1.85546875" style="1938" customWidth="1"/>
    <col min="11776" max="11776" width="13.5703125" style="1938" customWidth="1"/>
    <col min="11777" max="11777" width="3.85546875" style="1938" customWidth="1"/>
    <col min="11778" max="11778" width="13.140625" style="1938" bestFit="1" customWidth="1"/>
    <col min="11779" max="11779" width="3.7109375" style="1938" customWidth="1"/>
    <col min="11780" max="11780" width="13.7109375" style="1938" customWidth="1"/>
    <col min="11781" max="11781" width="5.28515625" style="1938" customWidth="1"/>
    <col min="11782" max="11782" width="11" style="1938" customWidth="1"/>
    <col min="11783" max="11783" width="5.28515625" style="1938" customWidth="1"/>
    <col min="11784" max="11784" width="15.85546875" style="1938" customWidth="1"/>
    <col min="11785" max="11785" width="6.140625" style="1938" customWidth="1"/>
    <col min="11786" max="11786" width="13.85546875" style="1938" customWidth="1"/>
    <col min="11787" max="12023" width="16.7109375" style="1938"/>
    <col min="12024" max="12024" width="6.5703125" style="1938" customWidth="1"/>
    <col min="12025" max="12025" width="55" style="1938" customWidth="1"/>
    <col min="12026" max="12026" width="11" style="1938" customWidth="1"/>
    <col min="12027" max="12027" width="1.85546875" style="1938" customWidth="1"/>
    <col min="12028" max="12028" width="13.42578125" style="1938" customWidth="1"/>
    <col min="12029" max="12029" width="6.42578125" style="1938" customWidth="1"/>
    <col min="12030" max="12030" width="14" style="1938" customWidth="1"/>
    <col min="12031" max="12031" width="1.85546875" style="1938" customWidth="1"/>
    <col min="12032" max="12032" width="13.5703125" style="1938" customWidth="1"/>
    <col min="12033" max="12033" width="3.85546875" style="1938" customWidth="1"/>
    <col min="12034" max="12034" width="13.140625" style="1938" bestFit="1" customWidth="1"/>
    <col min="12035" max="12035" width="3.7109375" style="1938" customWidth="1"/>
    <col min="12036" max="12036" width="13.7109375" style="1938" customWidth="1"/>
    <col min="12037" max="12037" width="5.28515625" style="1938" customWidth="1"/>
    <col min="12038" max="12038" width="11" style="1938" customWidth="1"/>
    <col min="12039" max="12039" width="5.28515625" style="1938" customWidth="1"/>
    <col min="12040" max="12040" width="15.85546875" style="1938" customWidth="1"/>
    <col min="12041" max="12041" width="6.140625" style="1938" customWidth="1"/>
    <col min="12042" max="12042" width="13.85546875" style="1938" customWidth="1"/>
    <col min="12043" max="12279" width="16.7109375" style="1938"/>
    <col min="12280" max="12280" width="6.5703125" style="1938" customWidth="1"/>
    <col min="12281" max="12281" width="55" style="1938" customWidth="1"/>
    <col min="12282" max="12282" width="11" style="1938" customWidth="1"/>
    <col min="12283" max="12283" width="1.85546875" style="1938" customWidth="1"/>
    <col min="12284" max="12284" width="13.42578125" style="1938" customWidth="1"/>
    <col min="12285" max="12285" width="6.42578125" style="1938" customWidth="1"/>
    <col min="12286" max="12286" width="14" style="1938" customWidth="1"/>
    <col min="12287" max="12287" width="1.85546875" style="1938" customWidth="1"/>
    <col min="12288" max="12288" width="13.5703125" style="1938" customWidth="1"/>
    <col min="12289" max="12289" width="3.85546875" style="1938" customWidth="1"/>
    <col min="12290" max="12290" width="13.140625" style="1938" bestFit="1" customWidth="1"/>
    <col min="12291" max="12291" width="3.7109375" style="1938" customWidth="1"/>
    <col min="12292" max="12292" width="13.7109375" style="1938" customWidth="1"/>
    <col min="12293" max="12293" width="5.28515625" style="1938" customWidth="1"/>
    <col min="12294" max="12294" width="11" style="1938" customWidth="1"/>
    <col min="12295" max="12295" width="5.28515625" style="1938" customWidth="1"/>
    <col min="12296" max="12296" width="15.85546875" style="1938" customWidth="1"/>
    <col min="12297" max="12297" width="6.140625" style="1938" customWidth="1"/>
    <col min="12298" max="12298" width="13.85546875" style="1938" customWidth="1"/>
    <col min="12299" max="12535" width="16.7109375" style="1938"/>
    <col min="12536" max="12536" width="6.5703125" style="1938" customWidth="1"/>
    <col min="12537" max="12537" width="55" style="1938" customWidth="1"/>
    <col min="12538" max="12538" width="11" style="1938" customWidth="1"/>
    <col min="12539" max="12539" width="1.85546875" style="1938" customWidth="1"/>
    <col min="12540" max="12540" width="13.42578125" style="1938" customWidth="1"/>
    <col min="12541" max="12541" width="6.42578125" style="1938" customWidth="1"/>
    <col min="12542" max="12542" width="14" style="1938" customWidth="1"/>
    <col min="12543" max="12543" width="1.85546875" style="1938" customWidth="1"/>
    <col min="12544" max="12544" width="13.5703125" style="1938" customWidth="1"/>
    <col min="12545" max="12545" width="3.85546875" style="1938" customWidth="1"/>
    <col min="12546" max="12546" width="13.140625" style="1938" bestFit="1" customWidth="1"/>
    <col min="12547" max="12547" width="3.7109375" style="1938" customWidth="1"/>
    <col min="12548" max="12548" width="13.7109375" style="1938" customWidth="1"/>
    <col min="12549" max="12549" width="5.28515625" style="1938" customWidth="1"/>
    <col min="12550" max="12550" width="11" style="1938" customWidth="1"/>
    <col min="12551" max="12551" width="5.28515625" style="1938" customWidth="1"/>
    <col min="12552" max="12552" width="15.85546875" style="1938" customWidth="1"/>
    <col min="12553" max="12553" width="6.140625" style="1938" customWidth="1"/>
    <col min="12554" max="12554" width="13.85546875" style="1938" customWidth="1"/>
    <col min="12555" max="12791" width="16.7109375" style="1938"/>
    <col min="12792" max="12792" width="6.5703125" style="1938" customWidth="1"/>
    <col min="12793" max="12793" width="55" style="1938" customWidth="1"/>
    <col min="12794" max="12794" width="11" style="1938" customWidth="1"/>
    <col min="12795" max="12795" width="1.85546875" style="1938" customWidth="1"/>
    <col min="12796" max="12796" width="13.42578125" style="1938" customWidth="1"/>
    <col min="12797" max="12797" width="6.42578125" style="1938" customWidth="1"/>
    <col min="12798" max="12798" width="14" style="1938" customWidth="1"/>
    <col min="12799" max="12799" width="1.85546875" style="1938" customWidth="1"/>
    <col min="12800" max="12800" width="13.5703125" style="1938" customWidth="1"/>
    <col min="12801" max="12801" width="3.85546875" style="1938" customWidth="1"/>
    <col min="12802" max="12802" width="13.140625" style="1938" bestFit="1" customWidth="1"/>
    <col min="12803" max="12803" width="3.7109375" style="1938" customWidth="1"/>
    <col min="12804" max="12804" width="13.7109375" style="1938" customWidth="1"/>
    <col min="12805" max="12805" width="5.28515625" style="1938" customWidth="1"/>
    <col min="12806" max="12806" width="11" style="1938" customWidth="1"/>
    <col min="12807" max="12807" width="5.28515625" style="1938" customWidth="1"/>
    <col min="12808" max="12808" width="15.85546875" style="1938" customWidth="1"/>
    <col min="12809" max="12809" width="6.140625" style="1938" customWidth="1"/>
    <col min="12810" max="12810" width="13.85546875" style="1938" customWidth="1"/>
    <col min="12811" max="13047" width="16.7109375" style="1938"/>
    <col min="13048" max="13048" width="6.5703125" style="1938" customWidth="1"/>
    <col min="13049" max="13049" width="55" style="1938" customWidth="1"/>
    <col min="13050" max="13050" width="11" style="1938" customWidth="1"/>
    <col min="13051" max="13051" width="1.85546875" style="1938" customWidth="1"/>
    <col min="13052" max="13052" width="13.42578125" style="1938" customWidth="1"/>
    <col min="13053" max="13053" width="6.42578125" style="1938" customWidth="1"/>
    <col min="13054" max="13054" width="14" style="1938" customWidth="1"/>
    <col min="13055" max="13055" width="1.85546875" style="1938" customWidth="1"/>
    <col min="13056" max="13056" width="13.5703125" style="1938" customWidth="1"/>
    <col min="13057" max="13057" width="3.85546875" style="1938" customWidth="1"/>
    <col min="13058" max="13058" width="13.140625" style="1938" bestFit="1" customWidth="1"/>
    <col min="13059" max="13059" width="3.7109375" style="1938" customWidth="1"/>
    <col min="13060" max="13060" width="13.7109375" style="1938" customWidth="1"/>
    <col min="13061" max="13061" width="5.28515625" style="1938" customWidth="1"/>
    <col min="13062" max="13062" width="11" style="1938" customWidth="1"/>
    <col min="13063" max="13063" width="5.28515625" style="1938" customWidth="1"/>
    <col min="13064" max="13064" width="15.85546875" style="1938" customWidth="1"/>
    <col min="13065" max="13065" width="6.140625" style="1938" customWidth="1"/>
    <col min="13066" max="13066" width="13.85546875" style="1938" customWidth="1"/>
    <col min="13067" max="13303" width="16.7109375" style="1938"/>
    <col min="13304" max="13304" width="6.5703125" style="1938" customWidth="1"/>
    <col min="13305" max="13305" width="55" style="1938" customWidth="1"/>
    <col min="13306" max="13306" width="11" style="1938" customWidth="1"/>
    <col min="13307" max="13307" width="1.85546875" style="1938" customWidth="1"/>
    <col min="13308" max="13308" width="13.42578125" style="1938" customWidth="1"/>
    <col min="13309" max="13309" width="6.42578125" style="1938" customWidth="1"/>
    <col min="13310" max="13310" width="14" style="1938" customWidth="1"/>
    <col min="13311" max="13311" width="1.85546875" style="1938" customWidth="1"/>
    <col min="13312" max="13312" width="13.5703125" style="1938" customWidth="1"/>
    <col min="13313" max="13313" width="3.85546875" style="1938" customWidth="1"/>
    <col min="13314" max="13314" width="13.140625" style="1938" bestFit="1" customWidth="1"/>
    <col min="13315" max="13315" width="3.7109375" style="1938" customWidth="1"/>
    <col min="13316" max="13316" width="13.7109375" style="1938" customWidth="1"/>
    <col min="13317" max="13317" width="5.28515625" style="1938" customWidth="1"/>
    <col min="13318" max="13318" width="11" style="1938" customWidth="1"/>
    <col min="13319" max="13319" width="5.28515625" style="1938" customWidth="1"/>
    <col min="13320" max="13320" width="15.85546875" style="1938" customWidth="1"/>
    <col min="13321" max="13321" width="6.140625" style="1938" customWidth="1"/>
    <col min="13322" max="13322" width="13.85546875" style="1938" customWidth="1"/>
    <col min="13323" max="13559" width="16.7109375" style="1938"/>
    <col min="13560" max="13560" width="6.5703125" style="1938" customWidth="1"/>
    <col min="13561" max="13561" width="55" style="1938" customWidth="1"/>
    <col min="13562" max="13562" width="11" style="1938" customWidth="1"/>
    <col min="13563" max="13563" width="1.85546875" style="1938" customWidth="1"/>
    <col min="13564" max="13564" width="13.42578125" style="1938" customWidth="1"/>
    <col min="13565" max="13565" width="6.42578125" style="1938" customWidth="1"/>
    <col min="13566" max="13566" width="14" style="1938" customWidth="1"/>
    <col min="13567" max="13567" width="1.85546875" style="1938" customWidth="1"/>
    <col min="13568" max="13568" width="13.5703125" style="1938" customWidth="1"/>
    <col min="13569" max="13569" width="3.85546875" style="1938" customWidth="1"/>
    <col min="13570" max="13570" width="13.140625" style="1938" bestFit="1" customWidth="1"/>
    <col min="13571" max="13571" width="3.7109375" style="1938" customWidth="1"/>
    <col min="13572" max="13572" width="13.7109375" style="1938" customWidth="1"/>
    <col min="13573" max="13573" width="5.28515625" style="1938" customWidth="1"/>
    <col min="13574" max="13574" width="11" style="1938" customWidth="1"/>
    <col min="13575" max="13575" width="5.28515625" style="1938" customWidth="1"/>
    <col min="13576" max="13576" width="15.85546875" style="1938" customWidth="1"/>
    <col min="13577" max="13577" width="6.140625" style="1938" customWidth="1"/>
    <col min="13578" max="13578" width="13.85546875" style="1938" customWidth="1"/>
    <col min="13579" max="13815" width="16.7109375" style="1938"/>
    <col min="13816" max="13816" width="6.5703125" style="1938" customWidth="1"/>
    <col min="13817" max="13817" width="55" style="1938" customWidth="1"/>
    <col min="13818" max="13818" width="11" style="1938" customWidth="1"/>
    <col min="13819" max="13819" width="1.85546875" style="1938" customWidth="1"/>
    <col min="13820" max="13820" width="13.42578125" style="1938" customWidth="1"/>
    <col min="13821" max="13821" width="6.42578125" style="1938" customWidth="1"/>
    <col min="13822" max="13822" width="14" style="1938" customWidth="1"/>
    <col min="13823" max="13823" width="1.85546875" style="1938" customWidth="1"/>
    <col min="13824" max="13824" width="13.5703125" style="1938" customWidth="1"/>
    <col min="13825" max="13825" width="3.85546875" style="1938" customWidth="1"/>
    <col min="13826" max="13826" width="13.140625" style="1938" bestFit="1" customWidth="1"/>
    <col min="13827" max="13827" width="3.7109375" style="1938" customWidth="1"/>
    <col min="13828" max="13828" width="13.7109375" style="1938" customWidth="1"/>
    <col min="13829" max="13829" width="5.28515625" style="1938" customWidth="1"/>
    <col min="13830" max="13830" width="11" style="1938" customWidth="1"/>
    <col min="13831" max="13831" width="5.28515625" style="1938" customWidth="1"/>
    <col min="13832" max="13832" width="15.85546875" style="1938" customWidth="1"/>
    <col min="13833" max="13833" width="6.140625" style="1938" customWidth="1"/>
    <col min="13834" max="13834" width="13.85546875" style="1938" customWidth="1"/>
    <col min="13835" max="14071" width="16.7109375" style="1938"/>
    <col min="14072" max="14072" width="6.5703125" style="1938" customWidth="1"/>
    <col min="14073" max="14073" width="55" style="1938" customWidth="1"/>
    <col min="14074" max="14074" width="11" style="1938" customWidth="1"/>
    <col min="14075" max="14075" width="1.85546875" style="1938" customWidth="1"/>
    <col min="14076" max="14076" width="13.42578125" style="1938" customWidth="1"/>
    <col min="14077" max="14077" width="6.42578125" style="1938" customWidth="1"/>
    <col min="14078" max="14078" width="14" style="1938" customWidth="1"/>
    <col min="14079" max="14079" width="1.85546875" style="1938" customWidth="1"/>
    <col min="14080" max="14080" width="13.5703125" style="1938" customWidth="1"/>
    <col min="14081" max="14081" width="3.85546875" style="1938" customWidth="1"/>
    <col min="14082" max="14082" width="13.140625" style="1938" bestFit="1" customWidth="1"/>
    <col min="14083" max="14083" width="3.7109375" style="1938" customWidth="1"/>
    <col min="14084" max="14084" width="13.7109375" style="1938" customWidth="1"/>
    <col min="14085" max="14085" width="5.28515625" style="1938" customWidth="1"/>
    <col min="14086" max="14086" width="11" style="1938" customWidth="1"/>
    <col min="14087" max="14087" width="5.28515625" style="1938" customWidth="1"/>
    <col min="14088" max="14088" width="15.85546875" style="1938" customWidth="1"/>
    <col min="14089" max="14089" width="6.140625" style="1938" customWidth="1"/>
    <col min="14090" max="14090" width="13.85546875" style="1938" customWidth="1"/>
    <col min="14091" max="14327" width="16.7109375" style="1938"/>
    <col min="14328" max="14328" width="6.5703125" style="1938" customWidth="1"/>
    <col min="14329" max="14329" width="55" style="1938" customWidth="1"/>
    <col min="14330" max="14330" width="11" style="1938" customWidth="1"/>
    <col min="14331" max="14331" width="1.85546875" style="1938" customWidth="1"/>
    <col min="14332" max="14332" width="13.42578125" style="1938" customWidth="1"/>
    <col min="14333" max="14333" width="6.42578125" style="1938" customWidth="1"/>
    <col min="14334" max="14334" width="14" style="1938" customWidth="1"/>
    <col min="14335" max="14335" width="1.85546875" style="1938" customWidth="1"/>
    <col min="14336" max="14336" width="13.5703125" style="1938" customWidth="1"/>
    <col min="14337" max="14337" width="3.85546875" style="1938" customWidth="1"/>
    <col min="14338" max="14338" width="13.140625" style="1938" bestFit="1" customWidth="1"/>
    <col min="14339" max="14339" width="3.7109375" style="1938" customWidth="1"/>
    <col min="14340" max="14340" width="13.7109375" style="1938" customWidth="1"/>
    <col min="14341" max="14341" width="5.28515625" style="1938" customWidth="1"/>
    <col min="14342" max="14342" width="11" style="1938" customWidth="1"/>
    <col min="14343" max="14343" width="5.28515625" style="1938" customWidth="1"/>
    <col min="14344" max="14344" width="15.85546875" style="1938" customWidth="1"/>
    <col min="14345" max="14345" width="6.140625" style="1938" customWidth="1"/>
    <col min="14346" max="14346" width="13.85546875" style="1938" customWidth="1"/>
    <col min="14347" max="14583" width="16.7109375" style="1938"/>
    <col min="14584" max="14584" width="6.5703125" style="1938" customWidth="1"/>
    <col min="14585" max="14585" width="55" style="1938" customWidth="1"/>
    <col min="14586" max="14586" width="11" style="1938" customWidth="1"/>
    <col min="14587" max="14587" width="1.85546875" style="1938" customWidth="1"/>
    <col min="14588" max="14588" width="13.42578125" style="1938" customWidth="1"/>
    <col min="14589" max="14589" width="6.42578125" style="1938" customWidth="1"/>
    <col min="14590" max="14590" width="14" style="1938" customWidth="1"/>
    <col min="14591" max="14591" width="1.85546875" style="1938" customWidth="1"/>
    <col min="14592" max="14592" width="13.5703125" style="1938" customWidth="1"/>
    <col min="14593" max="14593" width="3.85546875" style="1938" customWidth="1"/>
    <col min="14594" max="14594" width="13.140625" style="1938" bestFit="1" customWidth="1"/>
    <col min="14595" max="14595" width="3.7109375" style="1938" customWidth="1"/>
    <col min="14596" max="14596" width="13.7109375" style="1938" customWidth="1"/>
    <col min="14597" max="14597" width="5.28515625" style="1938" customWidth="1"/>
    <col min="14598" max="14598" width="11" style="1938" customWidth="1"/>
    <col min="14599" max="14599" width="5.28515625" style="1938" customWidth="1"/>
    <col min="14600" max="14600" width="15.85546875" style="1938" customWidth="1"/>
    <col min="14601" max="14601" width="6.140625" style="1938" customWidth="1"/>
    <col min="14602" max="14602" width="13.85546875" style="1938" customWidth="1"/>
    <col min="14603" max="14839" width="16.7109375" style="1938"/>
    <col min="14840" max="14840" width="6.5703125" style="1938" customWidth="1"/>
    <col min="14841" max="14841" width="55" style="1938" customWidth="1"/>
    <col min="14842" max="14842" width="11" style="1938" customWidth="1"/>
    <col min="14843" max="14843" width="1.85546875" style="1938" customWidth="1"/>
    <col min="14844" max="14844" width="13.42578125" style="1938" customWidth="1"/>
    <col min="14845" max="14845" width="6.42578125" style="1938" customWidth="1"/>
    <col min="14846" max="14846" width="14" style="1938" customWidth="1"/>
    <col min="14847" max="14847" width="1.85546875" style="1938" customWidth="1"/>
    <col min="14848" max="14848" width="13.5703125" style="1938" customWidth="1"/>
    <col min="14849" max="14849" width="3.85546875" style="1938" customWidth="1"/>
    <col min="14850" max="14850" width="13.140625" style="1938" bestFit="1" customWidth="1"/>
    <col min="14851" max="14851" width="3.7109375" style="1938" customWidth="1"/>
    <col min="14852" max="14852" width="13.7109375" style="1938" customWidth="1"/>
    <col min="14853" max="14853" width="5.28515625" style="1938" customWidth="1"/>
    <col min="14854" max="14854" width="11" style="1938" customWidth="1"/>
    <col min="14855" max="14855" width="5.28515625" style="1938" customWidth="1"/>
    <col min="14856" max="14856" width="15.85546875" style="1938" customWidth="1"/>
    <col min="14857" max="14857" width="6.140625" style="1938" customWidth="1"/>
    <col min="14858" max="14858" width="13.85546875" style="1938" customWidth="1"/>
    <col min="14859" max="15095" width="16.7109375" style="1938"/>
    <col min="15096" max="15096" width="6.5703125" style="1938" customWidth="1"/>
    <col min="15097" max="15097" width="55" style="1938" customWidth="1"/>
    <col min="15098" max="15098" width="11" style="1938" customWidth="1"/>
    <col min="15099" max="15099" width="1.85546875" style="1938" customWidth="1"/>
    <col min="15100" max="15100" width="13.42578125" style="1938" customWidth="1"/>
    <col min="15101" max="15101" width="6.42578125" style="1938" customWidth="1"/>
    <col min="15102" max="15102" width="14" style="1938" customWidth="1"/>
    <col min="15103" max="15103" width="1.85546875" style="1938" customWidth="1"/>
    <col min="15104" max="15104" width="13.5703125" style="1938" customWidth="1"/>
    <col min="15105" max="15105" width="3.85546875" style="1938" customWidth="1"/>
    <col min="15106" max="15106" width="13.140625" style="1938" bestFit="1" customWidth="1"/>
    <col min="15107" max="15107" width="3.7109375" style="1938" customWidth="1"/>
    <col min="15108" max="15108" width="13.7109375" style="1938" customWidth="1"/>
    <col min="15109" max="15109" width="5.28515625" style="1938" customWidth="1"/>
    <col min="15110" max="15110" width="11" style="1938" customWidth="1"/>
    <col min="15111" max="15111" width="5.28515625" style="1938" customWidth="1"/>
    <col min="15112" max="15112" width="15.85546875" style="1938" customWidth="1"/>
    <col min="15113" max="15113" width="6.140625" style="1938" customWidth="1"/>
    <col min="15114" max="15114" width="13.85546875" style="1938" customWidth="1"/>
    <col min="15115" max="15351" width="16.7109375" style="1938"/>
    <col min="15352" max="15352" width="6.5703125" style="1938" customWidth="1"/>
    <col min="15353" max="15353" width="55" style="1938" customWidth="1"/>
    <col min="15354" max="15354" width="11" style="1938" customWidth="1"/>
    <col min="15355" max="15355" width="1.85546875" style="1938" customWidth="1"/>
    <col min="15356" max="15356" width="13.42578125" style="1938" customWidth="1"/>
    <col min="15357" max="15357" width="6.42578125" style="1938" customWidth="1"/>
    <col min="15358" max="15358" width="14" style="1938" customWidth="1"/>
    <col min="15359" max="15359" width="1.85546875" style="1938" customWidth="1"/>
    <col min="15360" max="15360" width="13.5703125" style="1938" customWidth="1"/>
    <col min="15361" max="15361" width="3.85546875" style="1938" customWidth="1"/>
    <col min="15362" max="15362" width="13.140625" style="1938" bestFit="1" customWidth="1"/>
    <col min="15363" max="15363" width="3.7109375" style="1938" customWidth="1"/>
    <col min="15364" max="15364" width="13.7109375" style="1938" customWidth="1"/>
    <col min="15365" max="15365" width="5.28515625" style="1938" customWidth="1"/>
    <col min="15366" max="15366" width="11" style="1938" customWidth="1"/>
    <col min="15367" max="15367" width="5.28515625" style="1938" customWidth="1"/>
    <col min="15368" max="15368" width="15.85546875" style="1938" customWidth="1"/>
    <col min="15369" max="15369" width="6.140625" style="1938" customWidth="1"/>
    <col min="15370" max="15370" width="13.85546875" style="1938" customWidth="1"/>
    <col min="15371" max="15607" width="16.7109375" style="1938"/>
    <col min="15608" max="15608" width="6.5703125" style="1938" customWidth="1"/>
    <col min="15609" max="15609" width="55" style="1938" customWidth="1"/>
    <col min="15610" max="15610" width="11" style="1938" customWidth="1"/>
    <col min="15611" max="15611" width="1.85546875" style="1938" customWidth="1"/>
    <col min="15612" max="15612" width="13.42578125" style="1938" customWidth="1"/>
    <col min="15613" max="15613" width="6.42578125" style="1938" customWidth="1"/>
    <col min="15614" max="15614" width="14" style="1938" customWidth="1"/>
    <col min="15615" max="15615" width="1.85546875" style="1938" customWidth="1"/>
    <col min="15616" max="15616" width="13.5703125" style="1938" customWidth="1"/>
    <col min="15617" max="15617" width="3.85546875" style="1938" customWidth="1"/>
    <col min="15618" max="15618" width="13.140625" style="1938" bestFit="1" customWidth="1"/>
    <col min="15619" max="15619" width="3.7109375" style="1938" customWidth="1"/>
    <col min="15620" max="15620" width="13.7109375" style="1938" customWidth="1"/>
    <col min="15621" max="15621" width="5.28515625" style="1938" customWidth="1"/>
    <col min="15622" max="15622" width="11" style="1938" customWidth="1"/>
    <col min="15623" max="15623" width="5.28515625" style="1938" customWidth="1"/>
    <col min="15624" max="15624" width="15.85546875" style="1938" customWidth="1"/>
    <col min="15625" max="15625" width="6.140625" style="1938" customWidth="1"/>
    <col min="15626" max="15626" width="13.85546875" style="1938" customWidth="1"/>
    <col min="15627" max="15863" width="16.7109375" style="1938"/>
    <col min="15864" max="15864" width="6.5703125" style="1938" customWidth="1"/>
    <col min="15865" max="15865" width="55" style="1938" customWidth="1"/>
    <col min="15866" max="15866" width="11" style="1938" customWidth="1"/>
    <col min="15867" max="15867" width="1.85546875" style="1938" customWidth="1"/>
    <col min="15868" max="15868" width="13.42578125" style="1938" customWidth="1"/>
    <col min="15869" max="15869" width="6.42578125" style="1938" customWidth="1"/>
    <col min="15870" max="15870" width="14" style="1938" customWidth="1"/>
    <col min="15871" max="15871" width="1.85546875" style="1938" customWidth="1"/>
    <col min="15872" max="15872" width="13.5703125" style="1938" customWidth="1"/>
    <col min="15873" max="15873" width="3.85546875" style="1938" customWidth="1"/>
    <col min="15874" max="15874" width="13.140625" style="1938" bestFit="1" customWidth="1"/>
    <col min="15875" max="15875" width="3.7109375" style="1938" customWidth="1"/>
    <col min="15876" max="15876" width="13.7109375" style="1938" customWidth="1"/>
    <col min="15877" max="15877" width="5.28515625" style="1938" customWidth="1"/>
    <col min="15878" max="15878" width="11" style="1938" customWidth="1"/>
    <col min="15879" max="15879" width="5.28515625" style="1938" customWidth="1"/>
    <col min="15880" max="15880" width="15.85546875" style="1938" customWidth="1"/>
    <col min="15881" max="15881" width="6.140625" style="1938" customWidth="1"/>
    <col min="15882" max="15882" width="13.85546875" style="1938" customWidth="1"/>
    <col min="15883" max="16119" width="16.7109375" style="1938"/>
    <col min="16120" max="16120" width="6.5703125" style="1938" customWidth="1"/>
    <col min="16121" max="16121" width="55" style="1938" customWidth="1"/>
    <col min="16122" max="16122" width="11" style="1938" customWidth="1"/>
    <col min="16123" max="16123" width="1.85546875" style="1938" customWidth="1"/>
    <col min="16124" max="16124" width="13.42578125" style="1938" customWidth="1"/>
    <col min="16125" max="16125" width="6.42578125" style="1938" customWidth="1"/>
    <col min="16126" max="16126" width="14" style="1938" customWidth="1"/>
    <col min="16127" max="16127" width="1.85546875" style="1938" customWidth="1"/>
    <col min="16128" max="16128" width="13.5703125" style="1938" customWidth="1"/>
    <col min="16129" max="16129" width="3.85546875" style="1938" customWidth="1"/>
    <col min="16130" max="16130" width="13.140625" style="1938" bestFit="1" customWidth="1"/>
    <col min="16131" max="16131" width="3.7109375" style="1938" customWidth="1"/>
    <col min="16132" max="16132" width="13.7109375" style="1938" customWidth="1"/>
    <col min="16133" max="16133" width="5.28515625" style="1938" customWidth="1"/>
    <col min="16134" max="16134" width="11" style="1938" customWidth="1"/>
    <col min="16135" max="16135" width="5.28515625" style="1938" customWidth="1"/>
    <col min="16136" max="16136" width="15.85546875" style="1938" customWidth="1"/>
    <col min="16137" max="16137" width="6.140625" style="1938" customWidth="1"/>
    <col min="16138" max="16138" width="13.85546875" style="1938" customWidth="1"/>
    <col min="16139" max="16384" width="16.7109375" style="1938"/>
  </cols>
  <sheetData>
    <row r="1" spans="1:19" s="1940" customFormat="1" hidden="1" x14ac:dyDescent="0.15">
      <c r="A1" s="1937"/>
      <c r="B1" s="1938"/>
      <c r="C1" s="1938"/>
      <c r="D1" s="1938"/>
      <c r="E1" s="1938"/>
      <c r="F1" s="1939"/>
      <c r="G1" s="1938"/>
      <c r="H1" s="1938"/>
      <c r="I1" s="1938"/>
      <c r="J1" s="1939"/>
      <c r="K1" s="1938"/>
      <c r="L1" s="1938"/>
      <c r="M1" s="1938"/>
      <c r="N1" s="1938"/>
      <c r="O1" s="1938"/>
      <c r="P1" s="1939"/>
      <c r="Q1" s="1938"/>
      <c r="R1" s="1938"/>
    </row>
    <row r="2" spans="1:19" hidden="1" x14ac:dyDescent="0.2">
      <c r="S2" s="1941"/>
    </row>
    <row r="3" spans="1:19" hidden="1" x14ac:dyDescent="0.2">
      <c r="S3" s="1941"/>
    </row>
    <row r="4" spans="1:19" ht="15.75" x14ac:dyDescent="0.2">
      <c r="A4" s="2517" t="s">
        <v>2070</v>
      </c>
      <c r="B4" s="2517"/>
      <c r="C4" s="2517"/>
      <c r="D4" s="2517"/>
      <c r="E4" s="2517"/>
      <c r="F4" s="2517"/>
      <c r="G4" s="2517"/>
      <c r="H4" s="2517"/>
      <c r="I4" s="2517"/>
      <c r="J4" s="2517"/>
      <c r="K4" s="2517"/>
      <c r="L4" s="2517"/>
      <c r="M4" s="2517"/>
      <c r="N4" s="2517"/>
      <c r="O4" s="2517"/>
      <c r="P4" s="2517"/>
      <c r="Q4" s="2517"/>
      <c r="R4" s="2517"/>
      <c r="S4" s="2517"/>
    </row>
    <row r="5" spans="1:19" ht="15.75" x14ac:dyDescent="0.2">
      <c r="A5" s="2517" t="s">
        <v>2134</v>
      </c>
      <c r="B5" s="2517"/>
      <c r="C5" s="2517"/>
      <c r="D5" s="2517"/>
      <c r="E5" s="2517"/>
      <c r="F5" s="2517"/>
      <c r="G5" s="2517"/>
      <c r="H5" s="2517"/>
      <c r="I5" s="2517"/>
      <c r="J5" s="2517"/>
      <c r="K5" s="2517"/>
      <c r="L5" s="2517"/>
      <c r="M5" s="2517"/>
      <c r="N5" s="2517"/>
      <c r="O5" s="2517"/>
      <c r="P5" s="2517"/>
      <c r="Q5" s="2517"/>
      <c r="R5" s="2517"/>
      <c r="S5" s="2517"/>
    </row>
    <row r="6" spans="1:19" ht="15.75" x14ac:dyDescent="0.2">
      <c r="A6" s="2517" t="s">
        <v>1219</v>
      </c>
      <c r="B6" s="2517"/>
      <c r="C6" s="2517"/>
      <c r="D6" s="2517"/>
      <c r="E6" s="2517"/>
      <c r="F6" s="2517"/>
      <c r="G6" s="2517"/>
      <c r="H6" s="2517"/>
      <c r="I6" s="2517"/>
      <c r="J6" s="2517"/>
      <c r="K6" s="2517"/>
      <c r="L6" s="2517"/>
      <c r="M6" s="2517"/>
      <c r="N6" s="2517"/>
      <c r="O6" s="2517"/>
      <c r="P6" s="2517"/>
      <c r="Q6" s="2517"/>
      <c r="R6" s="2517"/>
      <c r="S6" s="2517"/>
    </row>
    <row r="7" spans="1:19" ht="12.75" customHeight="1" x14ac:dyDescent="0.2">
      <c r="A7" s="2518" t="s">
        <v>2135</v>
      </c>
      <c r="B7" s="2518"/>
      <c r="C7" s="2518"/>
      <c r="D7" s="2518"/>
      <c r="E7" s="2518"/>
      <c r="F7" s="2518"/>
      <c r="G7" s="2518"/>
      <c r="H7" s="2518"/>
      <c r="I7" s="2518"/>
      <c r="J7" s="2518"/>
      <c r="K7" s="2518"/>
      <c r="L7" s="2518"/>
      <c r="M7" s="2518"/>
      <c r="N7" s="2518"/>
      <c r="O7" s="2518"/>
      <c r="P7" s="2518"/>
      <c r="Q7" s="2518"/>
      <c r="R7" s="2518"/>
      <c r="S7" s="2518"/>
    </row>
    <row r="8" spans="1:19" x14ac:dyDescent="0.2">
      <c r="A8" s="1943"/>
      <c r="B8" s="1943"/>
      <c r="C8" s="1943"/>
      <c r="D8" s="1943"/>
      <c r="E8" s="1943"/>
      <c r="F8" s="1943"/>
      <c r="G8" s="1944"/>
      <c r="H8" s="1942"/>
      <c r="I8" s="1944"/>
      <c r="J8" s="1937"/>
      <c r="K8" s="1944"/>
      <c r="L8" s="1942"/>
    </row>
    <row r="9" spans="1:19" x14ac:dyDescent="0.2">
      <c r="A9" s="1943"/>
      <c r="B9" s="1943"/>
      <c r="C9" s="1943"/>
      <c r="D9" s="1943"/>
      <c r="E9" s="1943"/>
      <c r="F9" s="1943"/>
      <c r="G9" s="1944"/>
      <c r="H9" s="1942"/>
      <c r="I9" s="1944"/>
      <c r="J9" s="1937"/>
      <c r="K9" s="1944"/>
      <c r="L9" s="1942"/>
      <c r="M9" s="1942"/>
      <c r="N9" s="1942"/>
      <c r="O9" s="1942"/>
      <c r="P9" s="1937"/>
      <c r="Q9" s="1942"/>
      <c r="R9" s="1942"/>
      <c r="S9" s="1937"/>
    </row>
    <row r="10" spans="1:19" s="1949" customFormat="1" ht="15" x14ac:dyDescent="0.2">
      <c r="A10" s="1945"/>
      <c r="B10" s="1946"/>
      <c r="C10" s="1947"/>
      <c r="D10" s="1947"/>
      <c r="E10" s="1945" t="s">
        <v>2136</v>
      </c>
      <c r="F10" s="1945"/>
      <c r="G10" s="1948" t="s">
        <v>2137</v>
      </c>
      <c r="H10" s="1948"/>
      <c r="I10" s="1948"/>
      <c r="J10" s="1945"/>
      <c r="K10" s="1948" t="s">
        <v>2138</v>
      </c>
      <c r="L10" s="1948"/>
      <c r="M10" s="1948"/>
      <c r="N10" s="1947"/>
      <c r="O10" s="1947"/>
      <c r="P10" s="1945"/>
      <c r="Q10" s="1947"/>
      <c r="R10" s="1947"/>
      <c r="S10" s="1945"/>
    </row>
    <row r="11" spans="1:19" s="1949" customFormat="1" ht="15" x14ac:dyDescent="0.2">
      <c r="A11" s="1945"/>
      <c r="B11" s="1946"/>
      <c r="C11" s="1945" t="s">
        <v>1264</v>
      </c>
      <c r="D11" s="1947"/>
      <c r="E11" s="1945" t="s">
        <v>2139</v>
      </c>
      <c r="F11" s="1945"/>
      <c r="G11" s="1945" t="s">
        <v>2140</v>
      </c>
      <c r="H11" s="1947"/>
      <c r="I11" s="1950" t="s">
        <v>2141</v>
      </c>
      <c r="J11" s="1945"/>
      <c r="K11" s="1945" t="s">
        <v>2140</v>
      </c>
      <c r="L11" s="1947"/>
      <c r="M11" s="1950" t="str">
        <f>I11</f>
        <v>7/01/18-</v>
      </c>
      <c r="N11" s="1947"/>
      <c r="O11" s="1945" t="s">
        <v>1261</v>
      </c>
      <c r="P11" s="1945"/>
      <c r="Q11" s="1945" t="s">
        <v>2142</v>
      </c>
      <c r="R11" s="1947"/>
      <c r="S11" s="1945" t="s">
        <v>1169</v>
      </c>
    </row>
    <row r="12" spans="1:19" s="1949" customFormat="1" ht="15" x14ac:dyDescent="0.2">
      <c r="A12" s="1946" t="s">
        <v>2143</v>
      </c>
      <c r="B12" s="1946"/>
      <c r="C12" s="1945" t="s">
        <v>2144</v>
      </c>
      <c r="D12" s="1947"/>
      <c r="E12" s="1945" t="s">
        <v>2144</v>
      </c>
      <c r="F12" s="1945"/>
      <c r="G12" s="1951" t="s">
        <v>2145</v>
      </c>
      <c r="H12" s="1947"/>
      <c r="I12" s="1951" t="s">
        <v>2146</v>
      </c>
      <c r="J12" s="1945"/>
      <c r="K12" s="1951" t="str">
        <f>G12</f>
        <v>6/30/18</v>
      </c>
      <c r="L12" s="1947"/>
      <c r="M12" s="1951" t="str">
        <f>I12</f>
        <v>6/30/19</v>
      </c>
      <c r="N12" s="1947"/>
      <c r="O12" s="1945" t="s">
        <v>2147</v>
      </c>
      <c r="P12" s="1945"/>
      <c r="Q12" s="1945" t="s">
        <v>1257</v>
      </c>
      <c r="R12" s="1947"/>
      <c r="S12" s="1945" t="s">
        <v>30</v>
      </c>
    </row>
    <row r="13" spans="1:19" s="1949" customFormat="1" ht="15" x14ac:dyDescent="0.2">
      <c r="A13" s="1952" t="s">
        <v>2148</v>
      </c>
      <c r="B13" s="1947"/>
      <c r="C13" s="1953" t="s">
        <v>2149</v>
      </c>
      <c r="D13" s="1947"/>
      <c r="E13" s="1953" t="s">
        <v>2150</v>
      </c>
      <c r="F13" s="1945"/>
      <c r="G13" s="1953" t="s">
        <v>2151</v>
      </c>
      <c r="H13" s="1947"/>
      <c r="I13" s="1953" t="s">
        <v>2152</v>
      </c>
      <c r="J13" s="1945"/>
      <c r="K13" s="1953" t="s">
        <v>2153</v>
      </c>
      <c r="L13" s="1947"/>
      <c r="M13" s="1953" t="s">
        <v>2154</v>
      </c>
      <c r="N13" s="1947"/>
      <c r="O13" s="1953" t="s">
        <v>2155</v>
      </c>
      <c r="P13" s="1945"/>
      <c r="Q13" s="1953" t="s">
        <v>2156</v>
      </c>
      <c r="R13" s="1947"/>
      <c r="S13" s="1953" t="s">
        <v>2157</v>
      </c>
    </row>
    <row r="14" spans="1:19" s="1949" customFormat="1" ht="9" customHeight="1" x14ac:dyDescent="0.2">
      <c r="A14" s="1954"/>
      <c r="B14" s="1947"/>
      <c r="C14" s="1953"/>
      <c r="D14" s="1947"/>
      <c r="E14" s="1953"/>
      <c r="F14" s="1945"/>
      <c r="G14" s="1953"/>
      <c r="H14" s="1947"/>
      <c r="I14" s="1953"/>
      <c r="J14" s="1945"/>
      <c r="K14" s="1953"/>
      <c r="L14" s="1947"/>
      <c r="M14" s="1953" t="s">
        <v>1169</v>
      </c>
      <c r="N14" s="1947"/>
      <c r="O14" s="1953"/>
      <c r="P14" s="1945"/>
      <c r="Q14" s="1953"/>
      <c r="R14" s="1947"/>
      <c r="S14" s="1953"/>
    </row>
    <row r="15" spans="1:19" s="1949" customFormat="1" ht="15" x14ac:dyDescent="0.2">
      <c r="A15" s="1955" t="s">
        <v>2158</v>
      </c>
      <c r="B15" s="1947"/>
      <c r="C15" s="1953"/>
      <c r="D15" s="1947"/>
      <c r="E15" s="1953"/>
      <c r="F15" s="1945"/>
      <c r="G15" s="1953"/>
      <c r="H15" s="1947"/>
      <c r="I15" s="1953"/>
      <c r="J15" s="1945"/>
      <c r="K15" s="1953"/>
      <c r="L15" s="1947"/>
      <c r="M15" s="1953"/>
      <c r="N15" s="1947"/>
      <c r="O15" s="1953"/>
      <c r="P15" s="1945"/>
      <c r="Q15" s="1953"/>
      <c r="R15" s="1947"/>
      <c r="S15" s="1953"/>
    </row>
    <row r="16" spans="1:19" s="1949" customFormat="1" ht="15" x14ac:dyDescent="0.2">
      <c r="A16" s="1955" t="s">
        <v>2159</v>
      </c>
      <c r="B16" s="1947"/>
      <c r="C16" s="1953"/>
      <c r="D16" s="1947"/>
      <c r="E16" s="1953"/>
      <c r="F16" s="1945"/>
      <c r="G16" s="1953"/>
      <c r="H16" s="1947"/>
      <c r="I16" s="1953"/>
      <c r="J16" s="1945"/>
      <c r="K16" s="1953"/>
      <c r="L16" s="1947"/>
      <c r="M16" s="1953"/>
      <c r="N16" s="1947"/>
      <c r="O16" s="1953"/>
      <c r="P16" s="1945"/>
      <c r="Q16" s="1953"/>
      <c r="R16" s="1947"/>
      <c r="S16" s="1953"/>
    </row>
    <row r="17" spans="1:19" s="1949" customFormat="1" ht="15" x14ac:dyDescent="0.2">
      <c r="A17" s="1955" t="s">
        <v>2160</v>
      </c>
      <c r="B17" s="1947"/>
      <c r="C17" s="1953"/>
      <c r="D17" s="1947"/>
      <c r="E17" s="1953"/>
      <c r="F17" s="1945"/>
      <c r="G17" s="1953"/>
      <c r="H17" s="1947"/>
      <c r="I17" s="1953"/>
      <c r="J17" s="1945"/>
      <c r="K17" s="1953"/>
      <c r="L17" s="1947"/>
      <c r="M17" s="1953"/>
      <c r="N17" s="1947"/>
      <c r="O17" s="1953"/>
      <c r="P17" s="1945"/>
      <c r="Q17" s="1953"/>
      <c r="R17" s="1947"/>
      <c r="S17" s="1953"/>
    </row>
    <row r="18" spans="1:19" s="1949" customFormat="1" ht="15" x14ac:dyDescent="0.2">
      <c r="A18" s="1955"/>
      <c r="B18" s="1947"/>
      <c r="C18" s="1953"/>
      <c r="D18" s="1947"/>
      <c r="E18" s="1953"/>
      <c r="F18" s="1945"/>
      <c r="G18" s="1953"/>
      <c r="H18" s="1947"/>
      <c r="I18" s="1953"/>
      <c r="J18" s="1945"/>
      <c r="K18" s="1953"/>
      <c r="L18" s="1947"/>
      <c r="M18" s="1953"/>
      <c r="N18" s="1947"/>
      <c r="O18" s="1953"/>
      <c r="P18" s="1945"/>
      <c r="Q18" s="1953"/>
      <c r="R18" s="1947"/>
      <c r="S18" s="1953"/>
    </row>
    <row r="19" spans="1:19" s="1949" customFormat="1" ht="15" x14ac:dyDescent="0.2">
      <c r="A19" s="1955"/>
      <c r="B19" s="1947" t="s">
        <v>1058</v>
      </c>
      <c r="C19" s="1956" t="s">
        <v>2161</v>
      </c>
      <c r="D19" s="1947"/>
      <c r="E19" s="1945" t="s">
        <v>2162</v>
      </c>
      <c r="F19" s="1945"/>
      <c r="G19" s="1957">
        <v>16976</v>
      </c>
      <c r="H19" s="1947"/>
      <c r="I19" s="1957">
        <v>3825</v>
      </c>
      <c r="J19" s="1945"/>
      <c r="K19" s="1957">
        <v>16976</v>
      </c>
      <c r="L19" s="1947"/>
      <c r="M19" s="1957">
        <v>3825</v>
      </c>
      <c r="N19" s="1947"/>
      <c r="O19" s="1953"/>
      <c r="P19" s="1945"/>
      <c r="Q19" s="1957">
        <f>+K19+M19</f>
        <v>20801</v>
      </c>
      <c r="R19" s="1947"/>
      <c r="S19" s="1945" t="s">
        <v>2163</v>
      </c>
    </row>
    <row r="20" spans="1:19" s="1949" customFormat="1" ht="15" x14ac:dyDescent="0.2">
      <c r="A20" s="1955"/>
      <c r="B20" s="1947" t="s">
        <v>1058</v>
      </c>
      <c r="C20" s="1956" t="s">
        <v>2161</v>
      </c>
      <c r="D20" s="1947"/>
      <c r="E20" s="1945" t="s">
        <v>2164</v>
      </c>
      <c r="F20" s="1945"/>
      <c r="G20" s="1958"/>
      <c r="H20" s="1947"/>
      <c r="I20" s="1958">
        <v>15647.52</v>
      </c>
      <c r="J20" s="1945"/>
      <c r="K20" s="1958"/>
      <c r="L20" s="1947"/>
      <c r="M20" s="1957">
        <v>15647.52</v>
      </c>
      <c r="N20" s="1947"/>
      <c r="O20" s="1953"/>
      <c r="P20" s="1957"/>
      <c r="Q20" s="1958">
        <f>+M20</f>
        <v>15647.52</v>
      </c>
      <c r="R20" s="1959" t="s">
        <v>2165</v>
      </c>
      <c r="S20" s="1945" t="s">
        <v>2163</v>
      </c>
    </row>
    <row r="21" spans="1:19" s="1949" customFormat="1" ht="15" x14ac:dyDescent="0.2">
      <c r="A21" s="1955"/>
      <c r="B21" s="1947"/>
      <c r="C21" s="1956"/>
      <c r="D21" s="1947"/>
      <c r="E21" s="1945"/>
      <c r="F21" s="1945"/>
      <c r="G21" s="1958"/>
      <c r="H21" s="1947"/>
      <c r="I21" s="1958"/>
      <c r="J21" s="1945"/>
      <c r="K21" s="1958"/>
      <c r="L21" s="1947"/>
      <c r="M21" s="1957"/>
      <c r="N21" s="1947"/>
      <c r="O21" s="1953"/>
      <c r="P21" s="1957"/>
      <c r="Q21" s="1958"/>
      <c r="R21" s="1947"/>
      <c r="S21" s="1945"/>
    </row>
    <row r="22" spans="1:19" s="1949" customFormat="1" ht="15" x14ac:dyDescent="0.2">
      <c r="A22" s="1955"/>
      <c r="B22" s="1947" t="s">
        <v>2166</v>
      </c>
      <c r="C22" s="1956">
        <v>10.555</v>
      </c>
      <c r="D22" s="1947"/>
      <c r="E22" s="1945" t="s">
        <v>2167</v>
      </c>
      <c r="F22" s="1945"/>
      <c r="G22" s="1958"/>
      <c r="H22" s="1947"/>
      <c r="I22" s="1958"/>
      <c r="J22" s="1945"/>
      <c r="K22" s="1958">
        <v>2335</v>
      </c>
      <c r="L22" s="1947"/>
      <c r="M22" s="1957"/>
      <c r="N22" s="1947"/>
      <c r="O22" s="1953"/>
      <c r="P22" s="1957"/>
      <c r="Q22" s="1957">
        <f>+K22+M22</f>
        <v>2335</v>
      </c>
      <c r="R22" s="1947"/>
      <c r="S22" s="1945" t="s">
        <v>2163</v>
      </c>
    </row>
    <row r="23" spans="1:19" s="1949" customFormat="1" ht="15" x14ac:dyDescent="0.2">
      <c r="A23" s="1955"/>
      <c r="B23" s="1947" t="s">
        <v>2166</v>
      </c>
      <c r="C23" s="1956">
        <v>10.555</v>
      </c>
      <c r="D23" s="1947"/>
      <c r="E23" s="1945" t="s">
        <v>2168</v>
      </c>
      <c r="F23" s="1945"/>
      <c r="G23" s="1960">
        <v>0</v>
      </c>
      <c r="H23" s="1947"/>
      <c r="I23" s="1960">
        <v>0</v>
      </c>
      <c r="J23" s="1945"/>
      <c r="K23" s="1960">
        <v>0</v>
      </c>
      <c r="L23" s="1947"/>
      <c r="M23" s="1960">
        <v>2566.27</v>
      </c>
      <c r="N23" s="1947"/>
      <c r="O23" s="1961"/>
      <c r="P23" s="1945"/>
      <c r="Q23" s="1960">
        <f>+M23</f>
        <v>2566.27</v>
      </c>
      <c r="R23" s="1947"/>
      <c r="S23" s="1945" t="s">
        <v>2163</v>
      </c>
    </row>
    <row r="24" spans="1:19" s="1949" customFormat="1" ht="17.100000000000001" customHeight="1" x14ac:dyDescent="0.2">
      <c r="A24" s="1955" t="s">
        <v>2169</v>
      </c>
      <c r="B24" s="1947"/>
      <c r="C24" s="1956"/>
      <c r="D24" s="1947"/>
      <c r="E24" s="1945"/>
      <c r="F24" s="1945"/>
      <c r="G24" s="1960">
        <f>+G19+G20+G22+G23</f>
        <v>16976</v>
      </c>
      <c r="H24" s="1947"/>
      <c r="I24" s="1960">
        <f>+I19+I20+I22+I23</f>
        <v>19472.52</v>
      </c>
      <c r="J24" s="1945"/>
      <c r="K24" s="1960">
        <f>+K19+K20+K22+K23</f>
        <v>19311</v>
      </c>
      <c r="L24" s="1947"/>
      <c r="M24" s="1960">
        <f>+M19+M20+M22+M23</f>
        <v>22038.79</v>
      </c>
      <c r="N24" s="1947"/>
      <c r="O24" s="1962"/>
      <c r="P24" s="1945"/>
      <c r="Q24" s="1960">
        <f>+Q19+Q20+Q22+Q23</f>
        <v>41349.79</v>
      </c>
      <c r="R24" s="1947"/>
      <c r="S24" s="1945"/>
    </row>
    <row r="25" spans="1:19" s="1949" customFormat="1" ht="15" x14ac:dyDescent="0.2">
      <c r="A25" s="1954"/>
      <c r="B25" s="1947"/>
      <c r="C25" s="1953"/>
      <c r="D25" s="1947"/>
      <c r="E25" s="1953"/>
      <c r="F25" s="1945"/>
      <c r="G25" s="1953"/>
      <c r="H25" s="1947"/>
      <c r="I25" s="1953"/>
      <c r="J25" s="1945"/>
      <c r="K25" s="1953"/>
      <c r="L25" s="1947"/>
      <c r="M25" s="1953"/>
      <c r="N25" s="1947"/>
      <c r="O25" s="1953"/>
      <c r="P25" s="1945"/>
      <c r="Q25" s="1953"/>
      <c r="R25" s="1947"/>
      <c r="S25" s="1953"/>
    </row>
    <row r="26" spans="1:19" s="1949" customFormat="1" ht="15" x14ac:dyDescent="0.2">
      <c r="A26" s="2510" t="s">
        <v>2170</v>
      </c>
      <c r="B26" s="2510"/>
      <c r="C26" s="1956" t="s">
        <v>1169</v>
      </c>
      <c r="D26" s="1947"/>
      <c r="E26" s="1946" t="s">
        <v>1169</v>
      </c>
      <c r="F26" s="1945"/>
      <c r="G26" s="1958"/>
      <c r="H26" s="1958"/>
      <c r="I26" s="1958"/>
      <c r="J26" s="1963"/>
      <c r="K26" s="1958"/>
      <c r="L26" s="1958"/>
      <c r="M26" s="1958">
        <v>0</v>
      </c>
      <c r="N26" s="1958"/>
      <c r="O26" s="1958"/>
      <c r="P26" s="1963"/>
      <c r="Q26" s="1958"/>
      <c r="R26" s="1958"/>
      <c r="S26" s="1963"/>
    </row>
    <row r="27" spans="1:19" s="1949" customFormat="1" ht="15" x14ac:dyDescent="0.2">
      <c r="A27" s="1955" t="s">
        <v>2171</v>
      </c>
      <c r="B27" s="1955"/>
      <c r="C27" s="1956"/>
      <c r="D27" s="1947"/>
      <c r="E27" s="1946"/>
      <c r="F27" s="1945"/>
      <c r="G27" s="1958"/>
      <c r="H27" s="1958"/>
      <c r="I27" s="1958"/>
      <c r="J27" s="1963"/>
      <c r="K27" s="1958"/>
      <c r="L27" s="1958"/>
      <c r="M27" s="1958"/>
      <c r="N27" s="1958"/>
      <c r="O27" s="1958"/>
      <c r="P27" s="1963"/>
      <c r="Q27" s="1958"/>
      <c r="R27" s="1958"/>
      <c r="S27" s="1963"/>
    </row>
    <row r="28" spans="1:19" s="1949" customFormat="1" ht="15" x14ac:dyDescent="0.2">
      <c r="A28" s="1955" t="s">
        <v>2172</v>
      </c>
      <c r="B28" s="1955"/>
      <c r="C28" s="1956"/>
      <c r="D28" s="1947"/>
      <c r="E28" s="1946" t="s">
        <v>1169</v>
      </c>
      <c r="F28" s="1945"/>
      <c r="G28" s="1958"/>
      <c r="H28" s="1958"/>
      <c r="I28" s="1958"/>
      <c r="J28" s="1963"/>
      <c r="K28" s="1958"/>
      <c r="L28" s="1958"/>
      <c r="M28" s="1958"/>
      <c r="N28" s="1958"/>
      <c r="O28" s="1958"/>
      <c r="P28" s="1963"/>
      <c r="Q28" s="1958"/>
      <c r="R28" s="1958" t="s">
        <v>1169</v>
      </c>
      <c r="S28" s="1963"/>
    </row>
    <row r="29" spans="1:19" s="1949" customFormat="1" ht="15" x14ac:dyDescent="0.2">
      <c r="A29" s="1955"/>
      <c r="F29" s="1945"/>
      <c r="G29" s="1958"/>
      <c r="H29" s="1958"/>
      <c r="I29" s="1958"/>
      <c r="J29" s="1963"/>
      <c r="K29" s="1958"/>
      <c r="L29" s="1958"/>
      <c r="M29" s="1958"/>
      <c r="N29" s="1958"/>
      <c r="O29" s="1958"/>
      <c r="P29" s="1963"/>
      <c r="Q29" s="1958"/>
      <c r="R29" s="1958"/>
      <c r="S29" s="1963"/>
    </row>
    <row r="30" spans="1:19" s="1949" customFormat="1" ht="15" x14ac:dyDescent="0.2">
      <c r="A30" s="1957" t="s">
        <v>2173</v>
      </c>
      <c r="B30" s="1946" t="s">
        <v>2174</v>
      </c>
      <c r="C30" s="1956">
        <v>84.173000000000002</v>
      </c>
      <c r="D30" s="1947" t="s">
        <v>1169</v>
      </c>
      <c r="E30" s="1950" t="s">
        <v>2175</v>
      </c>
      <c r="F30" s="1945"/>
      <c r="G30" s="1958">
        <v>211925</v>
      </c>
      <c r="H30" s="1958"/>
      <c r="I30" s="1958">
        <v>63270</v>
      </c>
      <c r="J30" s="1963"/>
      <c r="K30" s="1958">
        <v>255507</v>
      </c>
      <c r="L30" s="1958"/>
      <c r="M30" s="1958">
        <f>19754-66</f>
        <v>19688</v>
      </c>
      <c r="N30" s="1958"/>
      <c r="O30" s="1958"/>
      <c r="P30" s="1963"/>
      <c r="Q30" s="1958">
        <f>+K30+M30+O30</f>
        <v>275195</v>
      </c>
      <c r="R30" s="1958"/>
      <c r="S30" s="1963">
        <v>282589</v>
      </c>
    </row>
    <row r="31" spans="1:19" s="1949" customFormat="1" ht="15" x14ac:dyDescent="0.2">
      <c r="A31" s="1957" t="s">
        <v>2173</v>
      </c>
      <c r="B31" s="1946" t="s">
        <v>2174</v>
      </c>
      <c r="C31" s="1956">
        <v>84.173000000000002</v>
      </c>
      <c r="D31" s="1947" t="s">
        <v>1169</v>
      </c>
      <c r="E31" s="1950" t="s">
        <v>2176</v>
      </c>
      <c r="F31" s="1957"/>
      <c r="G31" s="1960"/>
      <c r="H31" s="1958"/>
      <c r="I31" s="1960">
        <v>216115</v>
      </c>
      <c r="J31" s="1963"/>
      <c r="K31" s="1960"/>
      <c r="L31" s="1958"/>
      <c r="M31" s="1960">
        <v>273214</v>
      </c>
      <c r="N31" s="1958"/>
      <c r="O31" s="1960">
        <v>13889</v>
      </c>
      <c r="P31" s="1964"/>
      <c r="Q31" s="1960">
        <f>+K31+M31+O31</f>
        <v>287103</v>
      </c>
      <c r="R31" s="1965"/>
      <c r="S31" s="1963">
        <v>287103</v>
      </c>
    </row>
    <row r="32" spans="1:19" s="1949" customFormat="1" ht="15" hidden="1" x14ac:dyDescent="0.2">
      <c r="A32" s="1957"/>
      <c r="B32" s="1946"/>
      <c r="C32" s="1956"/>
      <c r="D32" s="1947"/>
      <c r="E32" s="1950"/>
      <c r="F32" s="1957"/>
      <c r="G32" s="1958"/>
      <c r="H32" s="1958"/>
      <c r="I32" s="1958"/>
      <c r="J32" s="1963"/>
      <c r="K32" s="1958"/>
      <c r="L32" s="1958"/>
      <c r="M32" s="1958"/>
      <c r="O32" s="1958"/>
      <c r="P32" s="1957"/>
      <c r="Q32" s="1958">
        <f>+K32+M32+O32</f>
        <v>0</v>
      </c>
      <c r="R32" s="1958"/>
      <c r="S32" s="1963"/>
    </row>
    <row r="33" spans="1:19" s="1949" customFormat="1" ht="15" x14ac:dyDescent="0.2">
      <c r="A33" s="1957"/>
      <c r="B33" s="1946" t="s">
        <v>2177</v>
      </c>
      <c r="C33" s="1956"/>
      <c r="D33" s="1947"/>
      <c r="E33" s="1950"/>
      <c r="F33" s="1957"/>
      <c r="G33" s="1958">
        <f>+G30+G31</f>
        <v>211925</v>
      </c>
      <c r="H33" s="1958"/>
      <c r="I33" s="1958">
        <f>+I30+I31</f>
        <v>279385</v>
      </c>
      <c r="J33" s="1963"/>
      <c r="K33" s="1958">
        <f>+K30+K31</f>
        <v>255507</v>
      </c>
      <c r="L33" s="1958"/>
      <c r="M33" s="1958">
        <f>+M30+M31</f>
        <v>292902</v>
      </c>
      <c r="O33" s="1958">
        <f>+O30+O31</f>
        <v>13889</v>
      </c>
      <c r="P33" s="1957"/>
      <c r="Q33" s="1958">
        <f>+Q30+Q31</f>
        <v>562298</v>
      </c>
      <c r="R33" s="1958"/>
      <c r="S33" s="1963"/>
    </row>
    <row r="34" spans="1:19" s="1949" customFormat="1" ht="15" x14ac:dyDescent="0.2">
      <c r="A34" s="1957"/>
      <c r="B34" s="1946"/>
      <c r="C34" s="1956"/>
      <c r="D34" s="1947"/>
      <c r="E34" s="1950"/>
      <c r="F34" s="1957"/>
      <c r="G34" s="1958"/>
      <c r="H34" s="1958"/>
      <c r="I34" s="1958"/>
      <c r="J34" s="1963"/>
      <c r="K34" s="1958"/>
      <c r="L34" s="1958"/>
      <c r="M34" s="1958"/>
      <c r="O34" s="1958"/>
      <c r="P34" s="1957"/>
      <c r="Q34" s="1966"/>
      <c r="R34" s="1958"/>
      <c r="S34" s="1963"/>
    </row>
    <row r="35" spans="1:19" s="1949" customFormat="1" ht="15" x14ac:dyDescent="0.2">
      <c r="A35" s="1957" t="s">
        <v>2173</v>
      </c>
      <c r="B35" s="1946" t="s">
        <v>2178</v>
      </c>
      <c r="C35" s="1956">
        <v>84.027000000000001</v>
      </c>
      <c r="D35" s="1947"/>
      <c r="E35" s="1950" t="s">
        <v>2179</v>
      </c>
      <c r="F35" s="1957"/>
      <c r="G35" s="1958">
        <v>2402899</v>
      </c>
      <c r="H35" s="1958"/>
      <c r="I35" s="1958">
        <v>182421</v>
      </c>
      <c r="J35" s="1963"/>
      <c r="K35" s="1958">
        <v>2402899</v>
      </c>
      <c r="L35" s="1958"/>
      <c r="M35" s="1958">
        <v>182421</v>
      </c>
      <c r="N35" s="1958"/>
      <c r="O35" s="1958"/>
      <c r="P35" s="1957"/>
      <c r="Q35" s="1966">
        <f>+K35+M35</f>
        <v>2585320</v>
      </c>
      <c r="R35" s="1958"/>
      <c r="S35" s="1963">
        <v>2615001</v>
      </c>
    </row>
    <row r="36" spans="1:19" s="1949" customFormat="1" ht="15" x14ac:dyDescent="0.2">
      <c r="A36" s="1957" t="s">
        <v>2173</v>
      </c>
      <c r="B36" s="1946" t="s">
        <v>2180</v>
      </c>
      <c r="C36" s="1956">
        <v>84.027000000000001</v>
      </c>
      <c r="D36" s="1947"/>
      <c r="E36" s="1950" t="s">
        <v>2179</v>
      </c>
      <c r="F36" s="1957"/>
      <c r="G36" s="1958">
        <v>1493980</v>
      </c>
      <c r="H36" s="1958"/>
      <c r="I36" s="1958">
        <v>897257</v>
      </c>
      <c r="J36" s="1963"/>
      <c r="K36" s="1958">
        <v>2152725</v>
      </c>
      <c r="L36" s="1958"/>
      <c r="M36" s="1958">
        <f>420933-182421</f>
        <v>238512</v>
      </c>
      <c r="N36" s="1958"/>
      <c r="O36" s="1958"/>
      <c r="P36" s="1957"/>
      <c r="Q36" s="1966">
        <f>+K36+M36</f>
        <v>2391237</v>
      </c>
      <c r="R36" s="1958"/>
      <c r="S36" s="1963">
        <f>5235263-2615001</f>
        <v>2620262</v>
      </c>
    </row>
    <row r="37" spans="1:19" s="1949" customFormat="1" ht="15" x14ac:dyDescent="0.2">
      <c r="A37" s="1957" t="s">
        <v>2173</v>
      </c>
      <c r="B37" s="1946" t="s">
        <v>2178</v>
      </c>
      <c r="C37" s="1956">
        <v>84.027000000000001</v>
      </c>
      <c r="D37" s="1947"/>
      <c r="E37" s="1950" t="s">
        <v>2181</v>
      </c>
      <c r="F37" s="1957"/>
      <c r="G37" s="1958"/>
      <c r="H37" s="1958"/>
      <c r="I37" s="1958">
        <v>2638347</v>
      </c>
      <c r="J37" s="1963"/>
      <c r="K37" s="1958"/>
      <c r="L37" s="1958"/>
      <c r="M37" s="1958">
        <v>2638347</v>
      </c>
      <c r="N37" s="1958"/>
      <c r="O37" s="1958">
        <v>261654</v>
      </c>
      <c r="P37" s="1957"/>
      <c r="Q37" s="1966">
        <f>+K37+M37+O37</f>
        <v>2900001</v>
      </c>
      <c r="R37" s="1958"/>
      <c r="S37" s="1963">
        <v>2915001</v>
      </c>
    </row>
    <row r="38" spans="1:19" s="1949" customFormat="1" ht="15" x14ac:dyDescent="0.2">
      <c r="A38" s="1957" t="s">
        <v>2173</v>
      </c>
      <c r="B38" s="1967" t="s">
        <v>2180</v>
      </c>
      <c r="C38" s="1956">
        <v>84.027000000000001</v>
      </c>
      <c r="D38" s="1947"/>
      <c r="E38" s="1950" t="s">
        <v>2181</v>
      </c>
      <c r="F38" s="1945"/>
      <c r="G38" s="1960"/>
      <c r="H38" s="1958"/>
      <c r="I38" s="1960">
        <f>3954925-2638347</f>
        <v>1316578</v>
      </c>
      <c r="J38" s="1963"/>
      <c r="K38" s="1960"/>
      <c r="L38" s="1958"/>
      <c r="M38" s="1960">
        <f>4781225-2638347</f>
        <v>2142878</v>
      </c>
      <c r="N38" s="1958"/>
      <c r="O38" s="1960">
        <v>151696</v>
      </c>
      <c r="P38" s="1968"/>
      <c r="Q38" s="1969">
        <f>+K38+M38+O38</f>
        <v>2294574</v>
      </c>
      <c r="R38" s="1958"/>
      <c r="S38" s="1963">
        <f>5382187-2915001</f>
        <v>2467186</v>
      </c>
    </row>
    <row r="39" spans="1:19" s="1949" customFormat="1" ht="15" x14ac:dyDescent="0.2">
      <c r="A39" s="1957"/>
      <c r="B39" s="1967" t="s">
        <v>2182</v>
      </c>
      <c r="C39" s="1956"/>
      <c r="D39" s="1947"/>
      <c r="E39" s="1950"/>
      <c r="F39" s="1945"/>
      <c r="G39" s="1970">
        <f>SUM(G35:G38)</f>
        <v>3896879</v>
      </c>
      <c r="H39" s="1958"/>
      <c r="I39" s="1970">
        <f>SUM(I35:I38)</f>
        <v>5034603</v>
      </c>
      <c r="J39" s="1963"/>
      <c r="K39" s="1970">
        <f>SUM(K35:K38)</f>
        <v>4555624</v>
      </c>
      <c r="L39" s="1958"/>
      <c r="M39" s="1970">
        <f>SUM(M35:M38)</f>
        <v>5202158</v>
      </c>
      <c r="N39" s="1958"/>
      <c r="O39" s="1970">
        <f>SUM(O35:O38)</f>
        <v>413350</v>
      </c>
      <c r="P39" s="1968"/>
      <c r="Q39" s="1970">
        <f>SUM(Q35:Q38)</f>
        <v>10171132</v>
      </c>
      <c r="R39" s="1958"/>
      <c r="S39" s="1963"/>
    </row>
    <row r="40" spans="1:19" s="1949" customFormat="1" ht="15" customHeight="1" x14ac:dyDescent="0.2">
      <c r="A40" s="1957"/>
      <c r="B40" s="1947" t="s">
        <v>2183</v>
      </c>
      <c r="C40" s="1956"/>
      <c r="D40" s="1947"/>
      <c r="E40" s="1950"/>
      <c r="F40" s="1945"/>
      <c r="G40" s="1958">
        <f>+G33+G39</f>
        <v>4108804</v>
      </c>
      <c r="H40" s="1958"/>
      <c r="I40" s="1958">
        <f>+I33+I39</f>
        <v>5313988</v>
      </c>
      <c r="J40" s="1958">
        <f>SUM(J30:J38)</f>
        <v>0</v>
      </c>
      <c r="K40" s="1958">
        <f>+K33+K39</f>
        <v>4811131</v>
      </c>
      <c r="L40" s="1958">
        <f>SUM(L30:L38)</f>
        <v>0</v>
      </c>
      <c r="M40" s="1958">
        <f>+M33+M39</f>
        <v>5495060</v>
      </c>
      <c r="N40" s="1958" t="s">
        <v>1169</v>
      </c>
      <c r="O40" s="1958">
        <f>+O33+O39</f>
        <v>427239</v>
      </c>
      <c r="P40" s="1958">
        <f>SUM(P30:P38)</f>
        <v>0</v>
      </c>
      <c r="Q40" s="1958">
        <f>+Q33+Q39</f>
        <v>10733430</v>
      </c>
      <c r="R40" s="1958"/>
      <c r="S40" s="1963"/>
    </row>
    <row r="41" spans="1:19" s="1949" customFormat="1" ht="10.5" customHeight="1" x14ac:dyDescent="0.2">
      <c r="A41" s="1957"/>
      <c r="B41" s="1947"/>
      <c r="C41" s="1956"/>
      <c r="D41" s="1947"/>
      <c r="E41" s="1950"/>
      <c r="F41" s="1945"/>
      <c r="G41" s="1958"/>
      <c r="H41" s="1958"/>
      <c r="I41" s="1958"/>
      <c r="J41" s="1963"/>
      <c r="K41" s="1958"/>
      <c r="L41" s="1958"/>
      <c r="M41" s="1958"/>
      <c r="N41" s="1958"/>
      <c r="O41" s="1958"/>
      <c r="P41" s="1963"/>
      <c r="Q41" s="1958"/>
      <c r="R41" s="1958"/>
      <c r="S41" s="1963"/>
    </row>
    <row r="42" spans="1:19" s="1949" customFormat="1" ht="15" customHeight="1" x14ac:dyDescent="0.2">
      <c r="A42" s="1955" t="s">
        <v>2171</v>
      </c>
      <c r="B42" s="1955"/>
      <c r="C42" s="1956"/>
      <c r="D42" s="1947"/>
      <c r="E42" s="1950"/>
      <c r="F42" s="1945"/>
      <c r="G42" s="1958"/>
      <c r="H42" s="1958"/>
      <c r="I42" s="1958" t="s">
        <v>1169</v>
      </c>
      <c r="J42" s="1963"/>
      <c r="K42" s="1958"/>
      <c r="L42" s="1958"/>
      <c r="M42" s="1958" t="s">
        <v>1169</v>
      </c>
      <c r="N42" s="1958"/>
      <c r="O42" s="1958"/>
      <c r="P42" s="1963"/>
      <c r="Q42" s="1958"/>
      <c r="R42" s="1958"/>
      <c r="S42" s="1963"/>
    </row>
    <row r="43" spans="1:19" s="1949" customFormat="1" ht="15" customHeight="1" x14ac:dyDescent="0.2">
      <c r="A43" s="1955" t="s">
        <v>2184</v>
      </c>
      <c r="B43" s="1955"/>
      <c r="C43" s="1956"/>
      <c r="D43" s="1947"/>
      <c r="E43" s="1950"/>
      <c r="F43" s="1945"/>
      <c r="G43" s="1958"/>
      <c r="H43" s="1958"/>
      <c r="I43" s="1958"/>
      <c r="J43" s="1963"/>
      <c r="K43" s="1958"/>
      <c r="L43" s="1958"/>
      <c r="M43" s="1958"/>
      <c r="N43" s="1958"/>
      <c r="O43" s="1958"/>
      <c r="P43" s="1963"/>
      <c r="Q43" s="1958"/>
      <c r="R43" s="1958"/>
      <c r="S43" s="1963"/>
    </row>
    <row r="44" spans="1:19" s="1949" customFormat="1" ht="10.5" customHeight="1" x14ac:dyDescent="0.2">
      <c r="A44" s="1957"/>
      <c r="B44" s="1947"/>
      <c r="C44" s="1956"/>
      <c r="D44" s="1947"/>
      <c r="E44" s="1950"/>
      <c r="F44" s="1945"/>
      <c r="G44" s="1958"/>
      <c r="H44" s="1958"/>
      <c r="I44" s="1958"/>
      <c r="J44" s="1963"/>
      <c r="K44" s="1958"/>
      <c r="L44" s="1958"/>
      <c r="M44" s="1958"/>
      <c r="N44" s="1958"/>
      <c r="O44" s="1958"/>
      <c r="P44" s="1963"/>
      <c r="Q44" s="1958"/>
      <c r="R44" s="1958"/>
      <c r="S44" s="1963"/>
    </row>
    <row r="45" spans="1:19" s="1949" customFormat="1" ht="15" customHeight="1" x14ac:dyDescent="0.2">
      <c r="A45" s="1957"/>
      <c r="B45" s="1947" t="s">
        <v>2185</v>
      </c>
      <c r="C45" s="1956">
        <v>84.126000000000005</v>
      </c>
      <c r="D45" s="1947"/>
      <c r="E45" s="1950" t="s">
        <v>2186</v>
      </c>
      <c r="F45" s="1945"/>
      <c r="G45" s="1958">
        <v>101888</v>
      </c>
      <c r="H45" s="1958"/>
      <c r="I45" s="1958">
        <v>6957</v>
      </c>
      <c r="J45" s="1963"/>
      <c r="K45" s="1958">
        <v>108845</v>
      </c>
      <c r="L45" s="1958"/>
      <c r="M45" s="1958"/>
      <c r="N45" s="1958"/>
      <c r="O45" s="1958"/>
      <c r="P45" s="1963"/>
      <c r="Q45" s="1958">
        <f>+K45+M45+O45</f>
        <v>108845</v>
      </c>
      <c r="R45" s="1958"/>
      <c r="S45" s="1945">
        <v>110607</v>
      </c>
    </row>
    <row r="46" spans="1:19" s="1949" customFormat="1" ht="15" customHeight="1" x14ac:dyDescent="0.2">
      <c r="A46" s="1957"/>
      <c r="B46" s="1947" t="s">
        <v>2185</v>
      </c>
      <c r="C46" s="1956">
        <v>84.126000000000005</v>
      </c>
      <c r="D46" s="1947"/>
      <c r="E46" s="1950" t="s">
        <v>2187</v>
      </c>
      <c r="F46" s="1945"/>
      <c r="G46" s="1958"/>
      <c r="H46" s="1958"/>
      <c r="I46" s="1958">
        <v>110607</v>
      </c>
      <c r="J46" s="1963"/>
      <c r="K46" s="1958"/>
      <c r="L46" s="1958"/>
      <c r="M46" s="1958">
        <v>110607</v>
      </c>
      <c r="N46" s="1958"/>
      <c r="O46" s="1958"/>
      <c r="P46" s="1963"/>
      <c r="Q46" s="1958">
        <f>+K46+M46+O46</f>
        <v>110607</v>
      </c>
      <c r="R46" s="1958"/>
      <c r="S46" s="1945">
        <v>110607</v>
      </c>
    </row>
    <row r="47" spans="1:19" s="1949" customFormat="1" ht="15" customHeight="1" x14ac:dyDescent="0.2">
      <c r="A47" s="1957"/>
      <c r="B47" s="1947"/>
      <c r="C47" s="1956"/>
      <c r="D47" s="1947"/>
      <c r="E47" s="1950"/>
      <c r="F47" s="1945"/>
      <c r="G47" s="1958"/>
      <c r="H47" s="1958"/>
      <c r="I47" s="1958"/>
      <c r="J47" s="1963"/>
      <c r="K47" s="1958"/>
      <c r="L47" s="1958"/>
      <c r="M47" s="1958"/>
      <c r="N47" s="1958"/>
      <c r="O47" s="1958"/>
      <c r="P47" s="1963"/>
      <c r="Q47" s="1958"/>
      <c r="R47" s="1958"/>
      <c r="S47" s="1945"/>
    </row>
    <row r="48" spans="1:19" s="1949" customFormat="1" ht="15" customHeight="1" x14ac:dyDescent="0.2">
      <c r="A48" s="1957"/>
      <c r="B48" s="1947" t="s">
        <v>2188</v>
      </c>
      <c r="C48" s="1956">
        <v>84.126000000000005</v>
      </c>
      <c r="D48" s="1947"/>
      <c r="E48" s="1950" t="s">
        <v>2189</v>
      </c>
      <c r="F48" s="1945"/>
      <c r="G48" s="1958">
        <v>54645</v>
      </c>
      <c r="H48" s="1958"/>
      <c r="I48" s="1958">
        <v>31226</v>
      </c>
      <c r="J48" s="1963"/>
      <c r="K48" s="1958">
        <v>85871</v>
      </c>
      <c r="L48" s="1958"/>
      <c r="M48" s="1958"/>
      <c r="N48" s="1958"/>
      <c r="O48" s="1958"/>
      <c r="P48" s="1963"/>
      <c r="Q48" s="1958">
        <f>+K48+M48+O48</f>
        <v>85871</v>
      </c>
      <c r="R48" s="1958"/>
      <c r="S48" s="1945">
        <v>85871</v>
      </c>
    </row>
    <row r="49" spans="1:19" s="1949" customFormat="1" ht="15" customHeight="1" x14ac:dyDescent="0.2">
      <c r="A49" s="1957"/>
      <c r="B49" s="1947" t="s">
        <v>2188</v>
      </c>
      <c r="C49" s="1956">
        <v>84.126000000000005</v>
      </c>
      <c r="D49" s="1947"/>
      <c r="E49" s="1950" t="s">
        <v>2190</v>
      </c>
      <c r="F49" s="1945"/>
      <c r="G49" s="1960">
        <v>0</v>
      </c>
      <c r="H49" s="1958"/>
      <c r="I49" s="1960">
        <v>78064</v>
      </c>
      <c r="J49" s="1963"/>
      <c r="K49" s="1960"/>
      <c r="L49" s="1958"/>
      <c r="M49" s="1971">
        <v>85871</v>
      </c>
      <c r="N49" s="1958"/>
      <c r="O49" s="1960"/>
      <c r="P49" s="1963"/>
      <c r="Q49" s="1960">
        <f>+K49+M49+O49</f>
        <v>85871</v>
      </c>
      <c r="R49" s="1958"/>
      <c r="S49" s="1945">
        <v>85871</v>
      </c>
    </row>
    <row r="50" spans="1:19" s="1949" customFormat="1" ht="15" customHeight="1" x14ac:dyDescent="0.2">
      <c r="A50" s="1957"/>
      <c r="B50" s="1947" t="s">
        <v>2191</v>
      </c>
      <c r="C50" s="1956"/>
      <c r="D50" s="1947"/>
      <c r="E50" s="1950"/>
      <c r="F50" s="1945"/>
      <c r="G50" s="1958">
        <f>+G45+G46+G48+G49</f>
        <v>156533</v>
      </c>
      <c r="H50" s="1958"/>
      <c r="I50" s="1958">
        <f>+I45+I46+I48+I49</f>
        <v>226854</v>
      </c>
      <c r="J50" s="1963"/>
      <c r="K50" s="1958">
        <f>+K45+K46+K48+K49</f>
        <v>194716</v>
      </c>
      <c r="L50" s="1958"/>
      <c r="M50" s="1958">
        <f>+M45+M46+M48+M49</f>
        <v>196478</v>
      </c>
      <c r="N50" s="1958"/>
      <c r="O50" s="1958">
        <f>+O45+O46+O48+O49</f>
        <v>0</v>
      </c>
      <c r="P50" s="1963"/>
      <c r="Q50" s="1958">
        <f>+Q45+Q46+Q48+Q49</f>
        <v>391194</v>
      </c>
      <c r="R50" s="1958"/>
    </row>
    <row r="51" spans="1:19" s="1949" customFormat="1" ht="15" customHeight="1" x14ac:dyDescent="0.2">
      <c r="A51" s="1957"/>
      <c r="B51" s="1947"/>
      <c r="C51" s="1956"/>
      <c r="D51" s="1947"/>
      <c r="E51" s="1950"/>
      <c r="F51" s="1945"/>
      <c r="G51" s="1958"/>
      <c r="H51" s="1958"/>
      <c r="I51" s="1958"/>
      <c r="J51" s="1963"/>
      <c r="K51" s="1958"/>
      <c r="L51" s="1958"/>
      <c r="M51" s="1958"/>
      <c r="N51" s="1958"/>
      <c r="O51" s="1958"/>
      <c r="P51" s="1963"/>
      <c r="Q51" s="1958"/>
      <c r="R51" s="1958"/>
    </row>
    <row r="52" spans="1:19" s="1949" customFormat="1" ht="15" customHeight="1" x14ac:dyDescent="0.2">
      <c r="A52" s="1955" t="s">
        <v>2171</v>
      </c>
      <c r="B52" s="1947"/>
      <c r="C52" s="1956"/>
      <c r="D52" s="1947"/>
      <c r="E52" s="1950"/>
      <c r="F52" s="1945"/>
      <c r="G52" s="1958"/>
      <c r="H52" s="1958"/>
      <c r="I52" s="1958">
        <v>0</v>
      </c>
      <c r="J52" s="1963"/>
      <c r="K52" s="1958"/>
      <c r="L52" s="1958"/>
      <c r="M52" s="1958"/>
      <c r="N52" s="1958"/>
      <c r="O52" s="1958"/>
      <c r="P52" s="1963"/>
      <c r="Q52" s="1958"/>
      <c r="R52" s="1958"/>
      <c r="S52" s="1949" t="s">
        <v>1169</v>
      </c>
    </row>
    <row r="53" spans="1:19" s="1949" customFormat="1" ht="15" customHeight="1" x14ac:dyDescent="0.2">
      <c r="A53" s="1955" t="s">
        <v>2192</v>
      </c>
      <c r="B53" s="1947"/>
      <c r="C53" s="1956"/>
      <c r="D53" s="1947"/>
      <c r="E53" s="1950"/>
      <c r="F53" s="1945"/>
      <c r="G53" s="1958"/>
      <c r="H53" s="1958"/>
      <c r="I53" s="1958"/>
      <c r="J53" s="1963"/>
      <c r="K53" s="1958"/>
      <c r="L53" s="1958"/>
      <c r="M53" s="1958"/>
      <c r="N53" s="1958"/>
      <c r="O53" s="1958"/>
      <c r="P53" s="1963"/>
      <c r="Q53" s="1958"/>
      <c r="R53" s="1958"/>
      <c r="S53" s="1949" t="s">
        <v>1169</v>
      </c>
    </row>
    <row r="54" spans="1:19" s="1949" customFormat="1" ht="10.5" customHeight="1" x14ac:dyDescent="0.2">
      <c r="A54" s="1955"/>
      <c r="B54" s="1947"/>
      <c r="C54" s="1956"/>
      <c r="D54" s="1947"/>
      <c r="E54" s="1950"/>
      <c r="F54" s="1945"/>
      <c r="G54" s="1958"/>
      <c r="H54" s="1958"/>
      <c r="I54" s="1958"/>
      <c r="J54" s="1963"/>
      <c r="K54" s="1958"/>
      <c r="L54" s="1958"/>
      <c r="M54" s="1958"/>
      <c r="N54" s="1958"/>
      <c r="O54" s="1958"/>
      <c r="P54" s="1963"/>
      <c r="Q54" s="1958"/>
      <c r="R54" s="1958"/>
      <c r="S54" s="1949" t="s">
        <v>1169</v>
      </c>
    </row>
    <row r="55" spans="1:19" s="1949" customFormat="1" ht="15" customHeight="1" x14ac:dyDescent="0.2">
      <c r="A55" s="1955"/>
      <c r="B55" s="1947" t="s">
        <v>2193</v>
      </c>
      <c r="C55" s="1956">
        <v>93.778000000000006</v>
      </c>
      <c r="D55" s="1947"/>
      <c r="E55" s="1950" t="s">
        <v>2194</v>
      </c>
      <c r="F55" s="1945"/>
      <c r="G55" s="1958">
        <v>28405</v>
      </c>
      <c r="H55" s="1958"/>
      <c r="I55" s="1958">
        <v>10214</v>
      </c>
      <c r="J55" s="1963"/>
      <c r="K55" s="1958">
        <v>40228</v>
      </c>
      <c r="L55" s="1958"/>
      <c r="M55" s="1958"/>
      <c r="N55" s="1958"/>
      <c r="O55" s="1958"/>
      <c r="P55" s="1963"/>
      <c r="Q55" s="1958">
        <f>+K55+M55</f>
        <v>40228</v>
      </c>
      <c r="R55" s="1958"/>
      <c r="S55" s="1945" t="s">
        <v>2163</v>
      </c>
    </row>
    <row r="56" spans="1:19" s="1949" customFormat="1" ht="15" customHeight="1" x14ac:dyDescent="0.2">
      <c r="A56" s="1955"/>
      <c r="B56" s="1947" t="s">
        <v>2193</v>
      </c>
      <c r="C56" s="1956">
        <v>93.778000000000006</v>
      </c>
      <c r="D56" s="1947"/>
      <c r="E56" s="1950" t="s">
        <v>2195</v>
      </c>
      <c r="F56" s="1945"/>
      <c r="G56" s="1960"/>
      <c r="H56" s="1958"/>
      <c r="I56" s="1960">
        <v>29744</v>
      </c>
      <c r="J56" s="1963"/>
      <c r="K56" s="1960"/>
      <c r="L56" s="1958"/>
      <c r="M56" s="1960">
        <v>40562</v>
      </c>
      <c r="N56" s="1958"/>
      <c r="O56" s="1960">
        <v>0</v>
      </c>
      <c r="P56" s="1963"/>
      <c r="Q56" s="1960">
        <f>+K56+M56</f>
        <v>40562</v>
      </c>
      <c r="R56" s="1958"/>
      <c r="S56" s="1945" t="s">
        <v>2163</v>
      </c>
    </row>
    <row r="57" spans="1:19" s="1949" customFormat="1" ht="15" customHeight="1" x14ac:dyDescent="0.2">
      <c r="A57" s="1955" t="s">
        <v>2196</v>
      </c>
      <c r="B57" s="1947"/>
      <c r="C57" s="1956"/>
      <c r="D57" s="1947"/>
      <c r="E57" s="1947"/>
      <c r="F57" s="1945"/>
      <c r="G57" s="1972">
        <f>+G40+G50+G55+G56</f>
        <v>4293742</v>
      </c>
      <c r="H57" s="1973"/>
      <c r="I57" s="1972">
        <f>+I40+I50+I55+I56</f>
        <v>5580800</v>
      </c>
      <c r="J57" s="1973"/>
      <c r="K57" s="1972">
        <f>+K40+K50+K55+K56</f>
        <v>5046075</v>
      </c>
      <c r="L57" s="1973"/>
      <c r="M57" s="1972">
        <f>+M40+M50+M55+M56</f>
        <v>5732100</v>
      </c>
      <c r="N57" s="1973"/>
      <c r="O57" s="1972">
        <f>+O40+O50+O55+O56</f>
        <v>427239</v>
      </c>
      <c r="P57" s="1973"/>
      <c r="Q57" s="1972">
        <f>+Q40+Q50+Q55+Q56</f>
        <v>11205414</v>
      </c>
      <c r="R57" s="1973"/>
      <c r="S57" s="1973"/>
    </row>
    <row r="58" spans="1:19" s="1949" customFormat="1" ht="9.75" customHeight="1" x14ac:dyDescent="0.2">
      <c r="A58" s="1955"/>
      <c r="B58" s="1947"/>
      <c r="C58" s="1956"/>
      <c r="D58" s="1947"/>
      <c r="E58" s="1947"/>
      <c r="F58" s="1945"/>
      <c r="G58" s="1973"/>
      <c r="H58" s="1974"/>
      <c r="I58" s="1973"/>
      <c r="J58" s="1974"/>
      <c r="K58" s="1973"/>
      <c r="L58" s="1974"/>
      <c r="M58" s="1973"/>
      <c r="N58" s="1974"/>
      <c r="O58" s="1973"/>
      <c r="P58" s="1974"/>
      <c r="Q58" s="1973"/>
      <c r="R58" s="1975"/>
      <c r="S58" s="1976"/>
    </row>
    <row r="59" spans="1:19" s="1949" customFormat="1" ht="15" customHeight="1" thickBot="1" x14ac:dyDescent="0.25">
      <c r="A59" s="1977" t="s">
        <v>2197</v>
      </c>
      <c r="B59" s="1947"/>
      <c r="C59" s="1956"/>
      <c r="D59" s="1947"/>
      <c r="E59" s="1947"/>
      <c r="F59" s="1945"/>
      <c r="G59" s="1978">
        <f>+G57+G24</f>
        <v>4310718</v>
      </c>
      <c r="H59" s="1974"/>
      <c r="I59" s="1978">
        <f>+I57+I24</f>
        <v>5600272.5199999996</v>
      </c>
      <c r="J59" s="1974"/>
      <c r="K59" s="1978">
        <f>+K57+K24</f>
        <v>5065386</v>
      </c>
      <c r="L59" s="1974"/>
      <c r="M59" s="1978">
        <f>+M57+M24</f>
        <v>5754138.79</v>
      </c>
      <c r="N59" s="1974"/>
      <c r="O59" s="1978">
        <f>+O57+O24</f>
        <v>427239</v>
      </c>
      <c r="P59" s="1974"/>
      <c r="Q59" s="1978">
        <f>+Q57+Q24</f>
        <v>11246763.789999999</v>
      </c>
      <c r="R59" s="1975"/>
      <c r="S59" s="1976"/>
    </row>
    <row r="60" spans="1:19" s="1949" customFormat="1" ht="18" thickTop="1" x14ac:dyDescent="0.2">
      <c r="A60" s="1957"/>
      <c r="B60" s="1947"/>
      <c r="C60" s="1956"/>
      <c r="D60" s="1947"/>
      <c r="E60" s="1947"/>
      <c r="F60" s="1945"/>
      <c r="G60" s="1973"/>
      <c r="H60" s="1974"/>
      <c r="I60" s="1973"/>
      <c r="J60" s="1974"/>
      <c r="K60" s="1973"/>
      <c r="L60" s="1974"/>
      <c r="M60" s="1973"/>
      <c r="N60" s="1974"/>
      <c r="P60" s="1974"/>
      <c r="Q60" s="1973"/>
      <c r="R60" s="1975"/>
      <c r="S60" s="1976"/>
    </row>
    <row r="61" spans="1:19" s="1949" customFormat="1" ht="17.25" x14ac:dyDescent="0.2">
      <c r="A61" s="1946" t="s">
        <v>2198</v>
      </c>
      <c r="B61" s="1947"/>
      <c r="C61" s="1956"/>
      <c r="D61" s="1947"/>
      <c r="E61" s="1947"/>
      <c r="F61" s="1945"/>
      <c r="G61" s="1975">
        <f>+G40+G24</f>
        <v>4125780</v>
      </c>
      <c r="H61" s="1966"/>
      <c r="I61" s="1975">
        <f>+I40+I24</f>
        <v>5333460.5199999996</v>
      </c>
      <c r="J61" s="1966"/>
      <c r="K61" s="1975">
        <f>+K40+K24</f>
        <v>4830442</v>
      </c>
      <c r="L61" s="1966"/>
      <c r="M61" s="1975">
        <f>+M40+M24</f>
        <v>5517098.79</v>
      </c>
      <c r="N61" s="1966"/>
      <c r="O61" s="1975">
        <f>+O40+O24</f>
        <v>427239</v>
      </c>
      <c r="P61" s="1966"/>
      <c r="Q61" s="1975">
        <f>+Q40+Q24</f>
        <v>10774779.789999999</v>
      </c>
      <c r="R61" s="1975"/>
      <c r="S61" s="1976"/>
    </row>
    <row r="62" spans="1:19" s="1949" customFormat="1" ht="17.25" x14ac:dyDescent="0.2">
      <c r="A62" s="1946" t="s">
        <v>2199</v>
      </c>
      <c r="B62" s="1947"/>
      <c r="C62" s="1956"/>
      <c r="D62" s="1947"/>
      <c r="E62" s="1947"/>
      <c r="F62" s="1945"/>
      <c r="G62" s="1975">
        <f>G45+G46+G48+G49</f>
        <v>156533</v>
      </c>
      <c r="H62" s="1966"/>
      <c r="I62" s="1975">
        <f>I45+I46+I48+I49</f>
        <v>226854</v>
      </c>
      <c r="J62" s="1966"/>
      <c r="K62" s="1975">
        <f>K45+K46+K48+K49</f>
        <v>194716</v>
      </c>
      <c r="L62" s="1966"/>
      <c r="M62" s="1975">
        <f>M45+M46+M48+M49</f>
        <v>196478</v>
      </c>
      <c r="N62" s="1966"/>
      <c r="O62" s="1975">
        <f>+O45+O46</f>
        <v>0</v>
      </c>
      <c r="P62" s="1966"/>
      <c r="Q62" s="1975">
        <f>K62+M62+O62</f>
        <v>391194</v>
      </c>
      <c r="R62" s="1975"/>
      <c r="S62" s="1976"/>
    </row>
    <row r="63" spans="1:19" s="1949" customFormat="1" ht="15" x14ac:dyDescent="0.2">
      <c r="A63" s="1946" t="s">
        <v>2200</v>
      </c>
      <c r="D63" s="1947"/>
      <c r="E63" s="1947"/>
      <c r="F63" s="1945"/>
      <c r="G63" s="1960">
        <f>+G55+G56</f>
        <v>28405</v>
      </c>
      <c r="H63" s="1958"/>
      <c r="I63" s="1960">
        <f>+I55+I56</f>
        <v>39958</v>
      </c>
      <c r="J63" s="1963"/>
      <c r="K63" s="1960">
        <f>+K55+K56</f>
        <v>40228</v>
      </c>
      <c r="L63" s="1958"/>
      <c r="M63" s="1960">
        <f>+M55+M56</f>
        <v>40562</v>
      </c>
      <c r="N63" s="1958"/>
      <c r="O63" s="1960">
        <f>+O55+O56</f>
        <v>0</v>
      </c>
      <c r="P63" s="1963"/>
      <c r="Q63" s="1960">
        <f>+Q55+Q56</f>
        <v>80790</v>
      </c>
      <c r="R63" s="1958"/>
      <c r="S63" s="1963"/>
    </row>
    <row r="64" spans="1:19" s="1949" customFormat="1" ht="18" thickBot="1" x14ac:dyDescent="0.25">
      <c r="A64" s="1977" t="s">
        <v>2197</v>
      </c>
      <c r="C64" s="1979"/>
      <c r="D64" s="1947"/>
      <c r="E64" s="1947"/>
      <c r="F64" s="1945"/>
      <c r="G64" s="1980">
        <f>+G59</f>
        <v>4310718</v>
      </c>
      <c r="H64" s="1981"/>
      <c r="I64" s="1980">
        <f>+I59</f>
        <v>5600272.5199999996</v>
      </c>
      <c r="J64" s="1981"/>
      <c r="K64" s="1980">
        <f>+K59</f>
        <v>5065386</v>
      </c>
      <c r="L64" s="1981"/>
      <c r="M64" s="1980">
        <f>+M59</f>
        <v>5754138.79</v>
      </c>
      <c r="N64" s="1981"/>
      <c r="O64" s="1980">
        <f>+O59</f>
        <v>427239</v>
      </c>
      <c r="P64" s="1980"/>
      <c r="Q64" s="1980">
        <f>+Q59</f>
        <v>11246763.789999999</v>
      </c>
      <c r="R64" s="1975" t="s">
        <v>1169</v>
      </c>
      <c r="S64" s="1982"/>
    </row>
    <row r="65" spans="1:19" s="1949" customFormat="1" ht="18" thickTop="1" x14ac:dyDescent="0.2">
      <c r="A65" s="1977"/>
      <c r="C65" s="1979"/>
      <c r="D65" s="1947"/>
      <c r="E65" s="1947"/>
      <c r="F65" s="1945"/>
      <c r="G65" s="1981"/>
      <c r="H65" s="1981"/>
      <c r="I65" s="1981"/>
      <c r="J65" s="1981"/>
      <c r="K65" s="1981"/>
      <c r="L65" s="1981"/>
      <c r="M65" s="1981"/>
      <c r="N65" s="1981"/>
      <c r="O65" s="1981"/>
      <c r="P65" s="1981"/>
      <c r="Q65" s="1981"/>
      <c r="R65" s="1975"/>
      <c r="S65" s="1982"/>
    </row>
    <row r="66" spans="1:19" s="1949" customFormat="1" ht="17.25" x14ac:dyDescent="0.2">
      <c r="A66" s="1977"/>
      <c r="C66" s="1979"/>
      <c r="D66" s="1947"/>
      <c r="E66" s="1947"/>
      <c r="F66" s="1945"/>
      <c r="G66" s="1981"/>
      <c r="H66" s="1981"/>
      <c r="I66" s="1981"/>
      <c r="J66" s="1981"/>
      <c r="K66" s="1981"/>
      <c r="L66" s="1981"/>
      <c r="M66" s="1981"/>
      <c r="N66" s="1981"/>
      <c r="O66" s="1981"/>
      <c r="P66" s="1981"/>
      <c r="Q66" s="1981"/>
      <c r="R66" s="1975"/>
      <c r="S66" s="1982"/>
    </row>
    <row r="67" spans="1:19" s="1949" customFormat="1" ht="17.25" x14ac:dyDescent="0.2">
      <c r="A67" s="1947" t="s">
        <v>2201</v>
      </c>
      <c r="B67" s="1947"/>
      <c r="C67" s="2511" t="s">
        <v>2202</v>
      </c>
      <c r="D67" s="2512"/>
      <c r="E67" s="2512"/>
      <c r="F67" s="1945"/>
      <c r="G67" s="2513" t="s">
        <v>2203</v>
      </c>
      <c r="H67" s="2514"/>
      <c r="I67" s="2514"/>
      <c r="J67" s="1963"/>
      <c r="K67" s="1958"/>
      <c r="L67" s="1958"/>
      <c r="M67" s="1958"/>
      <c r="N67" s="1958"/>
      <c r="O67" s="1958"/>
      <c r="P67" s="1963"/>
      <c r="Q67" s="1958"/>
      <c r="R67" s="1958"/>
      <c r="S67" s="1963"/>
    </row>
    <row r="68" spans="1:19" s="1949" customFormat="1" ht="15" hidden="1" x14ac:dyDescent="0.2">
      <c r="A68" s="1947"/>
      <c r="B68" s="1947"/>
      <c r="C68" s="1947"/>
      <c r="D68" s="1947"/>
      <c r="E68" s="1947"/>
      <c r="F68" s="1945"/>
      <c r="G68" s="1958"/>
      <c r="H68" s="1958"/>
      <c r="I68" s="1958"/>
      <c r="J68" s="1963"/>
      <c r="K68" s="1958"/>
      <c r="L68" s="1958"/>
      <c r="M68" s="1958"/>
      <c r="N68" s="1958"/>
      <c r="O68" s="1958"/>
      <c r="P68" s="1963"/>
      <c r="Q68" s="1958"/>
      <c r="R68" s="1958"/>
      <c r="S68" s="1963"/>
    </row>
    <row r="69" spans="1:19" s="1949" customFormat="1" ht="15" x14ac:dyDescent="0.2">
      <c r="A69" s="1946" t="s">
        <v>2204</v>
      </c>
      <c r="C69" s="1983" t="s">
        <v>2205</v>
      </c>
      <c r="D69" s="1957"/>
      <c r="E69" s="1983" t="s">
        <v>2206</v>
      </c>
      <c r="F69" s="1945"/>
      <c r="G69" s="1983" t="s">
        <v>2205</v>
      </c>
      <c r="H69" s="1945"/>
      <c r="I69" s="1983" t="s">
        <v>2206</v>
      </c>
      <c r="J69" s="1963"/>
      <c r="K69" s="1963"/>
      <c r="L69" s="1963"/>
      <c r="M69" s="1982" t="s">
        <v>1169</v>
      </c>
      <c r="N69" s="1963"/>
      <c r="O69" s="1984" t="s">
        <v>1169</v>
      </c>
      <c r="P69" s="1985"/>
      <c r="Q69" s="1984"/>
      <c r="R69" s="1984"/>
      <c r="S69" s="1985"/>
    </row>
    <row r="70" spans="1:19" s="1949" customFormat="1" ht="15" x14ac:dyDescent="0.2">
      <c r="A70" s="1945"/>
      <c r="B70" s="1947" t="s">
        <v>2207</v>
      </c>
      <c r="C70" s="1987">
        <v>0</v>
      </c>
      <c r="D70" s="1966"/>
      <c r="E70" s="1966">
        <v>22677</v>
      </c>
      <c r="F70" s="1988"/>
      <c r="G70" s="1966">
        <v>15107</v>
      </c>
      <c r="H70" s="1966"/>
      <c r="I70" s="1966">
        <f>77109</f>
        <v>77109</v>
      </c>
      <c r="J70" s="1988"/>
      <c r="K70" s="1966" t="s">
        <v>1169</v>
      </c>
      <c r="L70" s="1966"/>
      <c r="M70" s="1966" t="s">
        <v>1169</v>
      </c>
      <c r="N70" s="1966"/>
      <c r="O70" s="1966"/>
      <c r="P70" s="1988"/>
      <c r="Q70" s="1966"/>
      <c r="R70" s="1966"/>
      <c r="S70" s="1988"/>
    </row>
    <row r="71" spans="1:19" s="1949" customFormat="1" ht="13.5" customHeight="1" x14ac:dyDescent="0.2">
      <c r="A71" s="1945"/>
      <c r="B71" s="1947" t="s">
        <v>2208</v>
      </c>
      <c r="C71" s="1987">
        <v>0</v>
      </c>
      <c r="D71" s="1966"/>
      <c r="E71" s="1966">
        <v>27834</v>
      </c>
      <c r="F71" s="1988"/>
      <c r="G71" s="1966">
        <v>0</v>
      </c>
      <c r="H71" s="1966"/>
      <c r="I71" s="1966">
        <v>106727</v>
      </c>
      <c r="J71" s="1988"/>
      <c r="K71" s="1966" t="s">
        <v>1169</v>
      </c>
      <c r="L71" s="1966"/>
      <c r="M71" s="1966"/>
      <c r="N71" s="1966"/>
      <c r="O71" s="1966"/>
      <c r="P71" s="1988"/>
      <c r="Q71" s="1966"/>
      <c r="R71" s="1966"/>
      <c r="S71" s="1988"/>
    </row>
    <row r="72" spans="1:19" s="1949" customFormat="1" ht="13.5" customHeight="1" x14ac:dyDescent="0.2">
      <c r="A72" s="1945"/>
      <c r="B72" s="1947" t="s">
        <v>2209</v>
      </c>
      <c r="C72" s="1987">
        <v>0</v>
      </c>
      <c r="D72" s="1966"/>
      <c r="E72" s="1966">
        <v>27724</v>
      </c>
      <c r="F72" s="1988"/>
      <c r="G72" s="1966">
        <v>1167</v>
      </c>
      <c r="H72" s="1966"/>
      <c r="I72" s="1966">
        <f>96996</f>
        <v>96996</v>
      </c>
      <c r="J72" s="1988"/>
      <c r="K72" s="1966" t="s">
        <v>1169</v>
      </c>
      <c r="L72" s="1966"/>
      <c r="M72" s="1966"/>
      <c r="N72" s="1966"/>
      <c r="O72" s="1966"/>
      <c r="P72" s="1988"/>
      <c r="Q72" s="1966"/>
      <c r="R72" s="1966"/>
      <c r="S72" s="1988"/>
    </row>
    <row r="73" spans="1:19" s="1949" customFormat="1" ht="13.5" customHeight="1" x14ac:dyDescent="0.2">
      <c r="A73" s="1945"/>
      <c r="B73" s="1947" t="s">
        <v>2210</v>
      </c>
      <c r="C73" s="1987">
        <v>0</v>
      </c>
      <c r="D73" s="1966"/>
      <c r="E73" s="1966">
        <v>27834</v>
      </c>
      <c r="F73" s="1988"/>
      <c r="G73" s="1966">
        <v>0</v>
      </c>
      <c r="H73" s="1966"/>
      <c r="I73" s="1966">
        <v>100578</v>
      </c>
      <c r="J73" s="1988"/>
      <c r="K73" s="1966" t="s">
        <v>1169</v>
      </c>
      <c r="L73" s="1966"/>
      <c r="M73" s="1966"/>
      <c r="N73" s="1966"/>
      <c r="O73" s="1966"/>
      <c r="P73" s="1988"/>
      <c r="Q73" s="1966"/>
      <c r="R73" s="1966"/>
      <c r="S73" s="1988"/>
    </row>
    <row r="74" spans="1:19" s="1949" customFormat="1" ht="13.5" customHeight="1" x14ac:dyDescent="0.2">
      <c r="A74" s="1945"/>
      <c r="B74" s="1947" t="s">
        <v>2211</v>
      </c>
      <c r="C74" s="1987">
        <v>0</v>
      </c>
      <c r="D74" s="1966"/>
      <c r="E74" s="1966">
        <v>0</v>
      </c>
      <c r="F74" s="1988"/>
      <c r="G74" s="1966">
        <v>0</v>
      </c>
      <c r="H74" s="1966"/>
      <c r="I74" s="1966">
        <v>21911</v>
      </c>
      <c r="J74" s="1988"/>
      <c r="K74" s="1966" t="s">
        <v>1169</v>
      </c>
      <c r="L74" s="1966"/>
      <c r="M74" s="1966"/>
      <c r="N74" s="1966"/>
      <c r="O74" s="1966"/>
      <c r="P74" s="1988"/>
      <c r="Q74" s="1966"/>
      <c r="R74" s="1966"/>
      <c r="S74" s="1988"/>
    </row>
    <row r="75" spans="1:19" s="1949" customFormat="1" ht="13.5" customHeight="1" x14ac:dyDescent="0.2">
      <c r="A75" s="1945"/>
      <c r="B75" s="1947" t="s">
        <v>2212</v>
      </c>
      <c r="C75" s="1987">
        <v>4710</v>
      </c>
      <c r="D75" s="1966"/>
      <c r="E75" s="1966">
        <v>0</v>
      </c>
      <c r="F75" s="1988"/>
      <c r="G75" s="1966">
        <v>32203</v>
      </c>
      <c r="H75" s="1966"/>
      <c r="I75" s="1966">
        <f>246403</f>
        <v>246403</v>
      </c>
      <c r="J75" s="1988"/>
      <c r="K75" s="1966" t="s">
        <v>1169</v>
      </c>
      <c r="L75" s="1966"/>
      <c r="M75" s="1966"/>
      <c r="N75" s="1966"/>
      <c r="O75" s="1966"/>
      <c r="P75" s="1988"/>
      <c r="Q75" s="1966"/>
      <c r="R75" s="1966"/>
      <c r="S75" s="1988"/>
    </row>
    <row r="76" spans="1:19" s="1949" customFormat="1" ht="13.5" customHeight="1" x14ac:dyDescent="0.2">
      <c r="A76" s="1945"/>
      <c r="B76" s="1947" t="s">
        <v>2213</v>
      </c>
      <c r="C76" s="1987">
        <v>0</v>
      </c>
      <c r="D76" s="1966"/>
      <c r="E76" s="1966">
        <v>0</v>
      </c>
      <c r="F76" s="1988"/>
      <c r="G76" s="1966">
        <v>0</v>
      </c>
      <c r="H76" s="1966"/>
      <c r="I76" s="1966">
        <v>18377</v>
      </c>
      <c r="J76" s="1988"/>
      <c r="K76" s="1966" t="s">
        <v>1169</v>
      </c>
      <c r="L76" s="1966"/>
      <c r="M76" s="1966"/>
      <c r="N76" s="1966"/>
      <c r="O76" s="1966"/>
      <c r="P76" s="1988"/>
      <c r="Q76" s="1966"/>
      <c r="R76" s="1966"/>
      <c r="S76" s="1988"/>
    </row>
    <row r="77" spans="1:19" s="1949" customFormat="1" ht="13.5" customHeight="1" x14ac:dyDescent="0.2">
      <c r="A77" s="1945"/>
      <c r="B77" s="1947" t="s">
        <v>2214</v>
      </c>
      <c r="C77" s="1987">
        <v>931</v>
      </c>
      <c r="D77" s="1966"/>
      <c r="E77" s="1966">
        <v>0</v>
      </c>
      <c r="F77" s="1988"/>
      <c r="G77" s="1966">
        <v>8456</v>
      </c>
      <c r="H77" s="1966"/>
      <c r="I77" s="1966">
        <f>68678</f>
        <v>68678</v>
      </c>
      <c r="J77" s="1988"/>
      <c r="K77" s="1966" t="s">
        <v>1169</v>
      </c>
      <c r="L77" s="1966"/>
      <c r="M77" s="1966"/>
      <c r="N77" s="1966"/>
      <c r="O77" s="1966"/>
      <c r="P77" s="1988"/>
      <c r="Q77" s="1966"/>
      <c r="R77" s="1966"/>
      <c r="S77" s="1988"/>
    </row>
    <row r="78" spans="1:19" s="1949" customFormat="1" ht="13.5" customHeight="1" x14ac:dyDescent="0.2">
      <c r="A78" s="1945"/>
      <c r="B78" s="1947" t="s">
        <v>2215</v>
      </c>
      <c r="C78" s="1987">
        <v>9659</v>
      </c>
      <c r="D78" s="1966"/>
      <c r="E78" s="1966">
        <v>99876</v>
      </c>
      <c r="F78" s="1988"/>
      <c r="G78" s="1966">
        <v>41572</v>
      </c>
      <c r="H78" s="1966"/>
      <c r="I78" s="1966">
        <f>452486</f>
        <v>452486</v>
      </c>
      <c r="J78" s="1988"/>
      <c r="K78" s="1966" t="s">
        <v>1169</v>
      </c>
      <c r="L78" s="1966"/>
      <c r="M78" s="1966"/>
      <c r="N78" s="1966"/>
      <c r="O78" s="1966"/>
      <c r="P78" s="1988"/>
      <c r="Q78" s="1966"/>
      <c r="R78" s="1966"/>
      <c r="S78" s="1988"/>
    </row>
    <row r="79" spans="1:19" s="1949" customFormat="1" ht="13.5" customHeight="1" x14ac:dyDescent="0.2">
      <c r="A79" s="1945"/>
      <c r="B79" s="1947" t="s">
        <v>2216</v>
      </c>
      <c r="C79" s="1987">
        <v>1066</v>
      </c>
      <c r="D79" s="1966"/>
      <c r="E79" s="1966">
        <v>0</v>
      </c>
      <c r="F79" s="1988"/>
      <c r="G79" s="1966">
        <v>18785</v>
      </c>
      <c r="H79" s="1966"/>
      <c r="I79" s="1966">
        <f>140958</f>
        <v>140958</v>
      </c>
      <c r="J79" s="1988"/>
      <c r="K79" s="1966" t="s">
        <v>1169</v>
      </c>
      <c r="L79" s="1966"/>
      <c r="M79" s="1966"/>
      <c r="N79" s="1966"/>
      <c r="O79" s="1966"/>
      <c r="P79" s="1988"/>
      <c r="Q79" s="1966"/>
      <c r="R79" s="1966"/>
      <c r="S79" s="1988"/>
    </row>
    <row r="80" spans="1:19" s="1949" customFormat="1" ht="13.5" customHeight="1" x14ac:dyDescent="0.2">
      <c r="A80" s="1945"/>
      <c r="B80" s="1947" t="s">
        <v>2217</v>
      </c>
      <c r="C80" s="1987">
        <v>0</v>
      </c>
      <c r="D80" s="1966"/>
      <c r="E80" s="1966">
        <v>0</v>
      </c>
      <c r="F80" s="1988"/>
      <c r="G80" s="1966">
        <v>0</v>
      </c>
      <c r="H80" s="1966"/>
      <c r="I80" s="1966">
        <v>67493</v>
      </c>
      <c r="J80" s="1988"/>
      <c r="K80" s="1966" t="s">
        <v>1169</v>
      </c>
      <c r="L80" s="1966"/>
      <c r="M80" s="1966"/>
      <c r="N80" s="1966"/>
      <c r="O80" s="1966"/>
      <c r="P80" s="1988"/>
      <c r="Q80" s="1966"/>
      <c r="R80" s="1966"/>
      <c r="S80" s="1988"/>
    </row>
    <row r="81" spans="1:19" s="1949" customFormat="1" ht="13.5" customHeight="1" x14ac:dyDescent="0.2">
      <c r="A81" s="1945"/>
      <c r="B81" s="1947" t="s">
        <v>2218</v>
      </c>
      <c r="C81" s="1987">
        <v>0</v>
      </c>
      <c r="D81" s="1966"/>
      <c r="E81" s="1966">
        <v>27834</v>
      </c>
      <c r="F81" s="1988"/>
      <c r="G81" s="1966">
        <v>0</v>
      </c>
      <c r="H81" s="1966"/>
      <c r="I81" s="1966">
        <v>108848</v>
      </c>
      <c r="J81" s="1988"/>
      <c r="K81" s="1966" t="s">
        <v>1169</v>
      </c>
      <c r="L81" s="1966"/>
      <c r="M81" s="1966"/>
      <c r="N81" s="1966"/>
      <c r="O81" s="1966"/>
      <c r="P81" s="1988"/>
      <c r="Q81" s="1966"/>
      <c r="R81" s="1966"/>
      <c r="S81" s="1988"/>
    </row>
    <row r="82" spans="1:19" s="1949" customFormat="1" ht="13.5" customHeight="1" x14ac:dyDescent="0.2">
      <c r="A82" s="1945"/>
      <c r="B82" s="1947" t="s">
        <v>2219</v>
      </c>
      <c r="C82" s="1987">
        <v>2414</v>
      </c>
      <c r="D82" s="1966"/>
      <c r="E82" s="1966">
        <v>0</v>
      </c>
      <c r="F82" s="1988"/>
      <c r="G82" s="1966">
        <v>21962</v>
      </c>
      <c r="H82" s="1966"/>
      <c r="I82" s="1966">
        <f>114588</f>
        <v>114588</v>
      </c>
      <c r="J82" s="1988"/>
      <c r="K82" s="1966" t="s">
        <v>1169</v>
      </c>
      <c r="L82" s="1966"/>
      <c r="M82" s="1966"/>
      <c r="N82" s="1966"/>
      <c r="O82" s="1966"/>
      <c r="P82" s="1988"/>
      <c r="Q82" s="1966"/>
      <c r="R82" s="1966"/>
      <c r="S82" s="1988"/>
    </row>
    <row r="83" spans="1:19" s="1949" customFormat="1" ht="13.5" customHeight="1" x14ac:dyDescent="0.2">
      <c r="A83" s="1945"/>
      <c r="B83" s="1947" t="s">
        <v>2220</v>
      </c>
      <c r="C83" s="1987">
        <v>0</v>
      </c>
      <c r="D83" s="1966"/>
      <c r="E83" s="1966">
        <v>0</v>
      </c>
      <c r="F83" s="1988"/>
      <c r="G83" s="1966">
        <v>29831</v>
      </c>
      <c r="H83" s="1966"/>
      <c r="I83" s="1966">
        <f>151190</f>
        <v>151190</v>
      </c>
      <c r="J83" s="1988"/>
      <c r="K83" s="1966" t="s">
        <v>1169</v>
      </c>
      <c r="L83" s="1966"/>
      <c r="M83" s="1966"/>
      <c r="N83" s="1966"/>
      <c r="O83" s="1966"/>
      <c r="P83" s="1988"/>
      <c r="Q83" s="1966"/>
      <c r="R83" s="1966"/>
      <c r="S83" s="1988"/>
    </row>
    <row r="84" spans="1:19" s="1949" customFormat="1" ht="13.5" customHeight="1" x14ac:dyDescent="0.2">
      <c r="A84" s="1945"/>
      <c r="B84" s="1947" t="s">
        <v>2221</v>
      </c>
      <c r="C84" s="1987">
        <v>0</v>
      </c>
      <c r="D84" s="1966"/>
      <c r="E84" s="1966">
        <v>0</v>
      </c>
      <c r="F84" s="1988"/>
      <c r="G84" s="1966">
        <v>0</v>
      </c>
      <c r="H84" s="1966"/>
      <c r="I84" s="1966">
        <v>92592</v>
      </c>
      <c r="J84" s="1988"/>
      <c r="K84" s="1966"/>
      <c r="L84" s="1966"/>
      <c r="M84" s="1966"/>
      <c r="N84" s="1966"/>
      <c r="O84" s="1966"/>
      <c r="P84" s="1988"/>
      <c r="Q84" s="1966"/>
      <c r="R84" s="1966"/>
      <c r="S84" s="1988"/>
    </row>
    <row r="85" spans="1:19" s="1949" customFormat="1" ht="13.5" customHeight="1" x14ac:dyDescent="0.2">
      <c r="A85" s="1945"/>
      <c r="B85" s="1947" t="s">
        <v>2222</v>
      </c>
      <c r="C85" s="1987">
        <v>0</v>
      </c>
      <c r="D85" s="1966"/>
      <c r="E85" s="1966">
        <v>0</v>
      </c>
      <c r="F85" s="1988"/>
      <c r="G85" s="1966">
        <v>0</v>
      </c>
      <c r="H85" s="1966"/>
      <c r="I85" s="1966">
        <v>125812</v>
      </c>
      <c r="J85" s="1988"/>
      <c r="K85" s="1966"/>
      <c r="L85" s="1966"/>
      <c r="M85" s="1966"/>
      <c r="N85" s="1966"/>
      <c r="O85" s="1966"/>
      <c r="P85" s="1988"/>
      <c r="Q85" s="1966"/>
      <c r="R85" s="1966"/>
      <c r="S85" s="1988"/>
    </row>
    <row r="86" spans="1:19" s="1949" customFormat="1" ht="13.5" customHeight="1" x14ac:dyDescent="0.2">
      <c r="A86" s="1945"/>
      <c r="B86" s="1947" t="s">
        <v>2223</v>
      </c>
      <c r="C86" s="1987">
        <v>0</v>
      </c>
      <c r="D86" s="1966"/>
      <c r="E86" s="1966">
        <v>0</v>
      </c>
      <c r="F86" s="1988"/>
      <c r="G86" s="1966">
        <v>0</v>
      </c>
      <c r="H86" s="1966"/>
      <c r="I86" s="1966">
        <v>11309</v>
      </c>
      <c r="J86" s="1988"/>
      <c r="K86" s="1966"/>
      <c r="L86" s="1966"/>
      <c r="M86" s="1966"/>
      <c r="N86" s="1966"/>
      <c r="O86" s="1966"/>
      <c r="P86" s="1988"/>
      <c r="Q86" s="1966"/>
      <c r="R86" s="1966"/>
      <c r="S86" s="1988"/>
    </row>
    <row r="87" spans="1:19" s="1949" customFormat="1" ht="13.5" customHeight="1" x14ac:dyDescent="0.2">
      <c r="A87" s="1945"/>
      <c r="B87" s="1947" t="s">
        <v>2224</v>
      </c>
      <c r="C87" s="1987">
        <v>908</v>
      </c>
      <c r="D87" s="1966"/>
      <c r="E87" s="1966">
        <v>0</v>
      </c>
      <c r="F87" s="1988"/>
      <c r="G87" s="1966">
        <v>0</v>
      </c>
      <c r="H87" s="1966"/>
      <c r="I87" s="1966">
        <v>111456</v>
      </c>
      <c r="J87" s="1988"/>
      <c r="K87" s="1966"/>
      <c r="L87" s="1966"/>
      <c r="M87" s="1966"/>
      <c r="N87" s="1966"/>
      <c r="O87" s="1966"/>
      <c r="P87" s="1988"/>
      <c r="Q87" s="1966"/>
      <c r="R87" s="1966"/>
      <c r="S87" s="1988"/>
    </row>
    <row r="88" spans="1:19" s="1949" customFormat="1" ht="13.5" customHeight="1" x14ac:dyDescent="0.2">
      <c r="A88" s="1945"/>
      <c r="B88" s="1947" t="s">
        <v>2225</v>
      </c>
      <c r="C88" s="1987">
        <v>0</v>
      </c>
      <c r="D88" s="1966"/>
      <c r="E88" s="1966">
        <v>0</v>
      </c>
      <c r="F88" s="1988"/>
      <c r="G88" s="1966">
        <v>13338</v>
      </c>
      <c r="H88" s="1966"/>
      <c r="I88" s="1966">
        <f>84007</f>
        <v>84007</v>
      </c>
      <c r="J88" s="1988"/>
      <c r="K88" s="1966"/>
      <c r="L88" s="1966"/>
      <c r="M88" s="1966"/>
      <c r="N88" s="1966"/>
      <c r="O88" s="1966"/>
      <c r="P88" s="1988"/>
      <c r="Q88" s="1966"/>
      <c r="R88" s="1966"/>
      <c r="S88" s="1988"/>
    </row>
    <row r="89" spans="1:19" s="1949" customFormat="1" ht="13.5" customHeight="1" x14ac:dyDescent="0.2">
      <c r="A89" s="1945"/>
      <c r="B89" s="1947" t="s">
        <v>2226</v>
      </c>
      <c r="C89" s="1987">
        <v>0</v>
      </c>
      <c r="D89" s="1966"/>
      <c r="E89" s="1966">
        <v>0</v>
      </c>
      <c r="F89" s="1988"/>
      <c r="G89" s="1966">
        <v>0</v>
      </c>
      <c r="H89" s="1966"/>
      <c r="I89" s="1966">
        <v>102049</v>
      </c>
      <c r="J89" s="1988"/>
      <c r="K89" s="1966"/>
      <c r="L89" s="1966"/>
      <c r="M89" s="1966"/>
      <c r="N89" s="1966"/>
      <c r="O89" s="1966"/>
      <c r="P89" s="1988"/>
      <c r="Q89" s="1966"/>
      <c r="R89" s="1966"/>
      <c r="S89" s="1988"/>
    </row>
    <row r="90" spans="1:19" s="1949" customFormat="1" ht="13.5" customHeight="1" x14ac:dyDescent="0.2">
      <c r="A90" s="1945"/>
      <c r="B90" s="1947" t="s">
        <v>2227</v>
      </c>
      <c r="C90" s="1989">
        <v>0</v>
      </c>
      <c r="D90" s="1966"/>
      <c r="E90" s="1974">
        <v>39435</v>
      </c>
      <c r="F90" s="1988"/>
      <c r="G90" s="1974">
        <v>0</v>
      </c>
      <c r="H90" s="1966"/>
      <c r="I90" s="1974">
        <v>338780</v>
      </c>
      <c r="J90" s="1988"/>
      <c r="K90" s="1966"/>
      <c r="L90" s="1966"/>
      <c r="M90" s="1966"/>
      <c r="N90" s="1966"/>
      <c r="O90" s="1966"/>
      <c r="P90" s="1988"/>
      <c r="Q90" s="1966"/>
      <c r="R90" s="1966"/>
      <c r="S90" s="1988"/>
    </row>
    <row r="91" spans="1:19" s="1949" customFormat="1" ht="13.5" customHeight="1" x14ac:dyDescent="0.2">
      <c r="A91" s="1945"/>
      <c r="B91" s="1947"/>
      <c r="C91" s="1989">
        <f>SUM(C70:C90)</f>
        <v>19688</v>
      </c>
      <c r="D91" s="1966"/>
      <c r="E91" s="1974">
        <f>SUM(E70:E90)</f>
        <v>273214</v>
      </c>
      <c r="F91" s="1988"/>
      <c r="G91" s="1974">
        <f>SUM(G70:G90)</f>
        <v>182421</v>
      </c>
      <c r="H91" s="1966"/>
      <c r="I91" s="1974">
        <f>SUM(I70:I90)</f>
        <v>2638347</v>
      </c>
      <c r="J91" s="1988"/>
      <c r="K91" s="1966"/>
      <c r="L91" s="1966"/>
      <c r="M91" s="1966"/>
      <c r="N91" s="1966"/>
      <c r="O91" s="1966"/>
      <c r="P91" s="1988"/>
      <c r="Q91" s="1966"/>
      <c r="R91" s="1966"/>
      <c r="S91" s="1988"/>
    </row>
    <row r="92" spans="1:19" s="1949" customFormat="1" ht="13.5" customHeight="1" x14ac:dyDescent="0.2">
      <c r="A92" s="1945"/>
      <c r="B92" s="1947"/>
      <c r="C92" s="1990"/>
      <c r="E92" s="1949" t="s">
        <v>1169</v>
      </c>
      <c r="F92" s="1986"/>
      <c r="G92" s="1984"/>
      <c r="H92" s="1984"/>
      <c r="I92" s="1984"/>
      <c r="J92" s="1985"/>
      <c r="K92" s="1984"/>
      <c r="L92" s="1984"/>
      <c r="M92" s="1984"/>
      <c r="N92" s="1984"/>
      <c r="O92" s="1984"/>
      <c r="P92" s="1985"/>
      <c r="Q92" s="1984"/>
      <c r="R92" s="1984"/>
      <c r="S92" s="1985"/>
    </row>
    <row r="93" spans="1:19" s="1949" customFormat="1" ht="15" x14ac:dyDescent="0.2">
      <c r="A93" s="1967" t="s">
        <v>2228</v>
      </c>
      <c r="C93" s="1990"/>
      <c r="F93" s="1986"/>
      <c r="G93" s="1984" t="s">
        <v>1169</v>
      </c>
      <c r="H93" s="1984"/>
      <c r="I93" s="1984"/>
      <c r="J93" s="1985"/>
      <c r="K93" s="1984"/>
      <c r="L93" s="1984"/>
      <c r="M93" s="1984"/>
      <c r="N93" s="1984"/>
      <c r="O93" s="1984"/>
      <c r="P93" s="1985"/>
      <c r="Q93" s="1984"/>
      <c r="R93" s="1984"/>
      <c r="S93" s="1985"/>
    </row>
    <row r="94" spans="1:19" x14ac:dyDescent="0.2">
      <c r="C94" s="1991"/>
      <c r="G94" s="1992" t="s">
        <v>1169</v>
      </c>
      <c r="H94" s="1992"/>
      <c r="I94" s="1992"/>
      <c r="J94" s="1993"/>
      <c r="K94" s="1992"/>
      <c r="L94" s="1992"/>
      <c r="M94" s="1992"/>
      <c r="N94" s="1992"/>
      <c r="O94" s="1992"/>
      <c r="P94" s="1993"/>
      <c r="Q94" s="1992"/>
      <c r="R94" s="1992"/>
      <c r="S94" s="1993"/>
    </row>
    <row r="95" spans="1:19" x14ac:dyDescent="0.2">
      <c r="C95" s="1991"/>
      <c r="G95" s="1992" t="s">
        <v>1169</v>
      </c>
      <c r="H95" s="1992"/>
      <c r="I95" s="1992"/>
      <c r="J95" s="1993"/>
      <c r="K95" s="1992"/>
      <c r="L95" s="1992"/>
      <c r="M95" s="1992"/>
      <c r="N95" s="1992"/>
      <c r="O95" s="1992"/>
      <c r="P95" s="1993"/>
      <c r="Q95" s="1992"/>
      <c r="R95" s="1992"/>
      <c r="S95" s="1993"/>
    </row>
    <row r="96" spans="1:19" x14ac:dyDescent="0.2">
      <c r="C96" s="1991"/>
      <c r="G96" s="1992"/>
      <c r="H96" s="1992"/>
      <c r="I96" s="1992"/>
      <c r="J96" s="1993"/>
      <c r="K96" s="1992"/>
      <c r="L96" s="1992"/>
      <c r="M96" s="1992"/>
      <c r="N96" s="1992"/>
      <c r="O96" s="1992"/>
      <c r="P96" s="1993"/>
      <c r="Q96" s="1992"/>
      <c r="R96" s="1992"/>
      <c r="S96" s="1993"/>
    </row>
    <row r="97" spans="1:19" s="1995" customFormat="1" x14ac:dyDescent="0.2">
      <c r="A97" s="1994"/>
      <c r="C97" s="1996"/>
      <c r="F97" s="1997"/>
      <c r="G97" s="1998"/>
      <c r="H97" s="1998"/>
      <c r="I97" s="1998"/>
      <c r="J97" s="1999"/>
      <c r="K97" s="1998"/>
      <c r="L97" s="1998"/>
      <c r="M97" s="1998"/>
      <c r="N97" s="1998"/>
      <c r="O97" s="1998"/>
      <c r="P97" s="1999"/>
      <c r="Q97" s="1998"/>
      <c r="R97" s="1998"/>
      <c r="S97" s="1999"/>
    </row>
    <row r="98" spans="1:19" s="2000" customFormat="1" ht="13.5" customHeight="1" x14ac:dyDescent="0.2">
      <c r="A98" s="2515" t="s">
        <v>2229</v>
      </c>
      <c r="B98" s="2515"/>
      <c r="C98" s="2515"/>
      <c r="D98" s="2515"/>
      <c r="E98" s="2515"/>
      <c r="F98" s="2515"/>
      <c r="G98" s="2515"/>
      <c r="H98" s="2515"/>
      <c r="I98" s="2515"/>
      <c r="J98" s="2515"/>
      <c r="K98" s="2515"/>
      <c r="L98" s="2515"/>
      <c r="M98" s="2515"/>
      <c r="S98" s="2001"/>
    </row>
    <row r="99" spans="1:19" s="2000" customFormat="1" ht="13.5" customHeight="1" x14ac:dyDescent="0.2">
      <c r="A99" s="2516" t="s">
        <v>2230</v>
      </c>
      <c r="B99" s="2516"/>
      <c r="C99" s="2516"/>
      <c r="D99" s="2516"/>
      <c r="E99" s="2516"/>
      <c r="F99" s="2516"/>
      <c r="G99" s="2516"/>
      <c r="H99" s="2516"/>
      <c r="I99" s="2516"/>
      <c r="J99" s="2516"/>
      <c r="K99" s="2516"/>
      <c r="L99" s="2516"/>
      <c r="M99" s="2516"/>
      <c r="S99" s="2001"/>
    </row>
    <row r="100" spans="1:19" s="2000" customFormat="1" ht="13.5" customHeight="1" x14ac:dyDescent="0.2">
      <c r="A100" s="2515" t="s">
        <v>2231</v>
      </c>
      <c r="B100" s="2515"/>
      <c r="C100" s="2515"/>
      <c r="D100" s="2515"/>
      <c r="E100" s="2515"/>
      <c r="F100" s="2515"/>
      <c r="G100" s="2515"/>
      <c r="H100" s="2515"/>
      <c r="I100" s="2515"/>
      <c r="J100" s="2515"/>
      <c r="K100" s="2515"/>
      <c r="L100" s="2515"/>
      <c r="M100" s="2515"/>
      <c r="S100" s="2001"/>
    </row>
    <row r="101" spans="1:19" s="2000" customFormat="1" ht="13.5" customHeight="1" x14ac:dyDescent="0.2">
      <c r="A101" s="2002" t="s">
        <v>2232</v>
      </c>
      <c r="B101" s="2002"/>
      <c r="C101" s="2002"/>
      <c r="D101" s="2002"/>
      <c r="E101" s="2002"/>
      <c r="F101" s="2002"/>
      <c r="G101" s="2002"/>
      <c r="H101" s="2002"/>
      <c r="I101" s="2002"/>
      <c r="J101" s="2002"/>
      <c r="K101" s="2002"/>
      <c r="L101" s="2002"/>
      <c r="M101" s="2002"/>
      <c r="S101" s="2001"/>
    </row>
    <row r="102" spans="1:19" s="2000" customFormat="1" ht="13.5" customHeight="1" x14ac:dyDescent="0.2">
      <c r="A102" s="2003" t="s">
        <v>2233</v>
      </c>
      <c r="B102" s="2004"/>
      <c r="C102" s="2005"/>
      <c r="D102" s="2006"/>
      <c r="E102" s="2006"/>
      <c r="F102" s="2006"/>
      <c r="G102" s="2006"/>
      <c r="H102" s="2006"/>
      <c r="I102" s="2006"/>
      <c r="J102" s="2006"/>
      <c r="S102" s="2001"/>
    </row>
    <row r="103" spans="1:19" s="2000" customFormat="1" ht="13.5" customHeight="1" x14ac:dyDescent="0.2">
      <c r="A103" s="2003" t="s">
        <v>2234</v>
      </c>
      <c r="B103" s="2004"/>
      <c r="C103" s="2005"/>
      <c r="D103" s="2006"/>
      <c r="E103" s="2006"/>
      <c r="F103" s="2006"/>
      <c r="G103" s="2006"/>
      <c r="H103" s="2006"/>
      <c r="I103" s="2006"/>
      <c r="J103" s="2006"/>
      <c r="S103" s="2001"/>
    </row>
    <row r="104" spans="1:19" s="2000" customFormat="1" ht="13.5" customHeight="1" x14ac:dyDescent="0.2">
      <c r="A104" s="2006" t="s">
        <v>2235</v>
      </c>
      <c r="B104" s="2007"/>
      <c r="C104" s="2008"/>
      <c r="S104" s="2001"/>
    </row>
    <row r="105" spans="1:19" s="2000" customFormat="1" ht="13.5" customHeight="1" x14ac:dyDescent="0.2">
      <c r="A105" s="2006" t="s">
        <v>2236</v>
      </c>
      <c r="B105" s="2007"/>
      <c r="C105" s="2008"/>
      <c r="S105" s="2001"/>
    </row>
    <row r="106" spans="1:19" s="2000" customFormat="1" ht="13.5" customHeight="1" x14ac:dyDescent="0.2">
      <c r="A106" s="2006" t="s">
        <v>2237</v>
      </c>
      <c r="B106" s="2007"/>
      <c r="C106" s="2008"/>
      <c r="S106" s="2001"/>
    </row>
    <row r="107" spans="1:19" s="2009" customFormat="1" ht="13.5" customHeight="1" x14ac:dyDescent="0.15">
      <c r="B107" s="2010"/>
      <c r="C107" s="2011"/>
      <c r="F107" s="2012"/>
      <c r="G107" s="2012"/>
      <c r="H107" s="2012"/>
      <c r="I107" s="2012"/>
      <c r="J107" s="2013"/>
      <c r="S107" s="2012"/>
    </row>
  </sheetData>
  <mergeCells count="10">
    <mergeCell ref="A100:M100"/>
    <mergeCell ref="A4:S4"/>
    <mergeCell ref="A5:S5"/>
    <mergeCell ref="A6:S6"/>
    <mergeCell ref="A7:S7"/>
    <mergeCell ref="A26:B26"/>
    <mergeCell ref="C67:E67"/>
    <mergeCell ref="G67:I67"/>
    <mergeCell ref="A98:M98"/>
    <mergeCell ref="A99:M99"/>
  </mergeCells>
  <printOptions gridLinesSet="0"/>
  <pageMargins left="0.25" right="0.25" top="0.5" bottom="0" header="0.5" footer="0"/>
  <pageSetup scale="63" fitToHeight="5" orientation="landscape" r:id="rId1"/>
  <headerFooter alignWithMargins="0">
    <oddFooter xml:space="preserve">&amp;L&amp;"Times New Roman,Regular"See accompanying notes to the Schedule of Expenditures of Federal Awards
</oddFooter>
  </headerFooter>
  <rowBreaks count="3" manualBreakCount="3">
    <brk id="60" max="18" man="1"/>
    <brk id="61" max="18" man="1"/>
    <brk id="67"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27" t="s">
        <v>1168</v>
      </c>
      <c r="B2" s="2127"/>
      <c r="C2" s="2127"/>
      <c r="D2" s="2127"/>
      <c r="E2" s="2127"/>
      <c r="F2" s="2127"/>
      <c r="G2" s="2127"/>
      <c r="H2" s="2127"/>
      <c r="I2" s="2127"/>
      <c r="J2" s="212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41" t="s">
        <v>1633</v>
      </c>
      <c r="B35" s="2142"/>
      <c r="C35" s="2142"/>
      <c r="D35" s="2142"/>
      <c r="E35" s="2143"/>
      <c r="F35" s="2143"/>
      <c r="G35" s="2143"/>
      <c r="H35" s="2143"/>
      <c r="I35" s="214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41" t="s">
        <v>313</v>
      </c>
      <c r="B47" s="2144"/>
      <c r="C47" s="2144"/>
      <c r="D47" s="2144"/>
      <c r="E47" s="2145"/>
      <c r="F47" s="2145"/>
      <c r="G47" s="2145"/>
      <c r="H47" s="2145"/>
      <c r="I47" s="214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48"/>
      <c r="C57" s="2149"/>
      <c r="D57" s="2149"/>
      <c r="E57" s="2149"/>
      <c r="F57" s="2149"/>
      <c r="G57" s="2149"/>
      <c r="H57" s="2149"/>
      <c r="I57" s="2149"/>
      <c r="J57" s="2150"/>
    </row>
    <row r="58" spans="1:10" s="181" customFormat="1" x14ac:dyDescent="0.2">
      <c r="A58" s="253"/>
      <c r="B58" s="2151"/>
      <c r="C58" s="2152"/>
      <c r="D58" s="2152"/>
      <c r="E58" s="2152"/>
      <c r="F58" s="2152"/>
      <c r="G58" s="2152"/>
      <c r="H58" s="2152"/>
      <c r="I58" s="2152"/>
      <c r="J58" s="2153"/>
    </row>
    <row r="59" spans="1:10" s="181" customFormat="1" x14ac:dyDescent="0.2">
      <c r="A59" s="253"/>
      <c r="B59" s="2151"/>
      <c r="C59" s="2152"/>
      <c r="D59" s="2152"/>
      <c r="E59" s="2152"/>
      <c r="F59" s="2152"/>
      <c r="G59" s="2152"/>
      <c r="H59" s="2152"/>
      <c r="I59" s="2152"/>
      <c r="J59" s="2153"/>
    </row>
    <row r="60" spans="1:10" s="181" customFormat="1" x14ac:dyDescent="0.2">
      <c r="A60" s="253"/>
      <c r="B60" s="2151"/>
      <c r="C60" s="2152"/>
      <c r="D60" s="2152"/>
      <c r="E60" s="2152"/>
      <c r="F60" s="2152"/>
      <c r="G60" s="2152"/>
      <c r="H60" s="2152"/>
      <c r="I60" s="2152"/>
      <c r="J60" s="2153"/>
    </row>
    <row r="61" spans="1:10" s="181" customFormat="1" x14ac:dyDescent="0.2">
      <c r="A61" s="253"/>
      <c r="B61" s="2151"/>
      <c r="C61" s="2152"/>
      <c r="D61" s="2152"/>
      <c r="E61" s="2152"/>
      <c r="F61" s="2152"/>
      <c r="G61" s="2152"/>
      <c r="H61" s="2152"/>
      <c r="I61" s="2152"/>
      <c r="J61" s="2153"/>
    </row>
    <row r="62" spans="1:10" s="181" customFormat="1" x14ac:dyDescent="0.2">
      <c r="A62" s="253"/>
      <c r="B62" s="2151"/>
      <c r="C62" s="2152"/>
      <c r="D62" s="2152"/>
      <c r="E62" s="2152"/>
      <c r="F62" s="2152"/>
      <c r="G62" s="2152"/>
      <c r="H62" s="2152"/>
      <c r="I62" s="2152"/>
      <c r="J62" s="2153"/>
    </row>
    <row r="63" spans="1:10" s="181" customFormat="1" x14ac:dyDescent="0.2">
      <c r="A63" s="253"/>
      <c r="B63" s="2151"/>
      <c r="C63" s="2152"/>
      <c r="D63" s="2152"/>
      <c r="E63" s="2152"/>
      <c r="F63" s="2152"/>
      <c r="G63" s="2152"/>
      <c r="H63" s="2152"/>
      <c r="I63" s="2152"/>
      <c r="J63" s="2153"/>
    </row>
    <row r="64" spans="1:10" s="181" customFormat="1" x14ac:dyDescent="0.2">
      <c r="A64" s="253"/>
      <c r="B64" s="2151"/>
      <c r="C64" s="2152"/>
      <c r="D64" s="2152"/>
      <c r="E64" s="2152"/>
      <c r="F64" s="2152"/>
      <c r="G64" s="2152"/>
      <c r="H64" s="2152"/>
      <c r="I64" s="2152"/>
      <c r="J64" s="2153"/>
    </row>
    <row r="65" spans="1:10" s="181" customFormat="1" x14ac:dyDescent="0.2">
      <c r="A65" s="253"/>
      <c r="B65" s="2151"/>
      <c r="C65" s="2152"/>
      <c r="D65" s="2152"/>
      <c r="E65" s="2152"/>
      <c r="F65" s="2152"/>
      <c r="G65" s="2152"/>
      <c r="H65" s="2152"/>
      <c r="I65" s="2152"/>
      <c r="J65" s="2153"/>
    </row>
    <row r="66" spans="1:10" s="181" customFormat="1" x14ac:dyDescent="0.2">
      <c r="A66" s="253"/>
      <c r="B66" s="2151"/>
      <c r="C66" s="2152"/>
      <c r="D66" s="2152"/>
      <c r="E66" s="2152"/>
      <c r="F66" s="2152"/>
      <c r="G66" s="2152"/>
      <c r="H66" s="2152"/>
      <c r="I66" s="2152"/>
      <c r="J66" s="2153"/>
    </row>
    <row r="67" spans="1:10" s="181" customFormat="1" ht="9" customHeight="1" x14ac:dyDescent="0.2">
      <c r="A67" s="254"/>
      <c r="B67" s="2154"/>
      <c r="C67" s="2155"/>
      <c r="D67" s="2155"/>
      <c r="E67" s="2155"/>
      <c r="F67" s="2155"/>
      <c r="G67" s="2155"/>
      <c r="H67" s="2155"/>
      <c r="I67" s="2155"/>
      <c r="J67" s="215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41" t="s">
        <v>1323</v>
      </c>
      <c r="B70" s="2144"/>
      <c r="C70" s="2144"/>
      <c r="D70" s="2144"/>
      <c r="E70" s="2145"/>
      <c r="F70" s="2145"/>
      <c r="G70" s="2145"/>
      <c r="H70" s="2145"/>
      <c r="I70" s="214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46" t="s">
        <v>1320</v>
      </c>
      <c r="B83" s="2146"/>
      <c r="C83" s="2146"/>
      <c r="D83" s="214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28"/>
      <c r="C102" s="2129"/>
      <c r="D102" s="2129"/>
      <c r="E102" s="2129"/>
      <c r="F102" s="2129"/>
      <c r="G102" s="2129"/>
      <c r="H102" s="2129"/>
      <c r="I102" s="2130"/>
    </row>
    <row r="103" spans="1:9" s="181" customFormat="1" ht="11.25" customHeight="1" x14ac:dyDescent="0.2">
      <c r="A103" s="316"/>
      <c r="B103" s="2131"/>
      <c r="C103" s="2132"/>
      <c r="D103" s="2132"/>
      <c r="E103" s="2132"/>
      <c r="F103" s="2132"/>
      <c r="G103" s="2132"/>
      <c r="H103" s="2132"/>
      <c r="I103" s="2133"/>
    </row>
    <row r="104" spans="1:9" s="181" customFormat="1" ht="11.25" customHeight="1" x14ac:dyDescent="0.2">
      <c r="A104" s="316"/>
      <c r="B104" s="2131"/>
      <c r="C104" s="2132"/>
      <c r="D104" s="2132"/>
      <c r="E104" s="2132"/>
      <c r="F104" s="2132"/>
      <c r="G104" s="2132"/>
      <c r="H104" s="2132"/>
      <c r="I104" s="2133"/>
    </row>
    <row r="105" spans="1:9" s="181" customFormat="1" x14ac:dyDescent="0.2">
      <c r="A105" s="316"/>
      <c r="B105" s="2131"/>
      <c r="C105" s="2132"/>
      <c r="D105" s="2132"/>
      <c r="E105" s="2132"/>
      <c r="F105" s="2132"/>
      <c r="G105" s="2132"/>
      <c r="H105" s="2132"/>
      <c r="I105" s="2133"/>
    </row>
    <row r="106" spans="1:9" s="181" customFormat="1" ht="11.25" customHeight="1" x14ac:dyDescent="0.2">
      <c r="A106" s="316"/>
      <c r="B106" s="2131"/>
      <c r="C106" s="2132"/>
      <c r="D106" s="2132"/>
      <c r="E106" s="2132"/>
      <c r="F106" s="2132"/>
      <c r="G106" s="2132"/>
      <c r="H106" s="2132"/>
      <c r="I106" s="2133"/>
    </row>
    <row r="107" spans="1:9" s="181" customFormat="1" ht="11.25" customHeight="1" x14ac:dyDescent="0.2">
      <c r="A107" s="316"/>
      <c r="B107" s="2131"/>
      <c r="C107" s="2132"/>
      <c r="D107" s="2132"/>
      <c r="E107" s="2132"/>
      <c r="F107" s="2132"/>
      <c r="G107" s="2132"/>
      <c r="H107" s="2132"/>
      <c r="I107" s="2133"/>
    </row>
    <row r="108" spans="1:9" s="181" customFormat="1" ht="11.25" customHeight="1" x14ac:dyDescent="0.2">
      <c r="A108" s="316"/>
      <c r="B108" s="2131"/>
      <c r="C108" s="2132"/>
      <c r="D108" s="2132"/>
      <c r="E108" s="2132"/>
      <c r="F108" s="2132"/>
      <c r="G108" s="2132"/>
      <c r="H108" s="2132"/>
      <c r="I108" s="2133"/>
    </row>
    <row r="109" spans="1:9" s="181" customFormat="1" ht="11.25" customHeight="1" x14ac:dyDescent="0.2">
      <c r="A109" s="316"/>
      <c r="B109" s="2131"/>
      <c r="C109" s="2132"/>
      <c r="D109" s="2132"/>
      <c r="E109" s="2132"/>
      <c r="F109" s="2132"/>
      <c r="G109" s="2132"/>
      <c r="H109" s="2132"/>
      <c r="I109" s="2133"/>
    </row>
    <row r="110" spans="1:9" s="181" customFormat="1" ht="11.25" customHeight="1" x14ac:dyDescent="0.2">
      <c r="A110" s="316"/>
      <c r="B110" s="2131"/>
      <c r="C110" s="2132"/>
      <c r="D110" s="2132"/>
      <c r="E110" s="2132"/>
      <c r="F110" s="2132"/>
      <c r="G110" s="2132"/>
      <c r="H110" s="2132"/>
      <c r="I110" s="2133"/>
    </row>
    <row r="111" spans="1:9" s="181" customFormat="1" ht="11.25" customHeight="1" x14ac:dyDescent="0.2">
      <c r="A111" s="316"/>
      <c r="B111" s="2131"/>
      <c r="C111" s="2132"/>
      <c r="D111" s="2132"/>
      <c r="E111" s="2132"/>
      <c r="F111" s="2132"/>
      <c r="G111" s="2132"/>
      <c r="H111" s="2132"/>
      <c r="I111" s="2133"/>
    </row>
    <row r="112" spans="1:9" s="181" customFormat="1" ht="11.25" customHeight="1" x14ac:dyDescent="0.2">
      <c r="A112" s="316"/>
      <c r="B112" s="2134"/>
      <c r="C112" s="2135"/>
      <c r="D112" s="2135"/>
      <c r="E112" s="2135"/>
      <c r="F112" s="2135"/>
      <c r="G112" s="2135"/>
      <c r="H112" s="2135"/>
      <c r="I112" s="213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37" t="s">
        <v>2082</v>
      </c>
      <c r="D114" s="213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38" t="s">
        <v>1330</v>
      </c>
      <c r="D117" s="2139"/>
      <c r="E117" s="2140"/>
      <c r="F117" s="2140"/>
      <c r="G117" s="2140"/>
      <c r="H117" s="2140"/>
      <c r="I117" s="304"/>
    </row>
    <row r="118" spans="1:9" s="181" customFormat="1" ht="24" customHeight="1" x14ac:dyDescent="0.2">
      <c r="A118" s="316"/>
      <c r="B118" s="316"/>
      <c r="C118" s="316"/>
      <c r="D118" s="323" t="s">
        <v>2238</v>
      </c>
      <c r="E118" s="322"/>
      <c r="F118" s="324"/>
      <c r="G118" s="1837"/>
      <c r="H118" s="322"/>
      <c r="I118" s="304"/>
    </row>
    <row r="119" spans="1:9" s="181" customFormat="1" ht="11.25" customHeight="1" x14ac:dyDescent="0.2">
      <c r="A119" s="325"/>
      <c r="B119" s="325"/>
      <c r="C119" s="326"/>
      <c r="D119" s="327" t="s">
        <v>361</v>
      </c>
      <c r="E119" s="310"/>
      <c r="F119" s="1836" t="s">
        <v>1903</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528" t="str">
        <f>'Single Audit Cover'!A7</f>
        <v>Tazewell Mason Cntys Sp Ed Assoc</v>
      </c>
      <c r="B1" s="2528"/>
      <c r="C1" s="2528"/>
      <c r="D1" s="2528"/>
      <c r="E1" s="2528"/>
      <c r="F1" s="2528"/>
    </row>
    <row r="2" spans="1:7" ht="13.5" customHeight="1" x14ac:dyDescent="0.2">
      <c r="A2" s="2507">
        <f>'Single Audit Cover'!E7</f>
        <v>53090309061</v>
      </c>
      <c r="B2" s="2507"/>
      <c r="C2" s="2507"/>
      <c r="D2" s="2507"/>
      <c r="E2" s="2507"/>
      <c r="F2" s="2507"/>
      <c r="G2" s="1269"/>
    </row>
    <row r="3" spans="1:7" ht="15.75" customHeight="1" x14ac:dyDescent="0.2">
      <c r="A3" s="2529" t="s">
        <v>1271</v>
      </c>
      <c r="B3" s="2529"/>
      <c r="C3" s="2529"/>
      <c r="D3" s="2529"/>
      <c r="E3" s="2529"/>
      <c r="F3" s="2529"/>
    </row>
    <row r="4" spans="1:7" ht="13.5" customHeight="1" x14ac:dyDescent="0.2">
      <c r="A4" s="2530" t="str">
        <f>'Single Audit Cover'!A4</f>
        <v>Year Ending June 30, 2019</v>
      </c>
      <c r="B4" s="2530"/>
      <c r="C4" s="2530"/>
      <c r="D4" s="2530"/>
      <c r="E4" s="2530"/>
      <c r="F4" s="2530"/>
    </row>
    <row r="5" spans="1:7" ht="8.25" customHeight="1" x14ac:dyDescent="0.2">
      <c r="C5" s="317"/>
      <c r="D5" s="317"/>
    </row>
    <row r="6" spans="1:7" ht="13.5" customHeight="1" x14ac:dyDescent="0.2">
      <c r="A6" s="1270" t="s">
        <v>1728</v>
      </c>
      <c r="C6" s="317"/>
      <c r="D6" s="317"/>
    </row>
    <row r="7" spans="1:7" ht="60.95" customHeight="1" x14ac:dyDescent="0.2">
      <c r="A7" s="2527" t="s">
        <v>2107</v>
      </c>
      <c r="B7" s="2527"/>
      <c r="C7" s="2527"/>
      <c r="D7" s="2527"/>
      <c r="E7" s="2527"/>
      <c r="F7" s="2527"/>
    </row>
    <row r="8" spans="1:7" ht="12" customHeight="1" x14ac:dyDescent="0.2">
      <c r="A8" s="1270"/>
      <c r="B8" s="1276"/>
      <c r="C8" s="1276"/>
      <c r="D8" s="1276"/>
    </row>
    <row r="9" spans="1:7" ht="15" customHeight="1" x14ac:dyDescent="0.2">
      <c r="A9" s="1271" t="s">
        <v>1729</v>
      </c>
      <c r="B9" s="1274"/>
      <c r="C9" s="1274"/>
      <c r="D9" s="1274"/>
      <c r="E9" s="1272"/>
      <c r="F9" s="1272"/>
      <c r="G9" s="1272"/>
    </row>
    <row r="10" spans="1:7" ht="15" customHeight="1" x14ac:dyDescent="0.2">
      <c r="A10" s="1273" t="s">
        <v>1547</v>
      </c>
      <c r="B10" s="1274"/>
      <c r="C10" s="1275"/>
      <c r="D10" s="1274" t="s">
        <v>1548</v>
      </c>
      <c r="E10" s="1275" t="s">
        <v>2108</v>
      </c>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527" t="s">
        <v>2110</v>
      </c>
      <c r="B13" s="2527"/>
      <c r="C13" s="2527"/>
      <c r="D13" s="2527"/>
      <c r="E13" s="2527"/>
      <c r="F13" s="2527"/>
    </row>
    <row r="14" spans="1:7" ht="9.75" customHeight="1" x14ac:dyDescent="0.2">
      <c r="C14" s="1254"/>
      <c r="D14" s="1254"/>
    </row>
    <row r="15" spans="1:7" ht="13.5" customHeight="1" x14ac:dyDescent="0.2">
      <c r="C15" s="1843" t="s">
        <v>1270</v>
      </c>
      <c r="D15" s="2525" t="s">
        <v>1269</v>
      </c>
      <c r="E15" s="2525"/>
      <c r="F15" s="2525"/>
    </row>
    <row r="16" spans="1:7" ht="13.5" customHeight="1" x14ac:dyDescent="0.2">
      <c r="A16" s="1276"/>
      <c r="B16" s="1270" t="s">
        <v>1268</v>
      </c>
      <c r="C16" s="1843" t="s">
        <v>1267</v>
      </c>
      <c r="D16" s="2526" t="s">
        <v>1588</v>
      </c>
      <c r="E16" s="2526"/>
      <c r="F16" s="2526"/>
    </row>
    <row r="17" spans="1:6" ht="20.45" customHeight="1" x14ac:dyDescent="0.2">
      <c r="A17" s="1277"/>
      <c r="B17" s="1278" t="s">
        <v>2109</v>
      </c>
      <c r="C17" s="1279">
        <v>84.173000000000002</v>
      </c>
      <c r="D17" s="2520" t="s">
        <v>2111</v>
      </c>
      <c r="E17" s="2520"/>
      <c r="F17" s="2520"/>
    </row>
    <row r="18" spans="1:6" ht="20.65" customHeight="1" x14ac:dyDescent="0.2">
      <c r="A18" s="1277"/>
      <c r="B18" s="1278" t="s">
        <v>2112</v>
      </c>
      <c r="C18" s="1279">
        <v>84.173000000000002</v>
      </c>
      <c r="D18" s="2520" t="s">
        <v>2113</v>
      </c>
      <c r="E18" s="2520"/>
      <c r="F18" s="2520"/>
    </row>
    <row r="19" spans="1:6" ht="20.65" customHeight="1" x14ac:dyDescent="0.2">
      <c r="A19" s="1277"/>
      <c r="B19" s="1278" t="s">
        <v>2114</v>
      </c>
      <c r="C19" s="1279">
        <v>84.027000000000001</v>
      </c>
      <c r="D19" s="2520" t="s">
        <v>2115</v>
      </c>
      <c r="E19" s="2520"/>
      <c r="F19" s="2520"/>
    </row>
    <row r="20" spans="1:6" ht="20.65" customHeight="1" x14ac:dyDescent="0.2">
      <c r="A20" s="1277"/>
      <c r="B20" s="1278" t="s">
        <v>2116</v>
      </c>
      <c r="C20" s="1279">
        <v>84.027000000000001</v>
      </c>
      <c r="D20" s="2520" t="s">
        <v>2117</v>
      </c>
      <c r="E20" s="2520"/>
      <c r="F20" s="2520"/>
    </row>
    <row r="21" spans="1:6" ht="20.65" customHeight="1" x14ac:dyDescent="0.2">
      <c r="A21" s="1277"/>
      <c r="B21" s="1278"/>
      <c r="C21" s="1279"/>
      <c r="D21" s="2520"/>
      <c r="E21" s="2520"/>
      <c r="F21" s="2520"/>
    </row>
    <row r="22" spans="1:6" ht="20.65" customHeight="1" x14ac:dyDescent="0.2">
      <c r="A22" s="1277"/>
      <c r="B22" s="1278" t="s">
        <v>2118</v>
      </c>
      <c r="C22" s="1279"/>
      <c r="D22" s="2520"/>
      <c r="E22" s="2520"/>
      <c r="F22" s="2520"/>
    </row>
    <row r="23" spans="1:6" ht="20.65" customHeight="1" x14ac:dyDescent="0.2">
      <c r="A23" s="1277"/>
      <c r="B23" s="1278"/>
      <c r="C23" s="1279"/>
      <c r="D23" s="2520"/>
      <c r="E23" s="2520"/>
      <c r="F23" s="2520"/>
    </row>
    <row r="24" spans="1:6" ht="20.65" customHeight="1" x14ac:dyDescent="0.2">
      <c r="A24" s="1277"/>
      <c r="B24" s="1278"/>
      <c r="C24" s="1279"/>
      <c r="D24" s="2520"/>
      <c r="E24" s="2520"/>
      <c r="F24" s="2520"/>
    </row>
    <row r="25" spans="1:6" ht="20.65" customHeight="1" x14ac:dyDescent="0.2">
      <c r="A25" s="1277"/>
      <c r="B25" s="1278"/>
      <c r="C25" s="1279"/>
      <c r="D25" s="2520"/>
      <c r="E25" s="2520"/>
      <c r="F25" s="2520"/>
    </row>
    <row r="26" spans="1:6" ht="20.65" customHeight="1" x14ac:dyDescent="0.2">
      <c r="A26" s="1277"/>
      <c r="B26" s="1278"/>
      <c r="C26" s="1279"/>
      <c r="D26" s="2520"/>
      <c r="E26" s="2520"/>
      <c r="F26" s="2520"/>
    </row>
    <row r="27" spans="1:6" ht="20.65" customHeight="1" x14ac:dyDescent="0.2">
      <c r="A27" s="1277"/>
      <c r="B27" s="1278"/>
      <c r="C27" s="1279"/>
      <c r="D27" s="2520"/>
      <c r="E27" s="2520"/>
      <c r="F27" s="2520"/>
    </row>
    <row r="28" spans="1:6" ht="20.65" customHeight="1" x14ac:dyDescent="0.2">
      <c r="A28" s="1277"/>
      <c r="B28" s="1278"/>
      <c r="C28" s="1279"/>
      <c r="D28" s="2520"/>
      <c r="E28" s="2520"/>
      <c r="F28" s="2520"/>
    </row>
    <row r="29" spans="1:6" ht="20.65" customHeight="1" x14ac:dyDescent="0.2">
      <c r="A29" s="1277"/>
      <c r="B29" s="1278"/>
      <c r="C29" s="1279"/>
      <c r="D29" s="2520"/>
      <c r="E29" s="2520"/>
      <c r="F29" s="2520"/>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521" t="s">
        <v>2119</v>
      </c>
      <c r="B32" s="2521"/>
      <c r="C32" s="2521"/>
      <c r="D32" s="2521"/>
      <c r="E32" s="2521"/>
      <c r="F32" s="2521"/>
    </row>
    <row r="33" spans="1:6" ht="13.5" customHeight="1" x14ac:dyDescent="0.2">
      <c r="A33" s="328" t="s">
        <v>1434</v>
      </c>
      <c r="B33" s="328"/>
      <c r="C33" s="1282">
        <v>2566</v>
      </c>
      <c r="D33" s="1900"/>
      <c r="E33" s="1280"/>
    </row>
    <row r="34" spans="1:6" ht="13.5" customHeight="1" x14ac:dyDescent="0.2">
      <c r="A34" s="328" t="s">
        <v>1835</v>
      </c>
      <c r="B34" s="328"/>
      <c r="C34" s="1283">
        <v>0</v>
      </c>
      <c r="D34" s="1900" t="s">
        <v>1589</v>
      </c>
      <c r="E34" s="2522">
        <f>+C33+C34</f>
        <v>2566</v>
      </c>
      <c r="F34" s="2523"/>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v>0</v>
      </c>
      <c r="D38" s="1900"/>
      <c r="E38" s="1280"/>
    </row>
    <row r="39" spans="1:6" ht="14.25" customHeight="1" x14ac:dyDescent="0.2">
      <c r="A39" s="328"/>
      <c r="B39" s="328" t="s">
        <v>1436</v>
      </c>
      <c r="C39" s="1286">
        <v>0</v>
      </c>
      <c r="D39" s="1900"/>
      <c r="E39" s="1280"/>
    </row>
    <row r="40" spans="1:6" ht="14.25" customHeight="1" x14ac:dyDescent="0.2">
      <c r="A40" s="328"/>
      <c r="B40" s="328" t="s">
        <v>1437</v>
      </c>
      <c r="C40" s="1286">
        <v>0</v>
      </c>
      <c r="D40" s="1900"/>
      <c r="E40" s="1280"/>
    </row>
    <row r="41" spans="1:6" ht="14.25" customHeight="1" x14ac:dyDescent="0.2">
      <c r="A41" s="328"/>
      <c r="B41" s="328" t="s">
        <v>1438</v>
      </c>
      <c r="C41" s="1286">
        <v>0</v>
      </c>
      <c r="D41" s="1900"/>
      <c r="E41" s="1280"/>
    </row>
    <row r="42" spans="1:6" ht="14.25" customHeight="1" x14ac:dyDescent="0.2">
      <c r="A42" s="328" t="s">
        <v>1439</v>
      </c>
      <c r="B42" s="328"/>
      <c r="C42" s="1898">
        <v>0</v>
      </c>
      <c r="D42" s="1900"/>
      <c r="E42" s="1280"/>
    </row>
    <row r="43" spans="1:6" ht="14.25" customHeight="1" x14ac:dyDescent="0.2">
      <c r="A43" s="328" t="s">
        <v>1440</v>
      </c>
      <c r="B43" s="328"/>
      <c r="C43" s="1287" t="s">
        <v>2120</v>
      </c>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1730</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524" t="s">
        <v>1590</v>
      </c>
      <c r="C49" s="2524"/>
      <c r="D49" s="2524"/>
      <c r="E49" s="1393"/>
    </row>
    <row r="50" spans="1:5" s="1294" customFormat="1" ht="3.75" customHeight="1" x14ac:dyDescent="0.2">
      <c r="A50" s="1293"/>
      <c r="B50" s="1842"/>
      <c r="C50" s="1842"/>
      <c r="D50" s="1842"/>
      <c r="E50" s="1393"/>
    </row>
    <row r="51" spans="1:5" s="1294" customFormat="1" ht="20.25" customHeight="1" x14ac:dyDescent="0.2">
      <c r="A51" s="1295">
        <v>6</v>
      </c>
      <c r="B51" s="2519" t="s">
        <v>1551</v>
      </c>
      <c r="C51" s="2519"/>
      <c r="D51" s="2519"/>
    </row>
    <row r="52" spans="1:5" ht="14.25" customHeight="1" x14ac:dyDescent="0.2">
      <c r="A52" s="1295"/>
      <c r="B52" s="2519"/>
      <c r="C52" s="2519"/>
      <c r="D52" s="2519"/>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42" t="str">
        <f>'Single Audit Cover'!A7</f>
        <v>Tazewell Mason Cntys Sp Ed Assoc</v>
      </c>
      <c r="C1" s="2543"/>
      <c r="D1" s="2543"/>
      <c r="E1" s="2543"/>
      <c r="F1" s="2543"/>
      <c r="G1" s="2543"/>
      <c r="H1" s="2543"/>
      <c r="I1" s="2543"/>
      <c r="J1" s="1403"/>
    </row>
    <row r="2" spans="2:10" s="317" customFormat="1" ht="12.75" customHeight="1" x14ac:dyDescent="0.2">
      <c r="B2" s="2544">
        <f>'Single Audit Cover'!E7</f>
        <v>53090309061</v>
      </c>
      <c r="C2" s="2545"/>
      <c r="D2" s="2545"/>
      <c r="E2" s="2545"/>
      <c r="F2" s="2545"/>
      <c r="G2" s="2545"/>
      <c r="H2" s="2545"/>
      <c r="I2" s="2545"/>
      <c r="J2" s="1403"/>
    </row>
    <row r="3" spans="2:10" s="317" customFormat="1" ht="12.75" customHeight="1" x14ac:dyDescent="0.2">
      <c r="B3" s="2546" t="s">
        <v>1285</v>
      </c>
      <c r="C3" s="2547"/>
      <c r="D3" s="2547"/>
      <c r="E3" s="2547"/>
      <c r="F3" s="2547"/>
      <c r="G3" s="2547"/>
      <c r="H3" s="2547"/>
      <c r="I3" s="2547"/>
      <c r="J3" s="1404"/>
    </row>
    <row r="4" spans="2:10" s="317" customFormat="1" ht="12.75" customHeight="1" x14ac:dyDescent="0.2">
      <c r="B4" s="2546" t="str">
        <f>'Single Audit Cover'!A4</f>
        <v>Year Ending June 30, 2019</v>
      </c>
      <c r="C4" s="2547"/>
      <c r="D4" s="2547"/>
      <c r="E4" s="2547"/>
      <c r="F4" s="2547"/>
      <c r="G4" s="2547"/>
      <c r="H4" s="2547"/>
      <c r="I4" s="2547"/>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546" t="s">
        <v>1284</v>
      </c>
      <c r="C7" s="2547"/>
      <c r="D7" s="2547"/>
      <c r="E7" s="2547"/>
      <c r="F7" s="2547"/>
      <c r="G7" s="2547"/>
      <c r="H7" s="2547"/>
      <c r="I7" s="2547"/>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548" t="s">
        <v>1164</v>
      </c>
      <c r="D11" s="2548"/>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t="s">
        <v>2108</v>
      </c>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t="s">
        <v>2108</v>
      </c>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t="s">
        <v>2108</v>
      </c>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t="s">
        <v>2108</v>
      </c>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t="s">
        <v>2108</v>
      </c>
      <c r="H27" s="1294" t="s">
        <v>1276</v>
      </c>
      <c r="I27" s="1294"/>
    </row>
    <row r="28" spans="2:9" s="317" customFormat="1" ht="12.75" customHeight="1" x14ac:dyDescent="0.2">
      <c r="B28" s="1362"/>
      <c r="C28" s="1276"/>
      <c r="E28" s="1252"/>
    </row>
    <row r="29" spans="2:9" s="317" customFormat="1" ht="12.75" customHeight="1" x14ac:dyDescent="0.2">
      <c r="B29" s="1362" t="s">
        <v>1275</v>
      </c>
      <c r="C29" s="1276"/>
      <c r="D29" s="2549" t="s">
        <v>2129</v>
      </c>
      <c r="E29" s="2549"/>
      <c r="F29" s="2549"/>
      <c r="G29" s="2549"/>
      <c r="H29" s="2549"/>
      <c r="I29" s="2549"/>
    </row>
    <row r="30" spans="2:9" s="317" customFormat="1" x14ac:dyDescent="0.2">
      <c r="B30" s="1362"/>
      <c r="C30" s="322"/>
      <c r="D30" s="1414" t="s">
        <v>1745</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t="s">
        <v>2108</v>
      </c>
      <c r="H33" s="1294" t="s">
        <v>99</v>
      </c>
    </row>
    <row r="35" spans="2:9" x14ac:dyDescent="0.2">
      <c r="B35" s="1422" t="s">
        <v>1746</v>
      </c>
      <c r="C35" s="1423"/>
      <c r="D35" s="1261"/>
    </row>
    <row r="36" spans="2:9" ht="6" customHeight="1" x14ac:dyDescent="0.2">
      <c r="B36" s="1422"/>
      <c r="C36" s="1423"/>
      <c r="D36" s="1261"/>
    </row>
    <row r="37" spans="2:9" ht="17.25" customHeight="1" x14ac:dyDescent="0.2">
      <c r="B37" s="1424" t="s">
        <v>1747</v>
      </c>
      <c r="C37" s="2550" t="s">
        <v>1748</v>
      </c>
      <c r="D37" s="2551"/>
      <c r="E37" s="2551"/>
      <c r="F37" s="2552"/>
      <c r="G37" s="2550" t="s">
        <v>1592</v>
      </c>
      <c r="H37" s="2551"/>
      <c r="I37" s="2552"/>
    </row>
    <row r="38" spans="2:9" ht="16.5" customHeight="1" x14ac:dyDescent="0.2">
      <c r="B38" s="1425">
        <v>84.173000000000002</v>
      </c>
      <c r="C38" s="2538" t="s">
        <v>2130</v>
      </c>
      <c r="D38" s="2539"/>
      <c r="E38" s="2539"/>
      <c r="F38" s="2540"/>
      <c r="G38" s="2553">
        <v>292902</v>
      </c>
      <c r="H38" s="2554"/>
      <c r="I38" s="2555"/>
    </row>
    <row r="39" spans="2:9" ht="16.5" customHeight="1" x14ac:dyDescent="0.2">
      <c r="B39" s="1425">
        <v>84.027000000000001</v>
      </c>
      <c r="C39" s="2538" t="s">
        <v>2131</v>
      </c>
      <c r="D39" s="2539"/>
      <c r="E39" s="2539"/>
      <c r="F39" s="2540"/>
      <c r="G39" s="2541">
        <v>5202158</v>
      </c>
      <c r="H39" s="2541"/>
      <c r="I39" s="2541"/>
    </row>
    <row r="40" spans="2:9" ht="16.5" customHeight="1" x14ac:dyDescent="0.2">
      <c r="B40" s="1425"/>
      <c r="C40" s="2538"/>
      <c r="D40" s="2539"/>
      <c r="E40" s="2539"/>
      <c r="F40" s="2540"/>
      <c r="G40" s="2541"/>
      <c r="H40" s="2541"/>
      <c r="I40" s="2541"/>
    </row>
    <row r="41" spans="2:9" ht="16.5" customHeight="1" x14ac:dyDescent="0.2">
      <c r="B41" s="1425"/>
      <c r="C41" s="2538"/>
      <c r="D41" s="2539"/>
      <c r="E41" s="2539"/>
      <c r="F41" s="2540"/>
      <c r="G41" s="2541"/>
      <c r="H41" s="2541"/>
      <c r="I41" s="2541"/>
    </row>
    <row r="42" spans="2:9" ht="16.5" customHeight="1" x14ac:dyDescent="0.2">
      <c r="B42" s="1425"/>
      <c r="C42" s="2538"/>
      <c r="D42" s="2539"/>
      <c r="E42" s="2539"/>
      <c r="F42" s="2540"/>
      <c r="G42" s="2541"/>
      <c r="H42" s="2541"/>
      <c r="I42" s="2541"/>
    </row>
    <row r="43" spans="2:9" ht="16.5" customHeight="1" x14ac:dyDescent="0.2">
      <c r="B43" s="1425"/>
      <c r="C43" s="2531" t="s">
        <v>1593</v>
      </c>
      <c r="D43" s="2532"/>
      <c r="E43" s="2532"/>
      <c r="F43" s="2533"/>
      <c r="G43" s="2534">
        <f>SUM(G38:I42)</f>
        <v>5495060</v>
      </c>
      <c r="H43" s="2534"/>
      <c r="I43" s="2534"/>
    </row>
    <row r="44" spans="2:9" ht="12.75" customHeight="1" x14ac:dyDescent="0.2"/>
    <row r="45" spans="2:9" ht="12.75" customHeight="1" x14ac:dyDescent="0.2">
      <c r="B45" s="1416" t="s">
        <v>1838</v>
      </c>
      <c r="D45" s="2535">
        <v>5754139</v>
      </c>
      <c r="E45" s="2536"/>
    </row>
    <row r="46" spans="2:9" ht="5.25" customHeight="1" x14ac:dyDescent="0.2">
      <c r="B46" s="1426"/>
      <c r="D46" s="1427"/>
      <c r="E46" s="1428"/>
    </row>
    <row r="47" spans="2:9" ht="12.75" customHeight="1" x14ac:dyDescent="0.2">
      <c r="B47" s="1294" t="s">
        <v>1594</v>
      </c>
      <c r="C47" s="1294"/>
      <c r="D47" s="1429">
        <f>+G43/D45</f>
        <v>0.95497519263959385</v>
      </c>
      <c r="E47" s="1430"/>
      <c r="F47" s="1431"/>
      <c r="I47" s="1432"/>
    </row>
    <row r="48" spans="2:9" ht="9.9499999999999993" customHeight="1" x14ac:dyDescent="0.2"/>
    <row r="49" spans="1:9" x14ac:dyDescent="0.2">
      <c r="B49" s="1362" t="s">
        <v>1273</v>
      </c>
      <c r="C49" s="1276"/>
      <c r="D49" s="1276"/>
      <c r="E49" s="2537">
        <v>750000</v>
      </c>
      <c r="F49" s="2537"/>
      <c r="G49" s="2537"/>
      <c r="H49" s="322"/>
    </row>
    <row r="51" spans="1:9" ht="13.5" customHeight="1" x14ac:dyDescent="0.2">
      <c r="B51" s="1362" t="s">
        <v>1272</v>
      </c>
      <c r="C51" s="1276"/>
      <c r="E51" s="1419"/>
      <c r="F51" s="1294" t="s">
        <v>885</v>
      </c>
      <c r="G51" s="1419" t="s">
        <v>2108</v>
      </c>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1749</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1750</v>
      </c>
      <c r="C58" s="1445"/>
      <c r="D58" s="1445"/>
    </row>
    <row r="59" spans="1:9" s="1442" customFormat="1" ht="3.95" customHeight="1" x14ac:dyDescent="0.2">
      <c r="A59" s="1439"/>
      <c r="B59" s="1444"/>
      <c r="C59" s="1445"/>
      <c r="D59" s="1445"/>
    </row>
    <row r="60" spans="1:9" s="1442" customFormat="1" ht="13.5" customHeight="1" x14ac:dyDescent="0.2">
      <c r="A60" s="1439"/>
      <c r="B60" s="1444" t="s">
        <v>1751</v>
      </c>
      <c r="C60" s="1445"/>
      <c r="D60" s="1445"/>
    </row>
    <row r="61" spans="1:9" s="1442" customFormat="1" ht="3.95" customHeight="1" x14ac:dyDescent="0.2">
      <c r="A61" s="1439"/>
      <c r="B61" s="1444"/>
      <c r="C61" s="1445"/>
      <c r="D61" s="1445"/>
    </row>
    <row r="62" spans="1:9" s="1442" customFormat="1" ht="12.75" customHeight="1" x14ac:dyDescent="0.2">
      <c r="A62" s="1439"/>
      <c r="B62" s="1444" t="s">
        <v>1752</v>
      </c>
      <c r="C62" s="1445"/>
      <c r="D62" s="1445"/>
    </row>
    <row r="63" spans="1:9" s="1442" customFormat="1" ht="13.5" customHeight="1" x14ac:dyDescent="0.2">
      <c r="A63" s="1439"/>
      <c r="B63" s="1443" t="s">
        <v>1597</v>
      </c>
      <c r="C63" s="1439"/>
      <c r="D63" s="143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42" t="str">
        <f>'Single Audit Cover'!A7</f>
        <v>Tazewell Mason Cntys Sp Ed Assoc</v>
      </c>
      <c r="C1" s="2542"/>
      <c r="D1" s="2542"/>
      <c r="E1" s="2542"/>
      <c r="F1" s="2542"/>
      <c r="G1" s="2542"/>
      <c r="H1" s="2542"/>
      <c r="I1" s="2542"/>
      <c r="J1" s="2542"/>
      <c r="K1" s="2542"/>
      <c r="L1" s="1368"/>
      <c r="M1" s="1368"/>
    </row>
    <row r="2" spans="1:13" ht="12" customHeight="1" x14ac:dyDescent="0.2">
      <c r="B2" s="2544">
        <f>'Single Audit Cover'!E7</f>
        <v>53090309061</v>
      </c>
      <c r="C2" s="2544"/>
      <c r="D2" s="2544"/>
      <c r="E2" s="2544"/>
      <c r="F2" s="2544"/>
      <c r="G2" s="2544"/>
      <c r="H2" s="2544"/>
      <c r="I2" s="2544"/>
      <c r="J2" s="2544"/>
      <c r="K2" s="2544"/>
      <c r="L2" s="1369"/>
      <c r="M2" s="1370"/>
    </row>
    <row r="3" spans="1:13" ht="10.35" customHeight="1" x14ac:dyDescent="0.2">
      <c r="B3" s="2558" t="s">
        <v>1285</v>
      </c>
      <c r="C3" s="2558"/>
      <c r="D3" s="2558"/>
      <c r="E3" s="2558"/>
      <c r="F3" s="2558"/>
      <c r="G3" s="2558"/>
      <c r="H3" s="2558"/>
      <c r="I3" s="2558"/>
      <c r="J3" s="2558"/>
      <c r="K3" s="2558"/>
      <c r="L3" s="1371"/>
      <c r="M3" s="1371"/>
    </row>
    <row r="4" spans="1:13" ht="14.25" customHeight="1" x14ac:dyDescent="0.2">
      <c r="B4" s="2559" t="str">
        <f>'Single Audit Cover'!A4</f>
        <v>Year Ending June 30, 2019</v>
      </c>
      <c r="C4" s="2559"/>
      <c r="D4" s="2559"/>
      <c r="E4" s="2559"/>
      <c r="F4" s="2559"/>
      <c r="G4" s="2559"/>
      <c r="H4" s="2559"/>
      <c r="I4" s="2559"/>
      <c r="J4" s="2559"/>
      <c r="K4" s="2559"/>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559" t="s">
        <v>1296</v>
      </c>
      <c r="C7" s="2559"/>
      <c r="D7" s="2560"/>
      <c r="E7" s="2560"/>
      <c r="F7" s="2560"/>
      <c r="G7" s="2560"/>
      <c r="H7" s="2560"/>
      <c r="I7" s="2560"/>
      <c r="J7" s="2560"/>
      <c r="K7" s="2560"/>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1739</v>
      </c>
      <c r="C10" s="1379" t="s">
        <v>1988</v>
      </c>
      <c r="D10" s="1380" t="s">
        <v>2132</v>
      </c>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557"/>
      <c r="C14" s="2557"/>
      <c r="D14" s="2557"/>
      <c r="E14" s="2557"/>
      <c r="F14" s="2557"/>
      <c r="G14" s="2557"/>
      <c r="H14" s="2557"/>
      <c r="I14" s="2557"/>
      <c r="J14" s="2557"/>
      <c r="K14" s="2557"/>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557"/>
      <c r="C17" s="2557"/>
      <c r="D17" s="2557"/>
      <c r="E17" s="2557"/>
      <c r="F17" s="2557"/>
      <c r="G17" s="2557"/>
      <c r="H17" s="2557"/>
      <c r="I17" s="2557"/>
      <c r="J17" s="2557"/>
      <c r="K17" s="2557"/>
      <c r="L17" s="1375"/>
    </row>
    <row r="18" spans="2:12" ht="4.5" customHeight="1" x14ac:dyDescent="0.2">
      <c r="B18" s="1392"/>
      <c r="C18" s="1392"/>
      <c r="L18" s="1375"/>
    </row>
    <row r="19" spans="2:12" s="1276" customFormat="1" ht="13.5" customHeight="1" x14ac:dyDescent="0.2">
      <c r="B19" s="1387" t="s">
        <v>1740</v>
      </c>
      <c r="C19" s="1387"/>
      <c r="D19" s="1388"/>
      <c r="E19" s="1388"/>
      <c r="F19" s="1388"/>
      <c r="G19" s="1389"/>
      <c r="H19" s="1388"/>
      <c r="I19" s="1389"/>
      <c r="J19" s="1388"/>
      <c r="K19" s="1388"/>
      <c r="L19" s="1390"/>
    </row>
    <row r="20" spans="2:12" ht="45.75" customHeight="1" x14ac:dyDescent="0.2">
      <c r="B20" s="2561"/>
      <c r="C20" s="2561"/>
      <c r="D20" s="2557"/>
      <c r="E20" s="2557"/>
      <c r="F20" s="2557"/>
      <c r="G20" s="2557"/>
      <c r="H20" s="2557"/>
      <c r="I20" s="2557"/>
      <c r="J20" s="2557"/>
      <c r="K20" s="2557"/>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557"/>
      <c r="C23" s="2557"/>
      <c r="D23" s="2557"/>
      <c r="E23" s="2557"/>
      <c r="F23" s="2557"/>
      <c r="G23" s="2557"/>
      <c r="H23" s="2557"/>
      <c r="I23" s="2557"/>
      <c r="J23" s="2557"/>
      <c r="K23" s="2557"/>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557"/>
      <c r="C26" s="2557"/>
      <c r="D26" s="2557"/>
      <c r="E26" s="2557"/>
      <c r="F26" s="2557"/>
      <c r="G26" s="2557"/>
      <c r="H26" s="2557"/>
      <c r="I26" s="2557"/>
      <c r="J26" s="2557"/>
      <c r="K26" s="2557"/>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556"/>
      <c r="C29" s="2556"/>
      <c r="D29" s="2557"/>
      <c r="E29" s="2557"/>
      <c r="F29" s="2557"/>
      <c r="G29" s="2557"/>
      <c r="H29" s="2557"/>
      <c r="I29" s="2557"/>
      <c r="J29" s="2557"/>
      <c r="K29" s="2557"/>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1741</v>
      </c>
      <c r="C31" s="1397"/>
      <c r="D31" s="1372"/>
      <c r="E31" s="1373"/>
      <c r="F31" s="1373"/>
      <c r="G31" s="1374"/>
      <c r="H31" s="1373"/>
      <c r="I31" s="1374"/>
      <c r="J31" s="1373"/>
      <c r="K31" s="1373"/>
      <c r="L31" s="1375"/>
    </row>
    <row r="32" spans="2:12" s="322" customFormat="1" ht="44.25" customHeight="1" x14ac:dyDescent="0.2">
      <c r="B32" s="2556"/>
      <c r="C32" s="2556"/>
      <c r="D32" s="2557"/>
      <c r="E32" s="2557"/>
      <c r="F32" s="2557"/>
      <c r="G32" s="2557"/>
      <c r="H32" s="2557"/>
      <c r="I32" s="2557"/>
      <c r="J32" s="2557"/>
      <c r="K32" s="2557"/>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1742</v>
      </c>
      <c r="C35" s="1400"/>
      <c r="D35" s="322"/>
      <c r="E35" s="322"/>
      <c r="F35" s="322"/>
      <c r="L35" s="1375"/>
    </row>
    <row r="36" spans="1:13" ht="9.6" customHeight="1" x14ac:dyDescent="0.2">
      <c r="B36" s="1294" t="s">
        <v>1839</v>
      </c>
      <c r="C36" s="1294"/>
      <c r="L36" s="1375"/>
    </row>
    <row r="37" spans="1:13" ht="9.6" customHeight="1" x14ac:dyDescent="0.2">
      <c r="B37" s="1294" t="s">
        <v>1840</v>
      </c>
      <c r="C37" s="1294"/>
    </row>
    <row r="38" spans="1:13" ht="11.85" customHeight="1" x14ac:dyDescent="0.2">
      <c r="B38" s="1401" t="s">
        <v>1743</v>
      </c>
      <c r="C38" s="1401"/>
    </row>
    <row r="39" spans="1:13" ht="9.6" customHeight="1" x14ac:dyDescent="0.2">
      <c r="B39" s="1294" t="s">
        <v>1286</v>
      </c>
      <c r="C39" s="1294"/>
      <c r="M39" s="1402"/>
    </row>
    <row r="40" spans="1:13" ht="12.6" customHeight="1" x14ac:dyDescent="0.2">
      <c r="B40" s="1401" t="s">
        <v>1744</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65" t="str">
        <f>'Single Audit Cover'!A7</f>
        <v>Tazewell Mason Cntys Sp Ed Assoc</v>
      </c>
      <c r="C1" s="2565"/>
      <c r="D1" s="2565"/>
      <c r="E1" s="2565"/>
      <c r="F1" s="2565"/>
      <c r="G1" s="2565"/>
      <c r="H1" s="2565"/>
      <c r="I1" s="2565"/>
      <c r="J1" s="2565"/>
      <c r="K1" s="2565"/>
      <c r="L1" s="1446"/>
    </row>
    <row r="2" spans="1:12" ht="12.75" customHeight="1" x14ac:dyDescent="0.2">
      <c r="B2" s="2566">
        <f>'Single Audit Cover'!E7</f>
        <v>53090309061</v>
      </c>
      <c r="C2" s="2566"/>
      <c r="D2" s="2566"/>
      <c r="E2" s="2566"/>
      <c r="F2" s="2566"/>
      <c r="G2" s="2566"/>
      <c r="H2" s="2566"/>
      <c r="I2" s="2566"/>
      <c r="J2" s="2566"/>
      <c r="K2" s="2566"/>
      <c r="L2" s="1447"/>
    </row>
    <row r="3" spans="1:12" ht="12.75" customHeight="1" x14ac:dyDescent="0.2">
      <c r="B3" s="2558" t="s">
        <v>1285</v>
      </c>
      <c r="C3" s="2558"/>
      <c r="D3" s="2558"/>
      <c r="E3" s="2558"/>
      <c r="F3" s="2558"/>
      <c r="G3" s="2558"/>
      <c r="H3" s="2558"/>
      <c r="I3" s="2558"/>
      <c r="J3" s="2558"/>
      <c r="K3" s="2558"/>
      <c r="L3" s="1371"/>
    </row>
    <row r="4" spans="1:12" ht="12.75" customHeight="1" x14ac:dyDescent="0.2">
      <c r="B4" s="2558" t="str">
        <f>'Single Audit Cover'!A4</f>
        <v>Year Ending June 30, 2019</v>
      </c>
      <c r="C4" s="2558"/>
      <c r="D4" s="2558"/>
      <c r="E4" s="2558"/>
      <c r="F4" s="2558"/>
      <c r="G4" s="2558"/>
      <c r="H4" s="2558"/>
      <c r="I4" s="2558"/>
      <c r="J4" s="2558"/>
      <c r="K4" s="2558"/>
      <c r="L4" s="1371"/>
    </row>
    <row r="5" spans="1:12" ht="5.25" customHeight="1" x14ac:dyDescent="0.2">
      <c r="B5" s="1254" t="s">
        <v>1169</v>
      </c>
      <c r="C5" s="1254"/>
      <c r="L5" s="322"/>
    </row>
    <row r="6" spans="1:12" ht="30.75" customHeight="1" x14ac:dyDescent="0.2">
      <c r="A6" s="322"/>
      <c r="B6" s="2567" t="s">
        <v>1308</v>
      </c>
      <c r="C6" s="2567"/>
      <c r="D6" s="2567"/>
      <c r="E6" s="2567"/>
      <c r="F6" s="2567"/>
      <c r="G6" s="2567"/>
      <c r="H6" s="2567"/>
      <c r="I6" s="2567"/>
      <c r="J6" s="2567"/>
      <c r="K6" s="2567"/>
      <c r="L6" s="322"/>
    </row>
    <row r="7" spans="1:12" ht="4.5" customHeight="1" x14ac:dyDescent="0.2">
      <c r="B7" s="1373"/>
      <c r="C7" s="1373"/>
      <c r="D7" s="1373"/>
      <c r="E7" s="1373"/>
      <c r="F7" s="1373"/>
      <c r="G7" s="1374"/>
      <c r="H7" s="1373"/>
      <c r="I7" s="1374"/>
      <c r="J7" s="1373"/>
      <c r="K7" s="1373"/>
      <c r="L7" s="322"/>
    </row>
    <row r="8" spans="1:12" ht="13.5" customHeight="1" x14ac:dyDescent="0.2">
      <c r="B8" s="1381" t="s">
        <v>1753</v>
      </c>
      <c r="C8" s="1448" t="s">
        <v>1988</v>
      </c>
      <c r="D8" s="1449" t="s">
        <v>2132</v>
      </c>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549"/>
      <c r="G12" s="2549"/>
      <c r="H12" s="2549"/>
      <c r="I12" s="2549"/>
      <c r="J12" s="2549"/>
      <c r="K12" s="2549"/>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562"/>
      <c r="E14" s="2562"/>
      <c r="F14" s="2562"/>
      <c r="H14" s="1456" t="s">
        <v>1303</v>
      </c>
      <c r="I14" s="2563"/>
      <c r="J14" s="2563"/>
      <c r="K14" s="2563"/>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563"/>
      <c r="E16" s="2563"/>
      <c r="F16" s="2563"/>
      <c r="G16" s="2563"/>
      <c r="H16" s="2563"/>
      <c r="I16" s="2563"/>
      <c r="J16" s="2563"/>
      <c r="K16" s="2563"/>
      <c r="L16" s="322"/>
    </row>
    <row r="17" spans="2:12" ht="13.5" customHeight="1" x14ac:dyDescent="0.2">
      <c r="B17" s="1381" t="s">
        <v>1301</v>
      </c>
      <c r="C17" s="1381"/>
      <c r="D17" s="2564"/>
      <c r="E17" s="2564"/>
      <c r="F17" s="2564"/>
      <c r="G17" s="2564"/>
      <c r="H17" s="2564"/>
      <c r="I17" s="2564"/>
      <c r="J17" s="2564"/>
      <c r="K17" s="2564"/>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557"/>
      <c r="C20" s="2557"/>
      <c r="D20" s="2557"/>
      <c r="E20" s="2557"/>
      <c r="F20" s="2557"/>
      <c r="G20" s="2557"/>
      <c r="H20" s="2557"/>
      <c r="I20" s="2557"/>
      <c r="J20" s="2557"/>
      <c r="K20" s="2557"/>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1754</v>
      </c>
      <c r="C22" s="1458"/>
      <c r="D22" s="322"/>
      <c r="E22" s="322"/>
      <c r="F22" s="322"/>
      <c r="G22" s="1377"/>
      <c r="H22" s="322"/>
      <c r="I22" s="1377"/>
      <c r="J22" s="322"/>
      <c r="K22" s="322"/>
      <c r="L22" s="322"/>
    </row>
    <row r="23" spans="2:12" ht="37.5" customHeight="1" x14ac:dyDescent="0.2">
      <c r="B23" s="2557"/>
      <c r="C23" s="2557"/>
      <c r="D23" s="2557"/>
      <c r="E23" s="2557"/>
      <c r="F23" s="2557"/>
      <c r="G23" s="2557"/>
      <c r="H23" s="2557"/>
      <c r="I23" s="2557"/>
      <c r="J23" s="2557"/>
      <c r="K23" s="2557"/>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1755</v>
      </c>
      <c r="C25" s="1458"/>
      <c r="D25" s="322"/>
      <c r="E25" s="322"/>
      <c r="F25" s="322"/>
      <c r="G25" s="1377"/>
      <c r="H25" s="322"/>
      <c r="I25" s="1377"/>
      <c r="J25" s="322"/>
      <c r="K25" s="322"/>
      <c r="L25" s="322"/>
    </row>
    <row r="26" spans="2:12" ht="37.5" customHeight="1" x14ac:dyDescent="0.2">
      <c r="B26" s="2557"/>
      <c r="C26" s="2557"/>
      <c r="D26" s="2557"/>
      <c r="E26" s="2557"/>
      <c r="F26" s="2557"/>
      <c r="G26" s="2557"/>
      <c r="H26" s="2557"/>
      <c r="I26" s="2557"/>
      <c r="J26" s="2557"/>
      <c r="K26" s="2557"/>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1756</v>
      </c>
      <c r="C28" s="1458"/>
      <c r="D28" s="322"/>
      <c r="E28" s="322"/>
      <c r="F28" s="322"/>
      <c r="G28" s="1377"/>
      <c r="H28" s="322"/>
      <c r="I28" s="1377"/>
      <c r="J28" s="322"/>
      <c r="K28" s="322"/>
      <c r="L28" s="322"/>
    </row>
    <row r="29" spans="2:12" ht="37.5" customHeight="1" x14ac:dyDescent="0.2">
      <c r="B29" s="2557"/>
      <c r="C29" s="2557"/>
      <c r="D29" s="2557"/>
      <c r="E29" s="2557"/>
      <c r="F29" s="2557"/>
      <c r="G29" s="2557"/>
      <c r="H29" s="2557"/>
      <c r="I29" s="2557"/>
      <c r="J29" s="2557"/>
      <c r="K29" s="2557"/>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557"/>
      <c r="C32" s="2557"/>
      <c r="D32" s="2557"/>
      <c r="E32" s="2557"/>
      <c r="F32" s="2557"/>
      <c r="G32" s="2557"/>
      <c r="H32" s="2557"/>
      <c r="I32" s="2557"/>
      <c r="J32" s="2557"/>
      <c r="K32" s="2557"/>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557"/>
      <c r="C35" s="2557"/>
      <c r="D35" s="2557"/>
      <c r="E35" s="2557"/>
      <c r="F35" s="2557"/>
      <c r="G35" s="2557"/>
      <c r="H35" s="2557"/>
      <c r="I35" s="2557"/>
      <c r="J35" s="2557"/>
      <c r="K35" s="2557"/>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557"/>
      <c r="C38" s="2557"/>
      <c r="D38" s="2557"/>
      <c r="E38" s="2557"/>
      <c r="F38" s="2557"/>
      <c r="G38" s="2557"/>
      <c r="H38" s="2557"/>
      <c r="I38" s="2557"/>
      <c r="J38" s="2557"/>
      <c r="K38" s="2557"/>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1757</v>
      </c>
      <c r="C40" s="1397"/>
      <c r="D40" s="1372"/>
      <c r="E40" s="1373"/>
      <c r="F40" s="1373"/>
      <c r="G40" s="1374"/>
      <c r="H40" s="1373"/>
      <c r="I40" s="1374"/>
      <c r="J40" s="1373"/>
      <c r="K40" s="1373"/>
    </row>
    <row r="41" spans="2:12" s="322" customFormat="1" ht="33.75" customHeight="1" x14ac:dyDescent="0.2">
      <c r="B41" s="2557"/>
      <c r="C41" s="2557"/>
      <c r="D41" s="2557"/>
      <c r="E41" s="2557"/>
      <c r="F41" s="2557"/>
      <c r="G41" s="2557"/>
      <c r="H41" s="2557"/>
      <c r="I41" s="2557"/>
      <c r="J41" s="2557"/>
      <c r="K41" s="2557"/>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1758</v>
      </c>
      <c r="C44" s="1400"/>
      <c r="D44" s="322"/>
      <c r="E44" s="322"/>
      <c r="F44" s="322"/>
    </row>
    <row r="45" spans="2:12" ht="10.5" customHeight="1" x14ac:dyDescent="0.2">
      <c r="B45" s="1401" t="s">
        <v>1759</v>
      </c>
      <c r="C45" s="1401"/>
      <c r="G45" s="317"/>
      <c r="I45" s="317"/>
    </row>
    <row r="46" spans="2:12" ht="11.1" customHeight="1" x14ac:dyDescent="0.2">
      <c r="B46" s="1401" t="s">
        <v>1760</v>
      </c>
      <c r="C46" s="1401"/>
      <c r="G46" s="317"/>
      <c r="I46" s="317"/>
    </row>
    <row r="47" spans="2:12" ht="11.1" customHeight="1" x14ac:dyDescent="0.2">
      <c r="B47" s="1401" t="s">
        <v>1761</v>
      </c>
      <c r="C47" s="1401"/>
      <c r="G47" s="317"/>
      <c r="I47" s="317"/>
    </row>
    <row r="48" spans="2:12" ht="11.1" customHeight="1" x14ac:dyDescent="0.2">
      <c r="B48" s="1401" t="s">
        <v>1762</v>
      </c>
      <c r="C48" s="140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542" t="str">
        <f>'Single Audit Cover'!A7</f>
        <v>Tazewell Mason Cntys Sp Ed Assoc</v>
      </c>
      <c r="C1" s="2542"/>
      <c r="D1" s="2542"/>
      <c r="E1" s="1466"/>
    </row>
    <row r="2" spans="2:5" s="1276" customFormat="1" ht="12.75" customHeight="1" x14ac:dyDescent="0.2">
      <c r="B2" s="2544">
        <f>'Single Audit Cover'!E7</f>
        <v>53090309061</v>
      </c>
      <c r="C2" s="2544"/>
      <c r="D2" s="2544"/>
      <c r="E2" s="1467"/>
    </row>
    <row r="3" spans="2:5" ht="12.75" customHeight="1" x14ac:dyDescent="0.2">
      <c r="B3" s="2558" t="s">
        <v>1763</v>
      </c>
      <c r="C3" s="2558"/>
      <c r="D3" s="2558"/>
      <c r="E3" s="1268"/>
    </row>
    <row r="4" spans="2:5" s="1276" customFormat="1" ht="12.75" customHeight="1" x14ac:dyDescent="0.2">
      <c r="B4" s="2568" t="str">
        <f>'Single Audit Cover'!A4</f>
        <v>Year Ending June 30, 2019</v>
      </c>
      <c r="C4" s="2568"/>
      <c r="D4" s="2568"/>
      <c r="E4" s="1468"/>
    </row>
    <row r="5" spans="2:5" s="1276" customFormat="1" ht="40.15" customHeight="1" x14ac:dyDescent="0.2">
      <c r="B5" s="1469" t="s">
        <v>1764</v>
      </c>
      <c r="C5" s="328"/>
      <c r="D5" s="328"/>
      <c r="E5" s="328"/>
    </row>
    <row r="6" spans="2:5" s="1276" customFormat="1" ht="13.5" customHeight="1" x14ac:dyDescent="0.2">
      <c r="B6" s="1470" t="s">
        <v>1315</v>
      </c>
      <c r="C6" s="1470" t="s">
        <v>1314</v>
      </c>
      <c r="D6" s="1470" t="s">
        <v>1765</v>
      </c>
    </row>
    <row r="7" spans="2:5" ht="13.5" customHeight="1" x14ac:dyDescent="0.2">
      <c r="B7" s="1471" t="s">
        <v>2133</v>
      </c>
      <c r="C7" s="324"/>
      <c r="D7" s="324"/>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1766</v>
      </c>
    </row>
    <row r="46" spans="2:5" ht="12.2" customHeight="1" x14ac:dyDescent="0.2">
      <c r="B46" s="1480" t="s">
        <v>1767</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57" t="s">
        <v>386</v>
      </c>
      <c r="B1" s="2157"/>
      <c r="C1" s="2157"/>
      <c r="D1" s="2157"/>
      <c r="E1" s="2157"/>
      <c r="F1" s="2157"/>
      <c r="G1" s="2157"/>
      <c r="H1" s="2157"/>
      <c r="I1" s="2157"/>
      <c r="J1" s="2157"/>
      <c r="K1" s="2157"/>
      <c r="L1" s="2157"/>
      <c r="M1" s="215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29">
        <f>ROUND(D10+F10+H10,5)</f>
        <v>0</v>
      </c>
      <c r="K10" s="222"/>
      <c r="L10" s="355"/>
      <c r="M10" s="222"/>
    </row>
    <row r="11" spans="1:14" ht="7.5" customHeight="1" x14ac:dyDescent="0.2">
      <c r="B11" s="222"/>
      <c r="C11" s="222"/>
      <c r="D11" s="2167" t="str">
        <f>IF(SUM(J10)&lt;=0.0999999,"","Enter the Tax Rates by moving the decimal two places to the left.")</f>
        <v/>
      </c>
      <c r="E11" s="2168"/>
      <c r="F11" s="2168"/>
      <c r="G11" s="2168"/>
      <c r="H11" s="2168"/>
      <c r="I11" s="2168"/>
      <c r="J11" s="216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9704109</v>
      </c>
      <c r="E16" s="356"/>
      <c r="F16" s="1730">
        <f>SUM('Acct Summary 7-8'!C17,'Acct Summary 7-8'!D17,'Acct Summary 7-8'!F17)</f>
        <v>10037313</v>
      </c>
      <c r="G16" s="356"/>
      <c r="H16" s="1730">
        <f>SUM(D16-F16)</f>
        <v>-333204</v>
      </c>
      <c r="I16" s="222"/>
      <c r="J16" s="1730">
        <f>SUM('Acct Summary 7-8'!C81,'Acct Summary 7-8'!D81,'Acct Summary 7-8'!F81,'Acct Summary 7-8'!I81)</f>
        <v>754164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58"/>
      <c r="C54" s="2159"/>
      <c r="D54" s="2159"/>
      <c r="E54" s="2159"/>
      <c r="F54" s="2159"/>
      <c r="G54" s="2159"/>
      <c r="H54" s="2159"/>
      <c r="I54" s="2159"/>
      <c r="J54" s="2159"/>
      <c r="K54" s="2159"/>
      <c r="L54" s="2160"/>
      <c r="M54" s="380"/>
    </row>
    <row r="55" spans="1:13" ht="12.75" customHeight="1" x14ac:dyDescent="0.2">
      <c r="B55" s="2161"/>
      <c r="C55" s="2162"/>
      <c r="D55" s="2162"/>
      <c r="E55" s="2162"/>
      <c r="F55" s="2162"/>
      <c r="G55" s="2162"/>
      <c r="H55" s="2162"/>
      <c r="I55" s="2162"/>
      <c r="J55" s="2162"/>
      <c r="K55" s="2162"/>
      <c r="L55" s="2163"/>
      <c r="M55" s="380"/>
    </row>
    <row r="56" spans="1:13" ht="12.75" customHeight="1" x14ac:dyDescent="0.2">
      <c r="B56" s="2161"/>
      <c r="C56" s="2162"/>
      <c r="D56" s="2162"/>
      <c r="E56" s="2162"/>
      <c r="F56" s="2162"/>
      <c r="G56" s="2162"/>
      <c r="H56" s="2162"/>
      <c r="I56" s="2162"/>
      <c r="J56" s="2162"/>
      <c r="K56" s="2162"/>
      <c r="L56" s="2163"/>
      <c r="M56" s="222"/>
    </row>
    <row r="57" spans="1:13" ht="12.75" customHeight="1" x14ac:dyDescent="0.2">
      <c r="B57" s="2161"/>
      <c r="C57" s="2162"/>
      <c r="D57" s="2162"/>
      <c r="E57" s="2162"/>
      <c r="F57" s="2162"/>
      <c r="G57" s="2162"/>
      <c r="H57" s="2162"/>
      <c r="I57" s="2162"/>
      <c r="J57" s="2162"/>
      <c r="K57" s="2162"/>
      <c r="L57" s="2163"/>
      <c r="M57" s="222"/>
    </row>
    <row r="58" spans="1:13" x14ac:dyDescent="0.2">
      <c r="B58" s="2164"/>
      <c r="C58" s="2165"/>
      <c r="D58" s="2165"/>
      <c r="E58" s="2165"/>
      <c r="F58" s="2165"/>
      <c r="G58" s="2165"/>
      <c r="H58" s="2165"/>
      <c r="I58" s="2165"/>
      <c r="J58" s="2165"/>
      <c r="K58" s="2165"/>
      <c r="L58" s="216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69"/>
      <c r="D61" s="217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72"/>
      <c r="B1" s="2173"/>
      <c r="C1" s="2173"/>
      <c r="D1" s="384"/>
      <c r="E1" s="384"/>
      <c r="F1" s="384"/>
      <c r="G1" s="384"/>
      <c r="H1" s="384"/>
      <c r="I1" s="384"/>
      <c r="J1" s="384"/>
      <c r="K1" s="384"/>
      <c r="L1" s="384"/>
      <c r="M1" s="384"/>
      <c r="N1" s="384"/>
      <c r="O1" s="2172"/>
      <c r="P1" s="2173"/>
      <c r="Q1" s="2173"/>
    </row>
    <row r="2" spans="1:18" ht="15" x14ac:dyDescent="0.2">
      <c r="A2" s="2176" t="s">
        <v>556</v>
      </c>
      <c r="B2" s="2176"/>
      <c r="C2" s="2176"/>
      <c r="D2" s="2176"/>
      <c r="E2" s="2176"/>
      <c r="F2" s="2176"/>
      <c r="G2" s="2176"/>
      <c r="H2" s="2176"/>
      <c r="I2" s="2176"/>
      <c r="J2" s="2176"/>
      <c r="K2" s="2176"/>
      <c r="L2" s="2176"/>
      <c r="M2" s="2176"/>
      <c r="N2" s="2176"/>
      <c r="O2" s="2176"/>
      <c r="P2" s="2176"/>
      <c r="Q2" s="2176"/>
      <c r="R2" s="2176"/>
    </row>
    <row r="3" spans="1:18" ht="12.75" x14ac:dyDescent="0.2">
      <c r="A3" s="2177" t="s">
        <v>1413</v>
      </c>
      <c r="B3" s="2177"/>
      <c r="C3" s="2177"/>
      <c r="D3" s="2177"/>
      <c r="E3" s="2177"/>
      <c r="F3" s="2177"/>
      <c r="G3" s="2177"/>
      <c r="H3" s="2177"/>
      <c r="I3" s="2177"/>
      <c r="J3" s="2177"/>
      <c r="K3" s="2177"/>
      <c r="L3" s="2177"/>
      <c r="M3" s="2177"/>
      <c r="N3" s="2177"/>
      <c r="O3" s="2177"/>
      <c r="P3" s="2177"/>
      <c r="Q3" s="2177"/>
      <c r="R3" s="2177"/>
    </row>
    <row r="4" spans="1:18" x14ac:dyDescent="0.2">
      <c r="A4" s="2178" t="s">
        <v>1554</v>
      </c>
      <c r="B4" s="2178"/>
      <c r="C4" s="2178"/>
      <c r="D4" s="2178"/>
      <c r="E4" s="2178"/>
      <c r="F4" s="2178"/>
      <c r="G4" s="2178"/>
      <c r="H4" s="2178"/>
      <c r="I4" s="2178"/>
      <c r="J4" s="2178"/>
      <c r="K4" s="2178"/>
      <c r="L4" s="2178"/>
      <c r="M4" s="2178"/>
      <c r="N4" s="2178"/>
      <c r="O4" s="2178"/>
      <c r="P4" s="2178"/>
      <c r="Q4" s="2178"/>
      <c r="R4" s="217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Tazewell Mason Cntys Sp Ed Assoc</v>
      </c>
      <c r="E7" s="391"/>
      <c r="G7" s="252"/>
      <c r="H7" s="387"/>
      <c r="I7" s="387"/>
      <c r="J7" s="387"/>
      <c r="K7" s="387"/>
      <c r="L7" s="329"/>
      <c r="M7" s="329"/>
      <c r="N7" s="329"/>
      <c r="O7" s="329"/>
      <c r="P7" s="329"/>
    </row>
    <row r="8" spans="1:18" ht="12.75" x14ac:dyDescent="0.2">
      <c r="A8" s="329"/>
      <c r="B8" s="329"/>
      <c r="C8" s="389" t="s">
        <v>1125</v>
      </c>
      <c r="D8" s="392">
        <f>COVER!A13</f>
        <v>53090309061</v>
      </c>
      <c r="E8" s="393"/>
      <c r="G8" s="329"/>
      <c r="H8" s="329"/>
      <c r="I8" s="329"/>
      <c r="J8" s="329"/>
      <c r="K8" s="329"/>
      <c r="L8" s="329"/>
      <c r="M8" s="329"/>
      <c r="N8" s="329"/>
      <c r="O8" s="329"/>
      <c r="P8" s="329"/>
    </row>
    <row r="9" spans="1:18" ht="12.75" x14ac:dyDescent="0.2">
      <c r="A9" s="329"/>
      <c r="B9" s="329"/>
      <c r="C9" s="389" t="s">
        <v>713</v>
      </c>
      <c r="D9" s="394" t="str">
        <f>COVER!A15</f>
        <v xml:space="preserve">Tazewell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2</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754164</v>
      </c>
      <c r="I12" s="404"/>
      <c r="J12" s="404"/>
      <c r="K12" s="405">
        <f>TRUNC((H12/H13*100000),5)/100000</f>
        <v>7.7715944799999992E-2</v>
      </c>
      <c r="L12" s="406"/>
      <c r="M12" s="360" t="s">
        <v>1144</v>
      </c>
      <c r="N12" s="360"/>
      <c r="O12" s="407">
        <v>0.35</v>
      </c>
      <c r="P12" s="218"/>
      <c r="Q12" s="218"/>
    </row>
    <row r="13" spans="1:18" s="408" customFormat="1" ht="12.75" x14ac:dyDescent="0.2">
      <c r="A13" s="218"/>
      <c r="B13" s="401"/>
      <c r="C13" s="2174" t="s">
        <v>1324</v>
      </c>
      <c r="D13" s="2175"/>
      <c r="E13" s="218"/>
      <c r="F13" s="409" t="s">
        <v>793</v>
      </c>
      <c r="G13" s="402"/>
      <c r="H13" s="403">
        <f>SUM('Acct Summary 7-8'!C8+'Acct Summary 7-8'!D8+'Acct Summary 7-8'!F8+'Acct Summary 7-8'!I8)+H14</f>
        <v>9704109</v>
      </c>
      <c r="I13" s="404"/>
      <c r="J13" s="404"/>
      <c r="K13" s="410"/>
      <c r="L13" s="218"/>
      <c r="M13" s="360" t="s">
        <v>1145</v>
      </c>
      <c r="N13" s="360"/>
      <c r="O13" s="411">
        <f>(O11*O12)</f>
        <v>0.7</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10037313</v>
      </c>
      <c r="I17" s="404"/>
      <c r="J17" s="416"/>
      <c r="K17" s="405">
        <f>TRUNC((H17/H18*100000),5)/100000</f>
        <v>1.0343363826</v>
      </c>
      <c r="L17" s="406"/>
      <c r="M17" s="417" t="s">
        <v>1171</v>
      </c>
      <c r="O17" s="418" t="str">
        <f>IF(AND(O16="2", J20 &gt; 2),"1",IF(AND(O16 = "1", J20 &gt; 2),"2",IF(AND(O16="1", J20 &gt;1),"1","0")))</f>
        <v>0</v>
      </c>
      <c r="P17" s="218"/>
    </row>
    <row r="18" spans="1:18" s="408" customFormat="1" ht="11.25" x14ac:dyDescent="0.2">
      <c r="A18" s="218"/>
      <c r="B18" s="401"/>
      <c r="C18" s="2174" t="s">
        <v>1317</v>
      </c>
      <c r="D18" s="2175"/>
      <c r="E18" s="218"/>
      <c r="F18" s="419" t="s">
        <v>794</v>
      </c>
      <c r="G18" s="402"/>
      <c r="H18" s="403">
        <f>SUM('Acct Summary 7-8'!C8+'Acct Summary 7-8'!D8+'Acct Summary 7-8'!F8+'Acct Summary 7-8'!I8)+H19</f>
        <v>9704109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-0.64899249999999997</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f>IF(K24&gt;=180,"4",IF(K24&gt;=90,"3",IF(K24&gt;=30,"2",1)))</f>
        <v>1</v>
      </c>
      <c r="P23" s="216"/>
      <c r="R23" s="384"/>
    </row>
    <row r="24" spans="1:18" s="408" customFormat="1" ht="11.25" x14ac:dyDescent="0.2">
      <c r="A24" s="218"/>
      <c r="B24" s="401"/>
      <c r="C24" s="2171" t="s">
        <v>1412</v>
      </c>
      <c r="D24" s="2171"/>
      <c r="E24" s="218"/>
      <c r="F24" s="218" t="s">
        <v>445</v>
      </c>
      <c r="G24" s="402"/>
      <c r="H24" s="403">
        <f>SUM('Assets-Liab 5-6'!C4+'Assets-Liab 5-6'!D4+'Assets-Liab 5-6'!F4+'Assets-Liab 5-6'!I4+'Assets-Liab 5-6'!C5+'Assets-Liab 5-6'!D5+'Assets-Liab 5-6'!F5+'Assets-Liab 5-6'!I5)</f>
        <v>754164</v>
      </c>
      <c r="I24" s="422"/>
      <c r="J24" s="422"/>
      <c r="K24" s="423">
        <f>TRUNC(((H24/H25*100000)/100000),2)</f>
        <v>27.04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27881.424999999999</v>
      </c>
      <c r="I25" s="425"/>
      <c r="J25" s="425"/>
      <c r="K25" s="410"/>
      <c r="L25" s="218"/>
      <c r="M25" s="360" t="s">
        <v>1145</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7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8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81" t="s">
        <v>973</v>
      </c>
      <c r="B3" s="2182"/>
      <c r="C3" s="1556"/>
      <c r="D3" s="1557"/>
      <c r="E3" s="1557"/>
      <c r="F3" s="1557"/>
      <c r="G3" s="1557"/>
      <c r="H3" s="1557"/>
      <c r="I3" s="1557"/>
      <c r="J3" s="1557"/>
      <c r="K3" s="1557"/>
      <c r="L3" s="1557"/>
      <c r="M3" s="1558"/>
      <c r="N3" s="1559"/>
    </row>
    <row r="4" spans="1:14" ht="13.5" customHeight="1" x14ac:dyDescent="0.2">
      <c r="A4" s="463" t="s">
        <v>1651</v>
      </c>
      <c r="B4" s="464"/>
      <c r="C4" s="465">
        <v>277628</v>
      </c>
      <c r="D4" s="465">
        <v>472037</v>
      </c>
      <c r="E4" s="465">
        <v>0</v>
      </c>
      <c r="F4" s="465">
        <v>4499</v>
      </c>
      <c r="G4" s="465">
        <v>0</v>
      </c>
      <c r="H4" s="465">
        <v>0</v>
      </c>
      <c r="I4" s="465">
        <v>0</v>
      </c>
      <c r="J4" s="465">
        <v>0</v>
      </c>
      <c r="K4" s="465">
        <v>0</v>
      </c>
      <c r="L4" s="465">
        <v>5252</v>
      </c>
      <c r="M4" s="468"/>
      <c r="N4" s="469"/>
    </row>
    <row r="5" spans="1:14" x14ac:dyDescent="0.2">
      <c r="A5" s="463" t="s">
        <v>992</v>
      </c>
      <c r="B5" s="470">
        <v>120</v>
      </c>
      <c r="C5" s="465">
        <v>0</v>
      </c>
      <c r="D5" s="465">
        <v>0</v>
      </c>
      <c r="E5" s="465">
        <v>0</v>
      </c>
      <c r="F5" s="465">
        <v>0</v>
      </c>
      <c r="G5" s="465">
        <v>0</v>
      </c>
      <c r="H5" s="465">
        <v>0</v>
      </c>
      <c r="I5" s="465">
        <v>0</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277628</v>
      </c>
      <c r="D13" s="1734">
        <f t="shared" ref="D13:L13" si="0">SUM(D4:D12)</f>
        <v>472037</v>
      </c>
      <c r="E13" s="1734">
        <f t="shared" si="0"/>
        <v>0</v>
      </c>
      <c r="F13" s="1734">
        <f t="shared" si="0"/>
        <v>4499</v>
      </c>
      <c r="G13" s="1734">
        <f t="shared" si="0"/>
        <v>0</v>
      </c>
      <c r="H13" s="1734">
        <f t="shared" si="0"/>
        <v>0</v>
      </c>
      <c r="I13" s="1734">
        <f t="shared" si="0"/>
        <v>0</v>
      </c>
      <c r="J13" s="1734">
        <f t="shared" si="0"/>
        <v>0</v>
      </c>
      <c r="K13" s="1734">
        <f t="shared" si="0"/>
        <v>0</v>
      </c>
      <c r="L13" s="1734">
        <f t="shared" si="0"/>
        <v>5252</v>
      </c>
      <c r="M13" s="468"/>
      <c r="N13" s="469"/>
    </row>
    <row r="14" spans="1:14" ht="18" customHeight="1" thickTop="1" x14ac:dyDescent="0.2">
      <c r="A14" s="2183" t="s">
        <v>147</v>
      </c>
      <c r="B14" s="2184"/>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55659</v>
      </c>
      <c r="N16" s="482"/>
    </row>
    <row r="17" spans="1:14" s="483" customFormat="1" ht="12.75" customHeight="1" x14ac:dyDescent="0.2">
      <c r="A17" s="480" t="s">
        <v>1403</v>
      </c>
      <c r="B17" s="481">
        <v>230</v>
      </c>
      <c r="C17" s="475"/>
      <c r="D17" s="475"/>
      <c r="E17" s="475"/>
      <c r="F17" s="475"/>
      <c r="G17" s="475"/>
      <c r="H17" s="475"/>
      <c r="I17" s="475"/>
      <c r="J17" s="475"/>
      <c r="K17" s="475"/>
      <c r="L17" s="475"/>
      <c r="M17" s="465">
        <v>2465770</v>
      </c>
      <c r="N17" s="482"/>
    </row>
    <row r="18" spans="1:14" s="483" customFormat="1" ht="12.75" customHeight="1" x14ac:dyDescent="0.2">
      <c r="A18" s="480" t="s">
        <v>1404</v>
      </c>
      <c r="B18" s="481">
        <v>240</v>
      </c>
      <c r="C18" s="475"/>
      <c r="D18" s="475"/>
      <c r="E18" s="475"/>
      <c r="F18" s="475"/>
      <c r="G18" s="475"/>
      <c r="H18" s="475"/>
      <c r="I18" s="475"/>
      <c r="J18" s="475"/>
      <c r="K18" s="475"/>
      <c r="L18" s="475"/>
      <c r="M18" s="465">
        <v>0</v>
      </c>
      <c r="N18" s="482"/>
    </row>
    <row r="19" spans="1:14" s="483" customFormat="1" ht="12.75" customHeight="1" x14ac:dyDescent="0.2">
      <c r="A19" s="480" t="s">
        <v>1405</v>
      </c>
      <c r="B19" s="481">
        <v>250</v>
      </c>
      <c r="C19" s="475"/>
      <c r="D19" s="475"/>
      <c r="E19" s="475"/>
      <c r="F19" s="475"/>
      <c r="G19" s="475"/>
      <c r="H19" s="475"/>
      <c r="I19" s="475"/>
      <c r="J19" s="475"/>
      <c r="K19" s="475"/>
      <c r="L19" s="475"/>
      <c r="M19" s="465">
        <v>605493</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0</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0</v>
      </c>
    </row>
    <row r="23" spans="1:14" ht="13.5" customHeight="1" thickBot="1" x14ac:dyDescent="0.25">
      <c r="A23" s="1733" t="s">
        <v>643</v>
      </c>
      <c r="B23" s="1738"/>
      <c r="C23" s="468"/>
      <c r="D23" s="468"/>
      <c r="E23" s="468"/>
      <c r="F23" s="468"/>
      <c r="G23" s="468"/>
      <c r="H23" s="468"/>
      <c r="I23" s="468"/>
      <c r="J23" s="468"/>
      <c r="K23" s="468"/>
      <c r="L23" s="468"/>
      <c r="M23" s="1685">
        <f>SUM(M15:M22)</f>
        <v>3126922</v>
      </c>
      <c r="N23" s="1685">
        <f>SUM(N21:N22)</f>
        <v>0</v>
      </c>
    </row>
    <row r="24" spans="1:14" ht="18" customHeight="1" thickTop="1" x14ac:dyDescent="0.2">
      <c r="A24" s="2185" t="s">
        <v>598</v>
      </c>
      <c r="B24" s="2186"/>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5252</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5252</v>
      </c>
      <c r="M34" s="468"/>
      <c r="N34" s="478"/>
    </row>
    <row r="35" spans="1:14" ht="18" customHeight="1" thickTop="1" x14ac:dyDescent="0.2">
      <c r="A35" s="2187" t="s">
        <v>529</v>
      </c>
      <c r="B35" s="2188"/>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0</v>
      </c>
    </row>
    <row r="37" spans="1:14" ht="13.5" thickBot="1" x14ac:dyDescent="0.25">
      <c r="A37" s="1733" t="s">
        <v>653</v>
      </c>
      <c r="B37" s="1738"/>
      <c r="C37" s="475"/>
      <c r="D37" s="475"/>
      <c r="E37" s="475"/>
      <c r="F37" s="475"/>
      <c r="G37" s="475"/>
      <c r="H37" s="475"/>
      <c r="I37" s="475"/>
      <c r="J37" s="475"/>
      <c r="K37" s="475"/>
      <c r="L37" s="478"/>
      <c r="M37" s="468"/>
      <c r="N37" s="1685">
        <f>SUM(N36:N36)</f>
        <v>0</v>
      </c>
    </row>
    <row r="38" spans="1:14" s="329" customFormat="1" ht="13.5" customHeight="1" thickTop="1" x14ac:dyDescent="0.2">
      <c r="A38" s="493" t="s">
        <v>420</v>
      </c>
      <c r="B38" s="481">
        <v>714</v>
      </c>
      <c r="C38" s="465">
        <v>0</v>
      </c>
      <c r="D38" s="465">
        <v>0</v>
      </c>
      <c r="E38" s="465">
        <v>0</v>
      </c>
      <c r="F38" s="465">
        <v>0</v>
      </c>
      <c r="G38" s="465">
        <v>0</v>
      </c>
      <c r="H38" s="465">
        <v>0</v>
      </c>
      <c r="I38" s="465">
        <v>0</v>
      </c>
      <c r="J38" s="465">
        <v>0</v>
      </c>
      <c r="K38" s="465">
        <v>0</v>
      </c>
      <c r="L38" s="465">
        <v>0</v>
      </c>
      <c r="M38" s="494"/>
      <c r="N38" s="494"/>
    </row>
    <row r="39" spans="1:14" s="329" customFormat="1" ht="13.5" customHeight="1" x14ac:dyDescent="0.2">
      <c r="A39" s="493" t="s">
        <v>342</v>
      </c>
      <c r="B39" s="481">
        <v>730</v>
      </c>
      <c r="C39" s="465">
        <v>277628</v>
      </c>
      <c r="D39" s="465">
        <v>472037</v>
      </c>
      <c r="E39" s="465">
        <v>0</v>
      </c>
      <c r="F39" s="465">
        <v>4499</v>
      </c>
      <c r="G39" s="465">
        <v>0</v>
      </c>
      <c r="H39" s="465">
        <v>0</v>
      </c>
      <c r="I39" s="465">
        <v>0</v>
      </c>
      <c r="J39" s="465">
        <v>0</v>
      </c>
      <c r="K39" s="465">
        <v>0</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3126922</v>
      </c>
      <c r="N40" s="494"/>
    </row>
    <row r="41" spans="1:14" ht="13.5" customHeight="1" thickBot="1" x14ac:dyDescent="0.25">
      <c r="A41" s="1733" t="s">
        <v>655</v>
      </c>
      <c r="B41" s="1703"/>
      <c r="C41" s="1685">
        <f>(SUM(C34,C37,C38,C39))</f>
        <v>277628</v>
      </c>
      <c r="D41" s="1685">
        <f t="shared" ref="D41:L41" si="2">SUM(D34,D37,D38:D39)</f>
        <v>472037</v>
      </c>
      <c r="E41" s="1685">
        <f t="shared" si="2"/>
        <v>0</v>
      </c>
      <c r="F41" s="1685">
        <f t="shared" si="2"/>
        <v>4499</v>
      </c>
      <c r="G41" s="1685">
        <f t="shared" si="2"/>
        <v>0</v>
      </c>
      <c r="H41" s="1685">
        <f t="shared" si="2"/>
        <v>0</v>
      </c>
      <c r="I41" s="1685">
        <f t="shared" si="2"/>
        <v>0</v>
      </c>
      <c r="J41" s="1685">
        <f t="shared" si="2"/>
        <v>0</v>
      </c>
      <c r="K41" s="1685">
        <f t="shared" si="2"/>
        <v>0</v>
      </c>
      <c r="L41" s="1685">
        <f t="shared" si="2"/>
        <v>5252</v>
      </c>
      <c r="M41" s="1685">
        <f>SUM(M40)</f>
        <v>3126922</v>
      </c>
      <c r="N41" s="1685">
        <f>SUM(N37)</f>
        <v>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3" sqref="A3:B3"/>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97"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98"/>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209" t="s">
        <v>1175</v>
      </c>
      <c r="B3" s="2210"/>
      <c r="C3" s="1570"/>
      <c r="D3" s="1571"/>
      <c r="E3" s="1571"/>
      <c r="F3" s="1571"/>
      <c r="G3" s="1571"/>
      <c r="H3" s="1571"/>
      <c r="I3" s="1571"/>
      <c r="J3" s="1571"/>
      <c r="K3" s="1572"/>
      <c r="L3" s="503"/>
    </row>
    <row r="4" spans="1:13" ht="15.75" customHeight="1" x14ac:dyDescent="0.2">
      <c r="A4" s="1925" t="s">
        <v>1499</v>
      </c>
      <c r="B4" s="1926">
        <v>1000</v>
      </c>
      <c r="C4" s="1739">
        <f>'Revenues 9-14'!C109</f>
        <v>3684959</v>
      </c>
      <c r="D4" s="1739">
        <f>'Revenues 9-14'!D109</f>
        <v>0</v>
      </c>
      <c r="E4" s="1739">
        <f>'Revenues 9-14'!E109</f>
        <v>0</v>
      </c>
      <c r="F4" s="1739">
        <f>'Revenues 9-14'!F109</f>
        <v>0</v>
      </c>
      <c r="G4" s="1739">
        <f>'Revenues 9-14'!G109</f>
        <v>0</v>
      </c>
      <c r="H4" s="1739">
        <f>'Revenues 9-14'!H109</f>
        <v>0</v>
      </c>
      <c r="I4" s="1739">
        <f>'Revenues 9-14'!I109</f>
        <v>0</v>
      </c>
      <c r="J4" s="1739">
        <f>'Revenues 9-14'!J109</f>
        <v>0</v>
      </c>
      <c r="K4" s="1739">
        <f>'Revenues 9-14'!K109</f>
        <v>0</v>
      </c>
      <c r="L4" s="347"/>
    </row>
    <row r="5" spans="1:13" ht="15.75" customHeight="1" x14ac:dyDescent="0.2">
      <c r="A5" s="1573" t="s">
        <v>1500</v>
      </c>
      <c r="B5" s="1574">
        <v>2000</v>
      </c>
      <c r="C5" s="1740">
        <f>'Revenues 9-14'!C114</f>
        <v>3100153</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407932</v>
      </c>
      <c r="D6" s="1740">
        <f>'Revenues 9-14'!D170</f>
        <v>0</v>
      </c>
      <c r="E6" s="1740">
        <f>'Revenues 9-14'!E170</f>
        <v>0</v>
      </c>
      <c r="F6" s="1740">
        <f>'Revenues 9-14'!F170</f>
        <v>10896</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2500169</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9693213</v>
      </c>
      <c r="D8" s="1685">
        <f t="shared" ref="D8:K8" si="0">SUM(D4:D7)</f>
        <v>0</v>
      </c>
      <c r="E8" s="1685">
        <f t="shared" si="0"/>
        <v>0</v>
      </c>
      <c r="F8" s="1685">
        <f t="shared" si="0"/>
        <v>10896</v>
      </c>
      <c r="G8" s="1685">
        <f t="shared" si="0"/>
        <v>0</v>
      </c>
      <c r="H8" s="1685">
        <f t="shared" si="0"/>
        <v>0</v>
      </c>
      <c r="I8" s="1685">
        <f t="shared" si="0"/>
        <v>0</v>
      </c>
      <c r="J8" s="1685">
        <f t="shared" si="0"/>
        <v>0</v>
      </c>
      <c r="K8" s="1685">
        <f t="shared" si="0"/>
        <v>0</v>
      </c>
      <c r="L8" s="347"/>
    </row>
    <row r="9" spans="1:13" ht="15.75" thickTop="1" x14ac:dyDescent="0.2">
      <c r="A9" s="511" t="s">
        <v>1653</v>
      </c>
      <c r="B9" s="512">
        <v>3998</v>
      </c>
      <c r="C9" s="465">
        <v>1128633</v>
      </c>
      <c r="D9" s="513"/>
      <c r="E9" s="479"/>
      <c r="F9" s="479"/>
      <c r="G9" s="514"/>
      <c r="H9" s="479"/>
      <c r="I9" s="506" t="s">
        <v>1169</v>
      </c>
      <c r="J9" s="476"/>
      <c r="K9" s="479"/>
      <c r="L9" s="347"/>
    </row>
    <row r="10" spans="1:13" s="516" customFormat="1" ht="13.5" thickBot="1" x14ac:dyDescent="0.25">
      <c r="A10" s="1733" t="s">
        <v>1173</v>
      </c>
      <c r="B10" s="1706"/>
      <c r="C10" s="1685">
        <f>SUM(C8:C9)</f>
        <v>10821846</v>
      </c>
      <c r="D10" s="1685">
        <f t="shared" ref="D10:K10" si="1">SUM(D8:D9)</f>
        <v>0</v>
      </c>
      <c r="E10" s="1685">
        <f t="shared" si="1"/>
        <v>0</v>
      </c>
      <c r="F10" s="1685">
        <f t="shared" si="1"/>
        <v>10896</v>
      </c>
      <c r="G10" s="1685">
        <f t="shared" si="1"/>
        <v>0</v>
      </c>
      <c r="H10" s="1685">
        <f t="shared" si="1"/>
        <v>0</v>
      </c>
      <c r="I10" s="1685">
        <f t="shared" si="1"/>
        <v>0</v>
      </c>
      <c r="J10" s="1685">
        <f t="shared" si="1"/>
        <v>0</v>
      </c>
      <c r="K10" s="1685">
        <f t="shared" si="1"/>
        <v>0</v>
      </c>
      <c r="L10" s="515"/>
    </row>
    <row r="11" spans="1:13" s="516" customFormat="1" ht="16.7" customHeight="1" thickTop="1" x14ac:dyDescent="0.2">
      <c r="A11" s="2183" t="s">
        <v>1176</v>
      </c>
      <c r="B11" s="2184"/>
      <c r="C11" s="1567"/>
      <c r="D11" s="1568"/>
      <c r="E11" s="1568"/>
      <c r="F11" s="1568"/>
      <c r="G11" s="1568"/>
      <c r="H11" s="1568"/>
      <c r="I11" s="1568"/>
      <c r="J11" s="1568"/>
      <c r="K11" s="1569"/>
      <c r="L11" s="515"/>
    </row>
    <row r="12" spans="1:13" ht="15.75" customHeight="1" x14ac:dyDescent="0.2">
      <c r="A12" s="1573" t="s">
        <v>456</v>
      </c>
      <c r="B12" s="1575">
        <v>1000</v>
      </c>
      <c r="C12" s="1739">
        <f>'Expenditures 15-22'!K33</f>
        <v>1477691</v>
      </c>
      <c r="D12" s="517" t="s">
        <v>1169</v>
      </c>
      <c r="E12" s="468" t="s">
        <v>1169</v>
      </c>
      <c r="F12" s="468" t="s">
        <v>1169</v>
      </c>
      <c r="G12" s="1739">
        <f>'Expenditures 15-22'!K229</f>
        <v>0</v>
      </c>
      <c r="H12" s="518"/>
      <c r="I12" s="468" t="s">
        <v>1169</v>
      </c>
      <c r="J12" s="468" t="s">
        <v>1169</v>
      </c>
      <c r="K12" s="518" t="s">
        <v>1169</v>
      </c>
      <c r="L12" s="347"/>
    </row>
    <row r="13" spans="1:13" ht="15.75" customHeight="1" x14ac:dyDescent="0.2">
      <c r="A13" s="1573" t="s">
        <v>457</v>
      </c>
      <c r="B13" s="1575">
        <v>2000</v>
      </c>
      <c r="C13" s="1740">
        <f>'Expenditures 15-22'!K74</f>
        <v>3455561</v>
      </c>
      <c r="D13" s="1740">
        <f>'Expenditures 15-22'!K129</f>
        <v>0</v>
      </c>
      <c r="E13" s="469" t="s">
        <v>1169</v>
      </c>
      <c r="F13" s="1740">
        <f>'Expenditures 15-22'!K184</f>
        <v>10675</v>
      </c>
      <c r="G13" s="1740">
        <f>'Expenditures 15-22'!K279</f>
        <v>0</v>
      </c>
      <c r="H13" s="1740">
        <f>'Expenditures 15-22'!K303</f>
        <v>0</v>
      </c>
      <c r="I13" s="468" t="s">
        <v>1169</v>
      </c>
      <c r="J13" s="1740">
        <f>'Expenditures 15-22'!K330</f>
        <v>0</v>
      </c>
      <c r="K13" s="1744">
        <f>'Expenditures 15-22'!K352</f>
        <v>0</v>
      </c>
      <c r="L13" s="347"/>
    </row>
    <row r="14" spans="1:13" ht="15.75" customHeight="1" x14ac:dyDescent="0.2">
      <c r="A14" s="1573" t="s">
        <v>449</v>
      </c>
      <c r="B14" s="1575">
        <v>3000</v>
      </c>
      <c r="C14" s="1740">
        <f>'Expenditures 15-22'!K75</f>
        <v>0</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5093386</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0</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10026638</v>
      </c>
      <c r="D17" s="1685">
        <f t="shared" si="2"/>
        <v>0</v>
      </c>
      <c r="E17" s="1685">
        <f t="shared" si="2"/>
        <v>0</v>
      </c>
      <c r="F17" s="1685">
        <f t="shared" si="2"/>
        <v>10675</v>
      </c>
      <c r="G17" s="1685">
        <f t="shared" si="2"/>
        <v>0</v>
      </c>
      <c r="H17" s="1685">
        <f t="shared" si="2"/>
        <v>0</v>
      </c>
      <c r="I17" s="468"/>
      <c r="J17" s="1685">
        <f>SUM(J12:J16)</f>
        <v>0</v>
      </c>
      <c r="K17" s="1685">
        <f>SUM(K12:K16)</f>
        <v>0</v>
      </c>
      <c r="L17" s="347"/>
    </row>
    <row r="18" spans="1:12" ht="15" customHeight="1" thickTop="1" x14ac:dyDescent="0.2">
      <c r="A18" s="1741" t="s">
        <v>1654</v>
      </c>
      <c r="B18" s="1742">
        <v>4180</v>
      </c>
      <c r="C18" s="1739">
        <f t="shared" ref="C18:H18" si="3">C9</f>
        <v>1128633</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11155271</v>
      </c>
      <c r="D19" s="1685">
        <f t="shared" si="4"/>
        <v>0</v>
      </c>
      <c r="E19" s="1685">
        <f t="shared" si="4"/>
        <v>0</v>
      </c>
      <c r="F19" s="1685">
        <f t="shared" si="4"/>
        <v>10675</v>
      </c>
      <c r="G19" s="1685">
        <f t="shared" si="4"/>
        <v>0</v>
      </c>
      <c r="H19" s="1685">
        <f t="shared" si="4"/>
        <v>0</v>
      </c>
      <c r="I19" s="468"/>
      <c r="J19" s="1685">
        <f>SUM(J17:J18)</f>
        <v>0</v>
      </c>
      <c r="K19" s="1685">
        <f>SUM(K17:K18)</f>
        <v>0</v>
      </c>
      <c r="L19" s="347"/>
    </row>
    <row r="20" spans="1:12" ht="16.5" thickTop="1" thickBot="1" x14ac:dyDescent="0.25">
      <c r="A20" s="2199" t="s">
        <v>1655</v>
      </c>
      <c r="B20" s="2200"/>
      <c r="C20" s="1743">
        <f>C8-C17</f>
        <v>-333425</v>
      </c>
      <c r="D20" s="1743">
        <f t="shared" ref="D20:K20" si="5">D8-D17</f>
        <v>0</v>
      </c>
      <c r="E20" s="1743">
        <f t="shared" si="5"/>
        <v>0</v>
      </c>
      <c r="F20" s="1743">
        <f t="shared" si="5"/>
        <v>221</v>
      </c>
      <c r="G20" s="1743">
        <f t="shared" si="5"/>
        <v>0</v>
      </c>
      <c r="H20" s="1743">
        <f t="shared" si="5"/>
        <v>0</v>
      </c>
      <c r="I20" s="1743">
        <f t="shared" si="5"/>
        <v>0</v>
      </c>
      <c r="J20" s="1743">
        <f t="shared" si="5"/>
        <v>0</v>
      </c>
      <c r="K20" s="1743">
        <f t="shared" si="5"/>
        <v>0</v>
      </c>
      <c r="L20" s="347"/>
    </row>
    <row r="21" spans="1:12" ht="16.7" customHeight="1" thickTop="1" x14ac:dyDescent="0.2">
      <c r="A21" s="2211" t="s">
        <v>595</v>
      </c>
      <c r="B21" s="2212"/>
      <c r="C21" s="1567"/>
      <c r="D21" s="1568"/>
      <c r="E21" s="1568"/>
      <c r="F21" s="1568"/>
      <c r="G21" s="1568"/>
      <c r="H21" s="1568"/>
      <c r="I21" s="1568"/>
      <c r="J21" s="1568"/>
      <c r="K21" s="1569"/>
      <c r="L21" s="521"/>
    </row>
    <row r="22" spans="1:12" ht="15.75" customHeight="1" collapsed="1" x14ac:dyDescent="0.2">
      <c r="A22" s="2207" t="s">
        <v>596</v>
      </c>
      <c r="B22" s="2208"/>
      <c r="C22" s="475"/>
      <c r="D22" s="475"/>
      <c r="E22" s="475"/>
      <c r="F22" s="475"/>
      <c r="G22" s="475"/>
      <c r="H22" s="475"/>
      <c r="I22" s="475"/>
      <c r="J22" s="475"/>
      <c r="K22" s="475"/>
      <c r="L22" s="347"/>
    </row>
    <row r="23" spans="1:12" s="483" customFormat="1" ht="15.75" customHeight="1" x14ac:dyDescent="0.2">
      <c r="A23" s="2203" t="s">
        <v>293</v>
      </c>
      <c r="B23" s="2204"/>
      <c r="C23" s="478"/>
      <c r="D23" s="475"/>
      <c r="E23" s="475"/>
      <c r="F23" s="475"/>
      <c r="G23" s="475"/>
      <c r="H23" s="475"/>
      <c r="I23" s="475"/>
      <c r="J23" s="475"/>
      <c r="K23" s="475"/>
      <c r="L23" s="521"/>
    </row>
    <row r="24" spans="1:12" s="483" customFormat="1" ht="13.5" customHeight="1" x14ac:dyDescent="0.2">
      <c r="A24" s="1486" t="s">
        <v>1656</v>
      </c>
      <c r="B24" s="522">
        <v>7110</v>
      </c>
      <c r="C24" s="465"/>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1791</v>
      </c>
      <c r="B30" s="524">
        <v>7160</v>
      </c>
      <c r="C30" s="475"/>
      <c r="D30" s="467">
        <v>0</v>
      </c>
      <c r="E30" s="475"/>
      <c r="F30" s="475"/>
      <c r="G30" s="475"/>
      <c r="H30" s="475"/>
      <c r="I30" s="475"/>
      <c r="J30" s="475"/>
      <c r="K30" s="475"/>
      <c r="L30" s="521"/>
    </row>
    <row r="31" spans="1:12" s="483" customFormat="1" ht="26.25" x14ac:dyDescent="0.2">
      <c r="A31" s="1486" t="s">
        <v>1795</v>
      </c>
      <c r="B31" s="524">
        <v>7170</v>
      </c>
      <c r="C31" s="475"/>
      <c r="D31" s="475"/>
      <c r="E31" s="473">
        <v>0</v>
      </c>
      <c r="F31" s="475"/>
      <c r="G31" s="475"/>
      <c r="H31" s="475"/>
      <c r="I31" s="475"/>
      <c r="J31" s="475"/>
      <c r="K31" s="475"/>
      <c r="L31" s="521"/>
    </row>
    <row r="32" spans="1:12" s="483" customFormat="1" ht="15.75" customHeight="1" x14ac:dyDescent="0.2">
      <c r="A32" s="2205" t="s">
        <v>981</v>
      </c>
      <c r="B32" s="2206"/>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213" t="s">
        <v>374</v>
      </c>
      <c r="B44" s="2214"/>
      <c r="C44" s="1700">
        <f>SUM(C24:C43)</f>
        <v>0</v>
      </c>
      <c r="D44" s="1700">
        <f t="shared" ref="D44:K44" si="6">SUM(D24:D43)</f>
        <v>0</v>
      </c>
      <c r="E44" s="1700">
        <f t="shared" si="6"/>
        <v>0</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207" t="s">
        <v>108</v>
      </c>
      <c r="B45" s="2208"/>
      <c r="C45" s="525"/>
      <c r="D45" s="525"/>
      <c r="E45" s="525"/>
      <c r="F45" s="525"/>
      <c r="G45" s="525"/>
      <c r="H45" s="525"/>
      <c r="I45" s="525"/>
      <c r="J45" s="525"/>
      <c r="K45" s="525"/>
      <c r="L45" s="347"/>
    </row>
    <row r="46" spans="1:12" s="483" customFormat="1" ht="15.75" customHeight="1" x14ac:dyDescent="0.2">
      <c r="A46" s="2215" t="s">
        <v>109</v>
      </c>
      <c r="B46" s="2216"/>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1794</v>
      </c>
      <c r="B52" s="481">
        <v>8160</v>
      </c>
      <c r="C52" s="475"/>
      <c r="D52" s="475"/>
      <c r="E52" s="475"/>
      <c r="F52" s="475"/>
      <c r="G52" s="475"/>
      <c r="H52" s="475"/>
      <c r="I52" s="475"/>
      <c r="J52" s="475"/>
      <c r="K52" s="1740">
        <f>D30</f>
        <v>0</v>
      </c>
      <c r="L52" s="521"/>
    </row>
    <row r="53" spans="1:12" s="483" customFormat="1" ht="26.25" x14ac:dyDescent="0.2">
      <c r="A53" s="1487" t="s">
        <v>1793</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89" t="s">
        <v>440</v>
      </c>
      <c r="B76" s="2190"/>
      <c r="C76" s="1700">
        <f t="shared" ref="C76:K76" si="7">SUM(C47:C75)</f>
        <v>0</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191" t="s">
        <v>1177</v>
      </c>
      <c r="B77" s="2192"/>
      <c r="C77" s="1700">
        <f t="shared" ref="C77:K77" si="8">C44-C76</f>
        <v>0</v>
      </c>
      <c r="D77" s="1700">
        <f t="shared" si="8"/>
        <v>0</v>
      </c>
      <c r="E77" s="1700">
        <f t="shared" si="8"/>
        <v>0</v>
      </c>
      <c r="F77" s="1700">
        <f t="shared" si="8"/>
        <v>0</v>
      </c>
      <c r="G77" s="1700">
        <f t="shared" si="8"/>
        <v>0</v>
      </c>
      <c r="H77" s="1700">
        <f t="shared" si="8"/>
        <v>0</v>
      </c>
      <c r="I77" s="1700">
        <f t="shared" si="8"/>
        <v>0</v>
      </c>
      <c r="J77" s="1700">
        <f t="shared" si="8"/>
        <v>0</v>
      </c>
      <c r="K77" s="1700">
        <f t="shared" si="8"/>
        <v>0</v>
      </c>
      <c r="L77" s="347"/>
    </row>
    <row r="78" spans="1:12" ht="21.75" customHeight="1" thickTop="1" thickBot="1" x14ac:dyDescent="0.25">
      <c r="A78" s="2195" t="s">
        <v>597</v>
      </c>
      <c r="B78" s="2196"/>
      <c r="C78" s="1699">
        <f t="shared" ref="C78:K78" si="9">C20+C77</f>
        <v>-333425</v>
      </c>
      <c r="D78" s="1699">
        <f t="shared" si="9"/>
        <v>0</v>
      </c>
      <c r="E78" s="1699">
        <f t="shared" si="9"/>
        <v>0</v>
      </c>
      <c r="F78" s="1699">
        <f t="shared" si="9"/>
        <v>221</v>
      </c>
      <c r="G78" s="1699">
        <f t="shared" si="9"/>
        <v>0</v>
      </c>
      <c r="H78" s="1699">
        <f t="shared" si="9"/>
        <v>0</v>
      </c>
      <c r="I78" s="1699">
        <f t="shared" si="9"/>
        <v>0</v>
      </c>
      <c r="J78" s="1699">
        <f t="shared" si="9"/>
        <v>0</v>
      </c>
      <c r="K78" s="1699">
        <f t="shared" si="9"/>
        <v>0</v>
      </c>
      <c r="L78" s="530"/>
    </row>
    <row r="79" spans="1:12" ht="13.5" thickTop="1" x14ac:dyDescent="0.2">
      <c r="A79" s="1491" t="s">
        <v>1946</v>
      </c>
      <c r="B79" s="531"/>
      <c r="C79" s="476">
        <v>611053</v>
      </c>
      <c r="D79" s="476">
        <v>472037</v>
      </c>
      <c r="E79" s="476">
        <v>0</v>
      </c>
      <c r="F79" s="476">
        <v>4278</v>
      </c>
      <c r="G79" s="476">
        <v>0</v>
      </c>
      <c r="H79" s="476">
        <v>0</v>
      </c>
      <c r="I79" s="476">
        <v>0</v>
      </c>
      <c r="J79" s="476">
        <v>0</v>
      </c>
      <c r="K79" s="476">
        <v>0</v>
      </c>
      <c r="L79" s="347"/>
    </row>
    <row r="80" spans="1:12" x14ac:dyDescent="0.2">
      <c r="A80" s="2201" t="s">
        <v>1792</v>
      </c>
      <c r="B80" s="2202"/>
      <c r="C80" s="467">
        <v>0</v>
      </c>
      <c r="D80" s="467">
        <v>0</v>
      </c>
      <c r="E80" s="467">
        <v>0</v>
      </c>
      <c r="F80" s="467">
        <v>0</v>
      </c>
      <c r="G80" s="467">
        <v>0</v>
      </c>
      <c r="H80" s="467">
        <v>0</v>
      </c>
      <c r="I80" s="467">
        <v>0</v>
      </c>
      <c r="J80" s="467">
        <v>0</v>
      </c>
      <c r="K80" s="467">
        <v>0</v>
      </c>
      <c r="L80" s="347"/>
    </row>
    <row r="81" spans="1:12" ht="13.5" thickBot="1" x14ac:dyDescent="0.25">
      <c r="A81" s="2193" t="s">
        <v>1947</v>
      </c>
      <c r="B81" s="2194"/>
      <c r="C81" s="1685">
        <f>(SUM(C78:C80))</f>
        <v>277628</v>
      </c>
      <c r="D81" s="1685">
        <f>SUM(D78:D80)</f>
        <v>472037</v>
      </c>
      <c r="E81" s="1685">
        <f t="shared" ref="E81:K81" si="10">SUM(E78:E80)</f>
        <v>0</v>
      </c>
      <c r="F81" s="1685">
        <f t="shared" si="10"/>
        <v>4499</v>
      </c>
      <c r="G81" s="1685">
        <f t="shared" si="10"/>
        <v>0</v>
      </c>
      <c r="H81" s="1685">
        <f t="shared" si="10"/>
        <v>0</v>
      </c>
      <c r="I81" s="1685">
        <f t="shared" si="10"/>
        <v>0</v>
      </c>
      <c r="J81" s="1685">
        <f t="shared" si="10"/>
        <v>0</v>
      </c>
      <c r="K81" s="1685">
        <f t="shared" si="10"/>
        <v>0</v>
      </c>
      <c r="L81" s="347"/>
    </row>
    <row r="82" spans="1:12" ht="0.75" customHeight="1" thickTop="1" thickBot="1" x14ac:dyDescent="0.25">
      <c r="A82" s="533" t="s">
        <v>343</v>
      </c>
      <c r="B82" s="534"/>
      <c r="C82" s="535">
        <f>(C81-C79)</f>
        <v>-333425</v>
      </c>
      <c r="D82" s="535">
        <f t="shared" ref="D82:K82" si="11">(D81-D79)</f>
        <v>0</v>
      </c>
      <c r="E82" s="535">
        <f t="shared" si="11"/>
        <v>0</v>
      </c>
      <c r="F82" s="535">
        <f t="shared" si="11"/>
        <v>221</v>
      </c>
      <c r="G82" s="535">
        <f t="shared" si="11"/>
        <v>0</v>
      </c>
      <c r="H82" s="535">
        <f t="shared" si="11"/>
        <v>0</v>
      </c>
      <c r="I82" s="535">
        <f t="shared" si="11"/>
        <v>0</v>
      </c>
      <c r="J82" s="535">
        <f t="shared" si="11"/>
        <v>0</v>
      </c>
      <c r="K82" s="535">
        <f t="shared" si="11"/>
        <v>0</v>
      </c>
    </row>
    <row r="83" spans="1:12" ht="14.25" hidden="1" thickTop="1" thickBot="1" x14ac:dyDescent="0.25">
      <c r="A83" s="536" t="s">
        <v>344</v>
      </c>
      <c r="B83" s="464"/>
      <c r="C83" s="537">
        <f>C82/C81</f>
        <v>-1.2009775671041827</v>
      </c>
      <c r="D83" s="537">
        <f t="shared" ref="D83:K83" si="12">D82/D81</f>
        <v>0</v>
      </c>
      <c r="E83" s="537" t="e">
        <f t="shared" si="12"/>
        <v>#DIV/0!</v>
      </c>
      <c r="F83" s="537">
        <f t="shared" si="12"/>
        <v>4.9122027117137139E-2</v>
      </c>
      <c r="G83" s="537" t="e">
        <f t="shared" si="12"/>
        <v>#DIV/0!</v>
      </c>
      <c r="H83" s="537" t="e">
        <f t="shared" si="12"/>
        <v>#DIV/0!</v>
      </c>
      <c r="I83" s="537" t="e">
        <f t="shared" si="12"/>
        <v>#DIV/0!</v>
      </c>
      <c r="J83" s="537" t="e">
        <f t="shared" si="12"/>
        <v>#DIV/0!</v>
      </c>
      <c r="K83" s="537" t="e">
        <f t="shared" si="12"/>
        <v>#DIV/0!</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3" sqref="A3:B3"/>
      <selection pane="bottomLeft" activeCell="C33" sqref="C33"/>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97" t="s">
        <v>1799</v>
      </c>
      <c r="B1" s="452"/>
      <c r="C1" s="453" t="s">
        <v>425</v>
      </c>
      <c r="D1" s="453" t="s">
        <v>426</v>
      </c>
      <c r="E1" s="453" t="s">
        <v>427</v>
      </c>
      <c r="F1" s="453" t="s">
        <v>428</v>
      </c>
      <c r="G1" s="453" t="s">
        <v>429</v>
      </c>
      <c r="H1" s="453" t="s">
        <v>430</v>
      </c>
      <c r="I1" s="453" t="s">
        <v>431</v>
      </c>
      <c r="J1" s="453" t="s">
        <v>432</v>
      </c>
      <c r="K1" s="453" t="s">
        <v>756</v>
      </c>
    </row>
    <row r="2" spans="1:12" ht="36" x14ac:dyDescent="0.2">
      <c r="A2" s="2198"/>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0</v>
      </c>
      <c r="D5" s="479">
        <v>0</v>
      </c>
      <c r="E5" s="466">
        <v>0</v>
      </c>
      <c r="F5" s="545">
        <v>0</v>
      </c>
      <c r="G5" s="466">
        <v>0</v>
      </c>
      <c r="H5" s="466">
        <v>0</v>
      </c>
      <c r="I5" s="466">
        <v>0</v>
      </c>
      <c r="J5" s="467">
        <v>0</v>
      </c>
      <c r="K5" s="466">
        <v>0</v>
      </c>
    </row>
    <row r="6" spans="1:12" ht="15" x14ac:dyDescent="0.2">
      <c r="A6" s="463" t="s">
        <v>1662</v>
      </c>
      <c r="B6" s="470">
        <v>1130</v>
      </c>
      <c r="C6" s="466">
        <v>0</v>
      </c>
      <c r="D6" s="466">
        <v>0</v>
      </c>
      <c r="E6" s="474"/>
      <c r="F6" s="474"/>
      <c r="G6" s="468"/>
      <c r="H6" s="468"/>
      <c r="I6" s="468"/>
      <c r="J6" s="468"/>
      <c r="K6" s="468"/>
    </row>
    <row r="7" spans="1:12" x14ac:dyDescent="0.2">
      <c r="A7" s="463" t="s">
        <v>110</v>
      </c>
      <c r="B7" s="546">
        <v>1140</v>
      </c>
      <c r="C7" s="466">
        <v>0</v>
      </c>
      <c r="D7" s="466">
        <v>0</v>
      </c>
      <c r="E7" s="468"/>
      <c r="F7" s="467">
        <v>0</v>
      </c>
      <c r="G7" s="467">
        <v>0</v>
      </c>
      <c r="H7" s="467">
        <v>0</v>
      </c>
      <c r="I7" s="468"/>
      <c r="J7" s="468"/>
      <c r="K7" s="468"/>
    </row>
    <row r="8" spans="1:12" x14ac:dyDescent="0.2">
      <c r="A8" s="463" t="s">
        <v>413</v>
      </c>
      <c r="B8" s="470">
        <v>1150</v>
      </c>
      <c r="C8" s="474"/>
      <c r="D8" s="474"/>
      <c r="E8" s="475"/>
      <c r="F8" s="475"/>
      <c r="G8" s="479">
        <v>0</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0</v>
      </c>
      <c r="D12" s="1704">
        <f t="shared" si="0"/>
        <v>0</v>
      </c>
      <c r="E12" s="1704">
        <f t="shared" si="0"/>
        <v>0</v>
      </c>
      <c r="F12" s="1704">
        <f t="shared" si="0"/>
        <v>0</v>
      </c>
      <c r="G12" s="1704">
        <f t="shared" si="0"/>
        <v>0</v>
      </c>
      <c r="H12" s="1704">
        <f t="shared" si="0"/>
        <v>0</v>
      </c>
      <c r="I12" s="1704">
        <f t="shared" si="0"/>
        <v>0</v>
      </c>
      <c r="J12" s="1704">
        <f t="shared" si="0"/>
        <v>0</v>
      </c>
      <c r="K12" s="1685">
        <f t="shared" si="0"/>
        <v>0</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0</v>
      </c>
      <c r="D14" s="466">
        <v>0</v>
      </c>
      <c r="E14" s="466">
        <v>0</v>
      </c>
      <c r="F14" s="466">
        <v>0</v>
      </c>
      <c r="G14" s="466">
        <v>0</v>
      </c>
      <c r="H14" s="466">
        <v>0</v>
      </c>
      <c r="I14" s="466">
        <v>0</v>
      </c>
      <c r="J14" s="467">
        <v>0</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0</v>
      </c>
      <c r="D16" s="466">
        <v>0</v>
      </c>
      <c r="E16" s="466">
        <v>0</v>
      </c>
      <c r="F16" s="466">
        <v>0</v>
      </c>
      <c r="G16" s="466">
        <v>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0</v>
      </c>
      <c r="D18" s="1707">
        <f t="shared" ref="D18:K18" si="1">SUM(D14:D17)</f>
        <v>0</v>
      </c>
      <c r="E18" s="1707">
        <f t="shared" si="1"/>
        <v>0</v>
      </c>
      <c r="F18" s="1707">
        <f t="shared" si="1"/>
        <v>0</v>
      </c>
      <c r="G18" s="1707">
        <f t="shared" si="1"/>
        <v>0</v>
      </c>
      <c r="H18" s="1707">
        <f t="shared" si="1"/>
        <v>0</v>
      </c>
      <c r="I18" s="1707">
        <f t="shared" si="1"/>
        <v>0</v>
      </c>
      <c r="J18" s="1707">
        <f t="shared" si="1"/>
        <v>0</v>
      </c>
      <c r="K18" s="1708">
        <f t="shared" si="1"/>
        <v>0</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113448</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3275562</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3389010</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16617</v>
      </c>
      <c r="D65" s="466">
        <v>0</v>
      </c>
      <c r="E65" s="466">
        <v>0</v>
      </c>
      <c r="F65" s="467">
        <v>0</v>
      </c>
      <c r="G65" s="466">
        <v>0</v>
      </c>
      <c r="H65" s="466">
        <v>0</v>
      </c>
      <c r="I65" s="466">
        <v>0</v>
      </c>
      <c r="J65" s="467">
        <v>0</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16617</v>
      </c>
      <c r="D67" s="1685">
        <f t="shared" ref="D67:K67" si="2">SUM(D65:D66)</f>
        <v>0</v>
      </c>
      <c r="E67" s="1685">
        <f t="shared" si="2"/>
        <v>0</v>
      </c>
      <c r="F67" s="1685">
        <f t="shared" si="2"/>
        <v>0</v>
      </c>
      <c r="G67" s="1685">
        <f t="shared" si="2"/>
        <v>0</v>
      </c>
      <c r="H67" s="1685">
        <f t="shared" si="2"/>
        <v>0</v>
      </c>
      <c r="I67" s="1685">
        <f t="shared" si="2"/>
        <v>0</v>
      </c>
      <c r="J67" s="1685">
        <f t="shared" si="2"/>
        <v>0</v>
      </c>
      <c r="K67" s="1685">
        <f t="shared" si="2"/>
        <v>0</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5663</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0</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5" t="s">
        <v>548</v>
      </c>
      <c r="B75" s="1706"/>
      <c r="C75" s="1685">
        <f>SUM(C69:C74)</f>
        <v>5663</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0</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0</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0</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0</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0</v>
      </c>
      <c r="E95" s="518"/>
      <c r="F95" s="518"/>
      <c r="G95" s="518"/>
      <c r="H95" s="518"/>
      <c r="I95" s="518"/>
      <c r="J95" s="518"/>
      <c r="K95" s="518"/>
    </row>
    <row r="96" spans="1:11" ht="12.75" customHeight="1" x14ac:dyDescent="0.2">
      <c r="A96" s="463" t="s">
        <v>391</v>
      </c>
      <c r="B96" s="470">
        <v>1920</v>
      </c>
      <c r="C96" s="548">
        <v>0</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0</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0</v>
      </c>
      <c r="I103" s="468"/>
      <c r="J103" s="507"/>
      <c r="K103" s="507"/>
    </row>
    <row r="104" spans="1:12" ht="12.75" customHeight="1" x14ac:dyDescent="0.2">
      <c r="A104" s="463" t="s">
        <v>830</v>
      </c>
      <c r="B104" s="470">
        <v>1991</v>
      </c>
      <c r="C104" s="486">
        <v>269857</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3812</v>
      </c>
      <c r="D107" s="466">
        <v>0</v>
      </c>
      <c r="E107" s="466">
        <v>0</v>
      </c>
      <c r="F107" s="466">
        <v>0</v>
      </c>
      <c r="G107" s="466">
        <v>0</v>
      </c>
      <c r="H107" s="466">
        <v>0</v>
      </c>
      <c r="I107" s="466">
        <v>0</v>
      </c>
      <c r="J107" s="467">
        <v>0</v>
      </c>
      <c r="K107" s="466">
        <v>0</v>
      </c>
    </row>
    <row r="108" spans="1:12" ht="12.75" customHeight="1" thickBot="1" x14ac:dyDescent="0.25">
      <c r="A108" s="1705" t="s">
        <v>487</v>
      </c>
      <c r="B108" s="1709"/>
      <c r="C108" s="1704">
        <f>SUM(C95:C107)</f>
        <v>273669</v>
      </c>
      <c r="D108" s="1704">
        <f t="shared" ref="D108:K108" si="3">SUM(D95:D107)</f>
        <v>0</v>
      </c>
      <c r="E108" s="1704">
        <f t="shared" si="3"/>
        <v>0</v>
      </c>
      <c r="F108" s="1704">
        <f t="shared" si="3"/>
        <v>0</v>
      </c>
      <c r="G108" s="1704">
        <f t="shared" si="3"/>
        <v>0</v>
      </c>
      <c r="H108" s="1704">
        <f t="shared" si="3"/>
        <v>0</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3684959</v>
      </c>
      <c r="D109" s="1712">
        <f t="shared" si="4"/>
        <v>0</v>
      </c>
      <c r="E109" s="1712">
        <f t="shared" si="4"/>
        <v>0</v>
      </c>
      <c r="F109" s="1712">
        <f t="shared" si="4"/>
        <v>0</v>
      </c>
      <c r="G109" s="1712">
        <f t="shared" si="4"/>
        <v>0</v>
      </c>
      <c r="H109" s="1712">
        <f t="shared" si="4"/>
        <v>0</v>
      </c>
      <c r="I109" s="1712">
        <f t="shared" si="4"/>
        <v>0</v>
      </c>
      <c r="J109" s="1712">
        <f t="shared" si="4"/>
        <v>0</v>
      </c>
      <c r="K109" s="1699">
        <f t="shared" si="4"/>
        <v>0</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3100153</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3100153</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407593</v>
      </c>
      <c r="D117" s="479">
        <v>0</v>
      </c>
      <c r="E117" s="466">
        <v>0</v>
      </c>
      <c r="F117" s="479">
        <v>0</v>
      </c>
      <c r="G117" s="479">
        <v>0</v>
      </c>
      <c r="H117" s="466">
        <v>0</v>
      </c>
      <c r="I117" s="468"/>
      <c r="J117" s="467">
        <v>0</v>
      </c>
      <c r="K117" s="466">
        <v>0</v>
      </c>
    </row>
    <row r="118" spans="1:11" ht="12.75" customHeight="1" x14ac:dyDescent="0.2">
      <c r="A118" s="463" t="s">
        <v>1796</v>
      </c>
      <c r="B118" s="559">
        <v>3002</v>
      </c>
      <c r="C118" s="548"/>
      <c r="D118" s="466"/>
      <c r="E118" s="466"/>
      <c r="F118" s="466"/>
      <c r="G118" s="466"/>
      <c r="H118" s="466"/>
      <c r="I118" s="468"/>
      <c r="J118" s="467"/>
      <c r="K118" s="466"/>
    </row>
    <row r="119" spans="1:11" ht="12.75" customHeight="1" x14ac:dyDescent="0.2">
      <c r="A119" s="463" t="s">
        <v>1797</v>
      </c>
      <c r="B119" s="559">
        <v>3005</v>
      </c>
      <c r="C119" s="548">
        <v>0</v>
      </c>
      <c r="D119" s="466">
        <v>0</v>
      </c>
      <c r="E119" s="466">
        <v>0</v>
      </c>
      <c r="F119" s="466">
        <v>0</v>
      </c>
      <c r="G119" s="479">
        <v>0</v>
      </c>
      <c r="H119" s="466">
        <v>0</v>
      </c>
      <c r="I119" s="468"/>
      <c r="J119" s="467">
        <v>0</v>
      </c>
      <c r="K119" s="466">
        <v>0</v>
      </c>
    </row>
    <row r="120" spans="1:11" ht="12.75" customHeight="1" x14ac:dyDescent="0.2">
      <c r="A120" s="1927" t="s">
        <v>1933</v>
      </c>
      <c r="B120" s="559">
        <v>3030</v>
      </c>
      <c r="C120" s="548">
        <v>0</v>
      </c>
      <c r="D120" s="466">
        <v>0</v>
      </c>
      <c r="E120" s="466">
        <v>0</v>
      </c>
      <c r="F120" s="466">
        <v>0</v>
      </c>
      <c r="G120" s="466">
        <v>0</v>
      </c>
      <c r="H120" s="466">
        <v>0</v>
      </c>
      <c r="I120" s="468"/>
      <c r="J120" s="467">
        <v>0</v>
      </c>
      <c r="K120" s="466">
        <v>0</v>
      </c>
    </row>
    <row r="121" spans="1:11" x14ac:dyDescent="0.2">
      <c r="A121" s="1493" t="s">
        <v>1798</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407593</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0</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0</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339</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0</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0</v>
      </c>
      <c r="G152" s="467">
        <v>0</v>
      </c>
      <c r="H152" s="468"/>
      <c r="I152" s="468"/>
      <c r="J152" s="468"/>
      <c r="K152" s="468"/>
    </row>
    <row r="153" spans="1:11" ht="12.75" customHeight="1" x14ac:dyDescent="0.2">
      <c r="A153" s="463" t="s">
        <v>1057</v>
      </c>
      <c r="B153" s="559">
        <v>3510</v>
      </c>
      <c r="C153" s="548">
        <v>0</v>
      </c>
      <c r="D153" s="466">
        <v>0</v>
      </c>
      <c r="E153" s="558"/>
      <c r="F153" s="466">
        <v>10896</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10896</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0</v>
      </c>
      <c r="D168" s="577">
        <v>0</v>
      </c>
      <c r="E168" s="577">
        <v>0</v>
      </c>
      <c r="F168" s="577">
        <v>0</v>
      </c>
      <c r="G168" s="578">
        <v>0</v>
      </c>
      <c r="H168" s="579">
        <v>0</v>
      </c>
      <c r="I168" s="578">
        <v>0</v>
      </c>
      <c r="J168" s="578">
        <v>0</v>
      </c>
      <c r="K168" s="579">
        <v>0</v>
      </c>
    </row>
    <row r="169" spans="1:11" ht="12.75" customHeight="1" thickTop="1" thickBot="1" x14ac:dyDescent="0.25">
      <c r="A169" s="2217" t="s">
        <v>398</v>
      </c>
      <c r="B169" s="2218"/>
      <c r="C169" s="1719">
        <f t="shared" ref="C169:K169" si="6">SUM(C132,C141,C145,C146:C150,C155,C156:C167,C168)</f>
        <v>339</v>
      </c>
      <c r="D169" s="1719">
        <f t="shared" si="6"/>
        <v>0</v>
      </c>
      <c r="E169" s="1719">
        <f t="shared" si="6"/>
        <v>0</v>
      </c>
      <c r="F169" s="1719">
        <f t="shared" si="6"/>
        <v>10896</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407932</v>
      </c>
      <c r="D170" s="1712">
        <f t="shared" si="7"/>
        <v>0</v>
      </c>
      <c r="E170" s="1712">
        <f t="shared" si="7"/>
        <v>0</v>
      </c>
      <c r="F170" s="1712">
        <f t="shared" si="7"/>
        <v>10896</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219" t="s">
        <v>1492</v>
      </c>
      <c r="B172" s="2220"/>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223" t="s">
        <v>1665</v>
      </c>
      <c r="B175" s="2224"/>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227" t="s">
        <v>1664</v>
      </c>
      <c r="B176" s="2228"/>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225" t="s">
        <v>785</v>
      </c>
      <c r="B181" s="2226"/>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221" t="s">
        <v>1800</v>
      </c>
      <c r="B182" s="2222"/>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19473</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0</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19473</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0</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0</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2213835</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2213835</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0</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1934</v>
      </c>
      <c r="B261" s="470">
        <v>4981</v>
      </c>
      <c r="C261" s="572">
        <v>0</v>
      </c>
      <c r="D261" s="573">
        <v>0</v>
      </c>
      <c r="E261" s="468"/>
      <c r="F261" s="573">
        <v>0</v>
      </c>
      <c r="G261" s="573">
        <v>0</v>
      </c>
      <c r="H261" s="468"/>
      <c r="I261" s="468"/>
      <c r="J261" s="468"/>
      <c r="K261" s="468"/>
    </row>
    <row r="262" spans="1:11" ht="12.75" customHeight="1" thickTop="1" thickBot="1" x14ac:dyDescent="0.25">
      <c r="A262" s="1928" t="s">
        <v>1935</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39958</v>
      </c>
      <c r="D263" s="573">
        <v>0</v>
      </c>
      <c r="E263" s="468"/>
      <c r="F263" s="573">
        <v>0</v>
      </c>
      <c r="G263" s="573">
        <v>0</v>
      </c>
      <c r="H263" s="468"/>
      <c r="I263" s="468"/>
      <c r="J263" s="468"/>
      <c r="K263" s="468"/>
    </row>
    <row r="264" spans="1:11" ht="12.75" customHeight="1" thickTop="1" thickBot="1" x14ac:dyDescent="0.25">
      <c r="A264" s="463" t="s">
        <v>377</v>
      </c>
      <c r="B264" s="470">
        <v>4992</v>
      </c>
      <c r="C264" s="572">
        <v>49</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226854</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2500169</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2500169</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9693213</v>
      </c>
      <c r="D268" s="1712">
        <f t="shared" si="12"/>
        <v>0</v>
      </c>
      <c r="E268" s="1712">
        <f t="shared" si="12"/>
        <v>0</v>
      </c>
      <c r="F268" s="1712">
        <f t="shared" si="12"/>
        <v>10896</v>
      </c>
      <c r="G268" s="1712">
        <f t="shared" si="12"/>
        <v>0</v>
      </c>
      <c r="H268" s="1712">
        <f t="shared" si="12"/>
        <v>0</v>
      </c>
      <c r="I268" s="1712">
        <f t="shared" si="12"/>
        <v>0</v>
      </c>
      <c r="J268" s="1712">
        <f t="shared" si="12"/>
        <v>0</v>
      </c>
      <c r="K268" s="1699">
        <f t="shared" si="12"/>
        <v>0</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pageMargins left="0.3" right="0.15" top="0.86" bottom="0.25" header="0.28000000000000003" footer="0.1"/>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3" sqref="A3:B3"/>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97" t="s">
        <v>1799</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229"/>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235" t="s">
        <v>297</v>
      </c>
      <c r="B3" s="2236"/>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0</v>
      </c>
      <c r="D5" s="466">
        <v>0</v>
      </c>
      <c r="E5" s="466">
        <v>0</v>
      </c>
      <c r="F5" s="466">
        <v>0</v>
      </c>
      <c r="G5" s="466">
        <v>0</v>
      </c>
      <c r="H5" s="466">
        <v>0</v>
      </c>
      <c r="I5" s="467">
        <v>0</v>
      </c>
      <c r="J5" s="467">
        <v>0</v>
      </c>
      <c r="K5" s="1668">
        <f>SUM(C5:J5)</f>
        <v>0</v>
      </c>
      <c r="L5" s="471">
        <v>0</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0</v>
      </c>
      <c r="D7" s="467">
        <v>0</v>
      </c>
      <c r="E7" s="467">
        <v>0</v>
      </c>
      <c r="F7" s="467">
        <v>0</v>
      </c>
      <c r="G7" s="467">
        <v>0</v>
      </c>
      <c r="H7" s="467">
        <v>0</v>
      </c>
      <c r="I7" s="467">
        <v>0</v>
      </c>
      <c r="J7" s="467">
        <v>0</v>
      </c>
      <c r="K7" s="1668">
        <f t="shared" ref="K7:K32" si="0">SUM(C7:J7)</f>
        <v>0</v>
      </c>
      <c r="L7" s="471">
        <v>0</v>
      </c>
    </row>
    <row r="8" spans="1:14" x14ac:dyDescent="0.2">
      <c r="A8" s="1501" t="s">
        <v>164</v>
      </c>
      <c r="B8" s="611">
        <v>1200</v>
      </c>
      <c r="C8" s="466">
        <v>961484</v>
      </c>
      <c r="D8" s="466">
        <v>246407</v>
      </c>
      <c r="E8" s="466">
        <v>16080</v>
      </c>
      <c r="F8" s="466">
        <v>7834</v>
      </c>
      <c r="G8" s="466">
        <v>1380</v>
      </c>
      <c r="H8" s="466">
        <v>0</v>
      </c>
      <c r="I8" s="467">
        <v>0</v>
      </c>
      <c r="J8" s="467">
        <v>0</v>
      </c>
      <c r="K8" s="1668">
        <f t="shared" si="0"/>
        <v>1233185</v>
      </c>
      <c r="L8" s="471">
        <v>1336680</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0</v>
      </c>
      <c r="D10" s="466">
        <v>0</v>
      </c>
      <c r="E10" s="466">
        <v>0</v>
      </c>
      <c r="F10" s="466">
        <v>0</v>
      </c>
      <c r="G10" s="466">
        <v>0</v>
      </c>
      <c r="H10" s="466">
        <v>0</v>
      </c>
      <c r="I10" s="467">
        <v>0</v>
      </c>
      <c r="J10" s="467">
        <v>0</v>
      </c>
      <c r="K10" s="1668">
        <f t="shared" si="0"/>
        <v>0</v>
      </c>
      <c r="L10" s="471">
        <v>0</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126385</v>
      </c>
      <c r="D13" s="466">
        <v>21197</v>
      </c>
      <c r="E13" s="466">
        <v>3234</v>
      </c>
      <c r="F13" s="466">
        <v>363</v>
      </c>
      <c r="G13" s="466">
        <v>0</v>
      </c>
      <c r="H13" s="466">
        <v>0</v>
      </c>
      <c r="I13" s="467">
        <v>0</v>
      </c>
      <c r="J13" s="467">
        <v>0</v>
      </c>
      <c r="K13" s="1668">
        <f t="shared" si="0"/>
        <v>151179</v>
      </c>
      <c r="L13" s="471">
        <v>159860</v>
      </c>
    </row>
    <row r="14" spans="1:14" x14ac:dyDescent="0.2">
      <c r="A14" s="1501" t="s">
        <v>963</v>
      </c>
      <c r="B14" s="611">
        <v>1500</v>
      </c>
      <c r="C14" s="466">
        <v>0</v>
      </c>
      <c r="D14" s="466">
        <v>0</v>
      </c>
      <c r="E14" s="466">
        <v>0</v>
      </c>
      <c r="F14" s="466">
        <v>0</v>
      </c>
      <c r="G14" s="466">
        <v>0</v>
      </c>
      <c r="H14" s="466">
        <v>0</v>
      </c>
      <c r="I14" s="467">
        <v>0</v>
      </c>
      <c r="J14" s="467">
        <v>0</v>
      </c>
      <c r="K14" s="1668">
        <f t="shared" si="0"/>
        <v>0</v>
      </c>
      <c r="L14" s="471">
        <v>0</v>
      </c>
    </row>
    <row r="15" spans="1:14" x14ac:dyDescent="0.2">
      <c r="A15" s="1501" t="s">
        <v>964</v>
      </c>
      <c r="B15" s="611">
        <v>1600</v>
      </c>
      <c r="C15" s="467">
        <v>83339</v>
      </c>
      <c r="D15" s="466">
        <v>7030</v>
      </c>
      <c r="E15" s="466">
        <v>0</v>
      </c>
      <c r="F15" s="466">
        <v>2958</v>
      </c>
      <c r="G15" s="466">
        <v>0</v>
      </c>
      <c r="H15" s="466">
        <v>0</v>
      </c>
      <c r="I15" s="467">
        <v>0</v>
      </c>
      <c r="J15" s="467">
        <v>0</v>
      </c>
      <c r="K15" s="1668">
        <f t="shared" si="0"/>
        <v>93327</v>
      </c>
      <c r="L15" s="471">
        <v>103896</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0</v>
      </c>
      <c r="D17" s="467">
        <v>0</v>
      </c>
      <c r="E17" s="467">
        <v>0</v>
      </c>
      <c r="F17" s="467">
        <v>0</v>
      </c>
      <c r="G17" s="467">
        <v>0</v>
      </c>
      <c r="H17" s="467">
        <v>0</v>
      </c>
      <c r="I17" s="467">
        <v>0</v>
      </c>
      <c r="J17" s="467">
        <v>0</v>
      </c>
      <c r="K17" s="1668">
        <f t="shared" si="0"/>
        <v>0</v>
      </c>
      <c r="L17" s="471">
        <v>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0</v>
      </c>
      <c r="I22" s="613"/>
      <c r="J22" s="475"/>
      <c r="K22" s="1668">
        <f t="shared" si="0"/>
        <v>0</v>
      </c>
      <c r="L22" s="471">
        <v>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1171208</v>
      </c>
      <c r="D33" s="1667">
        <f t="shared" ref="D33:L33" si="1">SUM(D5:D32)</f>
        <v>274634</v>
      </c>
      <c r="E33" s="1667">
        <f t="shared" si="1"/>
        <v>19314</v>
      </c>
      <c r="F33" s="1667">
        <f t="shared" si="1"/>
        <v>11155</v>
      </c>
      <c r="G33" s="1667">
        <f t="shared" si="1"/>
        <v>1380</v>
      </c>
      <c r="H33" s="1667">
        <f t="shared" si="1"/>
        <v>0</v>
      </c>
      <c r="I33" s="1667">
        <f t="shared" si="1"/>
        <v>0</v>
      </c>
      <c r="J33" s="1667">
        <f t="shared" si="1"/>
        <v>0</v>
      </c>
      <c r="K33" s="1667">
        <f t="shared" si="1"/>
        <v>1477691</v>
      </c>
      <c r="L33" s="1667">
        <f t="shared" si="1"/>
        <v>1600436</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39065</v>
      </c>
      <c r="D36" s="479">
        <v>3423</v>
      </c>
      <c r="E36" s="479">
        <v>267</v>
      </c>
      <c r="F36" s="479">
        <v>168</v>
      </c>
      <c r="G36" s="479">
        <v>0</v>
      </c>
      <c r="H36" s="479">
        <v>0</v>
      </c>
      <c r="I36" s="467">
        <v>0</v>
      </c>
      <c r="J36" s="467">
        <v>0</v>
      </c>
      <c r="K36" s="1668">
        <f t="shared" ref="K36:K41" si="2">SUM(C36:J36)</f>
        <v>42923</v>
      </c>
      <c r="L36" s="466">
        <v>45550</v>
      </c>
    </row>
    <row r="37" spans="1:14" x14ac:dyDescent="0.2">
      <c r="A37" s="1501" t="s">
        <v>1090</v>
      </c>
      <c r="B37" s="611">
        <v>2120</v>
      </c>
      <c r="C37" s="466">
        <v>0</v>
      </c>
      <c r="D37" s="466">
        <v>0</v>
      </c>
      <c r="E37" s="466">
        <v>0</v>
      </c>
      <c r="F37" s="466">
        <v>0</v>
      </c>
      <c r="G37" s="466">
        <v>0</v>
      </c>
      <c r="H37" s="466">
        <v>0</v>
      </c>
      <c r="I37" s="467">
        <v>0</v>
      </c>
      <c r="J37" s="467">
        <v>0</v>
      </c>
      <c r="K37" s="1668">
        <f t="shared" si="2"/>
        <v>0</v>
      </c>
      <c r="L37" s="466">
        <v>0</v>
      </c>
    </row>
    <row r="38" spans="1:14" x14ac:dyDescent="0.2">
      <c r="A38" s="1501" t="s">
        <v>198</v>
      </c>
      <c r="B38" s="611">
        <v>2130</v>
      </c>
      <c r="C38" s="466">
        <v>880916</v>
      </c>
      <c r="D38" s="466">
        <v>276740</v>
      </c>
      <c r="E38" s="466">
        <v>20857</v>
      </c>
      <c r="F38" s="466">
        <v>7836</v>
      </c>
      <c r="G38" s="466">
        <v>3003</v>
      </c>
      <c r="H38" s="466">
        <v>0</v>
      </c>
      <c r="I38" s="467">
        <v>0</v>
      </c>
      <c r="J38" s="467">
        <v>0</v>
      </c>
      <c r="K38" s="1668">
        <f t="shared" si="2"/>
        <v>1189352</v>
      </c>
      <c r="L38" s="466">
        <v>1259160</v>
      </c>
    </row>
    <row r="39" spans="1:14" x14ac:dyDescent="0.2">
      <c r="A39" s="1501" t="s">
        <v>199</v>
      </c>
      <c r="B39" s="611">
        <v>2140</v>
      </c>
      <c r="C39" s="466">
        <v>461127</v>
      </c>
      <c r="D39" s="466">
        <v>68684</v>
      </c>
      <c r="E39" s="466">
        <v>1998</v>
      </c>
      <c r="F39" s="466">
        <v>4012</v>
      </c>
      <c r="G39" s="466">
        <v>0</v>
      </c>
      <c r="H39" s="466">
        <v>0</v>
      </c>
      <c r="I39" s="467">
        <v>0</v>
      </c>
      <c r="J39" s="467">
        <v>0</v>
      </c>
      <c r="K39" s="1668">
        <f t="shared" si="2"/>
        <v>535821</v>
      </c>
      <c r="L39" s="466">
        <v>577650</v>
      </c>
    </row>
    <row r="40" spans="1:14" x14ac:dyDescent="0.2">
      <c r="A40" s="1501" t="s">
        <v>200</v>
      </c>
      <c r="B40" s="611">
        <v>2150</v>
      </c>
      <c r="C40" s="466">
        <v>216867</v>
      </c>
      <c r="D40" s="466">
        <v>33224</v>
      </c>
      <c r="E40" s="466">
        <v>35739</v>
      </c>
      <c r="F40" s="466">
        <v>3809</v>
      </c>
      <c r="G40" s="466">
        <v>0</v>
      </c>
      <c r="H40" s="466">
        <v>0</v>
      </c>
      <c r="I40" s="467">
        <v>0</v>
      </c>
      <c r="J40" s="467">
        <v>0</v>
      </c>
      <c r="K40" s="1668">
        <f t="shared" si="2"/>
        <v>289639</v>
      </c>
      <c r="L40" s="466">
        <v>343875</v>
      </c>
    </row>
    <row r="41" spans="1:14" x14ac:dyDescent="0.2">
      <c r="A41" s="1501" t="s">
        <v>1669</v>
      </c>
      <c r="B41" s="611">
        <v>2190</v>
      </c>
      <c r="C41" s="466">
        <v>0</v>
      </c>
      <c r="D41" s="466">
        <v>0</v>
      </c>
      <c r="E41" s="466">
        <v>0</v>
      </c>
      <c r="F41" s="466">
        <v>0</v>
      </c>
      <c r="G41" s="466">
        <v>0</v>
      </c>
      <c r="H41" s="466">
        <v>0</v>
      </c>
      <c r="I41" s="467">
        <v>0</v>
      </c>
      <c r="J41" s="467">
        <v>0</v>
      </c>
      <c r="K41" s="1668">
        <f t="shared" si="2"/>
        <v>0</v>
      </c>
      <c r="L41" s="466">
        <v>0</v>
      </c>
    </row>
    <row r="42" spans="1:14" ht="12.75" customHeight="1" thickBot="1" x14ac:dyDescent="0.25">
      <c r="A42" s="1665" t="s">
        <v>560</v>
      </c>
      <c r="B42" s="1666" t="s">
        <v>716</v>
      </c>
      <c r="C42" s="1667">
        <f>SUM(C36:C41)</f>
        <v>1597975</v>
      </c>
      <c r="D42" s="1667">
        <f t="shared" ref="D42:L42" si="3">SUM(D36:D41)</f>
        <v>382071</v>
      </c>
      <c r="E42" s="1667">
        <f t="shared" si="3"/>
        <v>58861</v>
      </c>
      <c r="F42" s="1667">
        <f t="shared" si="3"/>
        <v>15825</v>
      </c>
      <c r="G42" s="1667">
        <f t="shared" si="3"/>
        <v>3003</v>
      </c>
      <c r="H42" s="1667">
        <f t="shared" si="3"/>
        <v>0</v>
      </c>
      <c r="I42" s="1667">
        <f t="shared" si="3"/>
        <v>0</v>
      </c>
      <c r="J42" s="1667">
        <f t="shared" si="3"/>
        <v>0</v>
      </c>
      <c r="K42" s="1667">
        <f t="shared" si="3"/>
        <v>2057735</v>
      </c>
      <c r="L42" s="1667">
        <f t="shared" si="3"/>
        <v>2226235</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157466</v>
      </c>
      <c r="D44" s="479">
        <v>35126</v>
      </c>
      <c r="E44" s="479">
        <v>119417</v>
      </c>
      <c r="F44" s="479">
        <v>8517</v>
      </c>
      <c r="G44" s="479">
        <v>0</v>
      </c>
      <c r="H44" s="479">
        <v>2215</v>
      </c>
      <c r="I44" s="467">
        <v>0</v>
      </c>
      <c r="J44" s="467">
        <v>0</v>
      </c>
      <c r="K44" s="1669">
        <f>SUM(C44:J44)</f>
        <v>322741</v>
      </c>
      <c r="L44" s="479">
        <v>374550</v>
      </c>
    </row>
    <row r="45" spans="1:14" x14ac:dyDescent="0.2">
      <c r="A45" s="1501" t="s">
        <v>815</v>
      </c>
      <c r="B45" s="611">
        <v>2220</v>
      </c>
      <c r="C45" s="466">
        <v>0</v>
      </c>
      <c r="D45" s="466">
        <v>0</v>
      </c>
      <c r="E45" s="466">
        <v>0</v>
      </c>
      <c r="F45" s="466">
        <v>0</v>
      </c>
      <c r="G45" s="466">
        <v>0</v>
      </c>
      <c r="H45" s="466">
        <v>0</v>
      </c>
      <c r="I45" s="467">
        <v>0</v>
      </c>
      <c r="J45" s="467">
        <v>0</v>
      </c>
      <c r="K45" s="1669">
        <f>SUM(C45:J45)</f>
        <v>0</v>
      </c>
      <c r="L45" s="466">
        <v>0</v>
      </c>
    </row>
    <row r="46" spans="1:14" x14ac:dyDescent="0.2">
      <c r="A46" s="1501" t="s">
        <v>816</v>
      </c>
      <c r="B46" s="611">
        <v>2230</v>
      </c>
      <c r="C46" s="466">
        <v>0</v>
      </c>
      <c r="D46" s="466">
        <v>0</v>
      </c>
      <c r="E46" s="466">
        <v>0</v>
      </c>
      <c r="F46" s="466">
        <v>0</v>
      </c>
      <c r="G46" s="466">
        <v>0</v>
      </c>
      <c r="H46" s="466">
        <v>0</v>
      </c>
      <c r="I46" s="467">
        <v>0</v>
      </c>
      <c r="J46" s="467">
        <v>0</v>
      </c>
      <c r="K46" s="1669">
        <f>SUM(C46:J46)</f>
        <v>0</v>
      </c>
      <c r="L46" s="466">
        <v>0</v>
      </c>
    </row>
    <row r="47" spans="1:14" ht="12.75" customHeight="1" thickBot="1" x14ac:dyDescent="0.25">
      <c r="A47" s="1665" t="s">
        <v>561</v>
      </c>
      <c r="B47" s="1666" t="s">
        <v>32</v>
      </c>
      <c r="C47" s="1667">
        <f>SUM(C44:C46)</f>
        <v>157466</v>
      </c>
      <c r="D47" s="1667">
        <f t="shared" ref="D47:K47" si="4">SUM(D44:D46)</f>
        <v>35126</v>
      </c>
      <c r="E47" s="1667">
        <f t="shared" si="4"/>
        <v>119417</v>
      </c>
      <c r="F47" s="1667">
        <f t="shared" si="4"/>
        <v>8517</v>
      </c>
      <c r="G47" s="1667">
        <f t="shared" si="4"/>
        <v>0</v>
      </c>
      <c r="H47" s="1667">
        <f t="shared" si="4"/>
        <v>2215</v>
      </c>
      <c r="I47" s="1667">
        <f t="shared" si="4"/>
        <v>0</v>
      </c>
      <c r="J47" s="1667">
        <f t="shared" si="4"/>
        <v>0</v>
      </c>
      <c r="K47" s="1667">
        <f t="shared" si="4"/>
        <v>322741</v>
      </c>
      <c r="L47" s="1667">
        <f>SUM(L44:L46)</f>
        <v>374550</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0</v>
      </c>
      <c r="D49" s="479">
        <v>0</v>
      </c>
      <c r="E49" s="479">
        <v>0</v>
      </c>
      <c r="F49" s="479">
        <v>0</v>
      </c>
      <c r="G49" s="479">
        <v>0</v>
      </c>
      <c r="H49" s="479">
        <v>0</v>
      </c>
      <c r="I49" s="467">
        <v>0</v>
      </c>
      <c r="J49" s="467">
        <v>0</v>
      </c>
      <c r="K49" s="1669">
        <f>SUM(C49:J49)</f>
        <v>0</v>
      </c>
      <c r="L49" s="479">
        <v>0</v>
      </c>
    </row>
    <row r="50" spans="1:14" x14ac:dyDescent="0.2">
      <c r="A50" s="1501" t="s">
        <v>818</v>
      </c>
      <c r="B50" s="611">
        <v>2320</v>
      </c>
      <c r="C50" s="467">
        <v>270554</v>
      </c>
      <c r="D50" s="466">
        <v>121522</v>
      </c>
      <c r="E50" s="466">
        <v>146435</v>
      </c>
      <c r="F50" s="466">
        <v>17003</v>
      </c>
      <c r="G50" s="466">
        <v>0</v>
      </c>
      <c r="H50" s="466">
        <v>0</v>
      </c>
      <c r="I50" s="467">
        <v>8690</v>
      </c>
      <c r="J50" s="467">
        <v>0</v>
      </c>
      <c r="K50" s="1669">
        <f>SUM(C50:J50)</f>
        <v>564204</v>
      </c>
      <c r="L50" s="466">
        <v>734700</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270554</v>
      </c>
      <c r="D53" s="1667">
        <f t="shared" ref="D53:L53" si="5">SUM(D49:D52)</f>
        <v>121522</v>
      </c>
      <c r="E53" s="1667">
        <f t="shared" si="5"/>
        <v>146435</v>
      </c>
      <c r="F53" s="1667">
        <f t="shared" si="5"/>
        <v>17003</v>
      </c>
      <c r="G53" s="1667">
        <f t="shared" si="5"/>
        <v>0</v>
      </c>
      <c r="H53" s="1667">
        <f t="shared" si="5"/>
        <v>0</v>
      </c>
      <c r="I53" s="1667">
        <f t="shared" si="5"/>
        <v>8690</v>
      </c>
      <c r="J53" s="1667">
        <f t="shared" si="5"/>
        <v>0</v>
      </c>
      <c r="K53" s="1667">
        <f t="shared" si="5"/>
        <v>564204</v>
      </c>
      <c r="L53" s="1667">
        <f t="shared" si="5"/>
        <v>734700</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0</v>
      </c>
      <c r="D55" s="479">
        <v>0</v>
      </c>
      <c r="E55" s="479">
        <v>0</v>
      </c>
      <c r="F55" s="479">
        <v>0</v>
      </c>
      <c r="G55" s="479">
        <v>0</v>
      </c>
      <c r="H55" s="479">
        <v>0</v>
      </c>
      <c r="I55" s="467">
        <v>0</v>
      </c>
      <c r="J55" s="467">
        <v>0</v>
      </c>
      <c r="K55" s="1669">
        <f>SUM(C55:J55)</f>
        <v>0</v>
      </c>
      <c r="L55" s="479">
        <v>0</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0</v>
      </c>
      <c r="D57" s="1671">
        <f t="shared" ref="D57:K57" si="6">SUM(D55:D56)</f>
        <v>0</v>
      </c>
      <c r="E57" s="1671">
        <f t="shared" si="6"/>
        <v>0</v>
      </c>
      <c r="F57" s="1671">
        <f t="shared" si="6"/>
        <v>0</v>
      </c>
      <c r="G57" s="1671">
        <f t="shared" si="6"/>
        <v>0</v>
      </c>
      <c r="H57" s="1671">
        <f t="shared" si="6"/>
        <v>0</v>
      </c>
      <c r="I57" s="1671">
        <f t="shared" si="6"/>
        <v>0</v>
      </c>
      <c r="J57" s="1671">
        <f t="shared" si="6"/>
        <v>0</v>
      </c>
      <c r="K57" s="1671">
        <f t="shared" si="6"/>
        <v>0</v>
      </c>
      <c r="L57" s="1667">
        <f>SUM(L55:L56)</f>
        <v>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54714</v>
      </c>
      <c r="D60" s="466">
        <v>18217</v>
      </c>
      <c r="E60" s="466">
        <v>10367</v>
      </c>
      <c r="F60" s="466">
        <v>536</v>
      </c>
      <c r="G60" s="466">
        <v>0</v>
      </c>
      <c r="H60" s="466">
        <v>0</v>
      </c>
      <c r="I60" s="467">
        <v>0</v>
      </c>
      <c r="J60" s="467">
        <v>0</v>
      </c>
      <c r="K60" s="1669">
        <f t="shared" si="7"/>
        <v>83834</v>
      </c>
      <c r="L60" s="466">
        <v>89800</v>
      </c>
      <c r="M60" s="606"/>
      <c r="N60" s="606"/>
    </row>
    <row r="61" spans="1:14" s="343" customFormat="1" x14ac:dyDescent="0.2">
      <c r="A61" s="1501" t="s">
        <v>197</v>
      </c>
      <c r="B61" s="611">
        <v>2540</v>
      </c>
      <c r="C61" s="466">
        <v>86212</v>
      </c>
      <c r="D61" s="466">
        <v>28622</v>
      </c>
      <c r="E61" s="466">
        <v>78287</v>
      </c>
      <c r="F61" s="466">
        <v>57046</v>
      </c>
      <c r="G61" s="466">
        <v>105244</v>
      </c>
      <c r="H61" s="466">
        <v>0</v>
      </c>
      <c r="I61" s="467">
        <v>600</v>
      </c>
      <c r="J61" s="467">
        <v>0</v>
      </c>
      <c r="K61" s="1669">
        <f t="shared" si="7"/>
        <v>356011</v>
      </c>
      <c r="L61" s="466">
        <v>383450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28358</v>
      </c>
      <c r="D63" s="466">
        <v>12352</v>
      </c>
      <c r="E63" s="466">
        <v>0</v>
      </c>
      <c r="F63" s="466">
        <v>26821</v>
      </c>
      <c r="G63" s="466">
        <v>3505</v>
      </c>
      <c r="H63" s="466">
        <v>0</v>
      </c>
      <c r="I63" s="467">
        <v>0</v>
      </c>
      <c r="J63" s="467">
        <v>0</v>
      </c>
      <c r="K63" s="1669">
        <f t="shared" si="7"/>
        <v>71036</v>
      </c>
      <c r="L63" s="466">
        <v>77025</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169284</v>
      </c>
      <c r="D65" s="1667">
        <f t="shared" ref="D65:L65" si="8">SUM(D59:D64)</f>
        <v>59191</v>
      </c>
      <c r="E65" s="1667">
        <f t="shared" si="8"/>
        <v>88654</v>
      </c>
      <c r="F65" s="1667">
        <f t="shared" si="8"/>
        <v>84403</v>
      </c>
      <c r="G65" s="1667">
        <f t="shared" si="8"/>
        <v>108749</v>
      </c>
      <c r="H65" s="1667">
        <f t="shared" si="8"/>
        <v>0</v>
      </c>
      <c r="I65" s="1667">
        <f t="shared" si="8"/>
        <v>600</v>
      </c>
      <c r="J65" s="1667">
        <f t="shared" si="8"/>
        <v>0</v>
      </c>
      <c r="K65" s="1667">
        <f t="shared" si="8"/>
        <v>510881</v>
      </c>
      <c r="L65" s="1667">
        <f t="shared" si="8"/>
        <v>550275</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2195279</v>
      </c>
      <c r="D74" s="1674">
        <f t="shared" ref="D74:K74" si="10">SUM(D42,D47,D53,D57,D65,D72,D73)</f>
        <v>597910</v>
      </c>
      <c r="E74" s="1674">
        <f t="shared" si="10"/>
        <v>413367</v>
      </c>
      <c r="F74" s="1674">
        <f t="shared" si="10"/>
        <v>125748</v>
      </c>
      <c r="G74" s="1674">
        <f t="shared" si="10"/>
        <v>111752</v>
      </c>
      <c r="H74" s="1674">
        <f t="shared" si="10"/>
        <v>2215</v>
      </c>
      <c r="I74" s="1674">
        <f t="shared" si="10"/>
        <v>9290</v>
      </c>
      <c r="J74" s="1674">
        <f t="shared" si="10"/>
        <v>0</v>
      </c>
      <c r="K74" s="1674">
        <f t="shared" si="10"/>
        <v>3455561</v>
      </c>
      <c r="L74" s="1674">
        <f>SUM(L42,L47,L53,L57,L65,L72,L73)</f>
        <v>3885760</v>
      </c>
    </row>
    <row r="75" spans="1:14" s="259" customFormat="1" ht="15.75" customHeight="1" thickTop="1" thickBot="1" x14ac:dyDescent="0.25">
      <c r="A75" s="1607" t="s">
        <v>47</v>
      </c>
      <c r="B75" s="1608" t="s">
        <v>575</v>
      </c>
      <c r="C75" s="467">
        <v>0</v>
      </c>
      <c r="D75" s="467">
        <v>0</v>
      </c>
      <c r="E75" s="467">
        <v>0</v>
      </c>
      <c r="F75" s="467">
        <v>0</v>
      </c>
      <c r="G75" s="467">
        <v>0</v>
      </c>
      <c r="H75" s="467">
        <v>0</v>
      </c>
      <c r="I75" s="467">
        <v>0</v>
      </c>
      <c r="J75" s="467">
        <v>0</v>
      </c>
      <c r="K75" s="1667">
        <f>SUM(C75:J75)</f>
        <v>0</v>
      </c>
      <c r="L75" s="573">
        <v>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6000</v>
      </c>
      <c r="F79" s="613"/>
      <c r="G79" s="613"/>
      <c r="H79" s="466">
        <v>0</v>
      </c>
      <c r="I79" s="475"/>
      <c r="J79" s="475"/>
      <c r="K79" s="1668">
        <f t="shared" si="11"/>
        <v>6000</v>
      </c>
      <c r="L79" s="466">
        <v>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6000</v>
      </c>
      <c r="F84" s="613"/>
      <c r="G84" s="613"/>
      <c r="H84" s="1667">
        <f>SUM(H78:H83)</f>
        <v>0</v>
      </c>
      <c r="I84" s="475"/>
      <c r="J84" s="475"/>
      <c r="K84" s="1667">
        <f>SUM(K78:K83)</f>
        <v>6000</v>
      </c>
      <c r="L84" s="1667">
        <f>SUM(L78:L83)</f>
        <v>0</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0</v>
      </c>
      <c r="I86" s="475"/>
      <c r="J86" s="475"/>
      <c r="K86" s="1674">
        <f t="shared" ref="K86:K98" si="12">H86</f>
        <v>0</v>
      </c>
      <c r="L86" s="527">
        <v>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0</v>
      </c>
      <c r="I92" s="475"/>
      <c r="J92" s="475"/>
      <c r="K92" s="1674">
        <f t="shared" si="12"/>
        <v>0</v>
      </c>
      <c r="L92" s="1667">
        <f>SUM(L85:L91)</f>
        <v>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5087386</v>
      </c>
      <c r="I94" s="475"/>
      <c r="J94" s="475"/>
      <c r="K94" s="1674">
        <f t="shared" si="12"/>
        <v>5087386</v>
      </c>
      <c r="L94" s="527">
        <v>6006000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5087386</v>
      </c>
      <c r="I100" s="475"/>
      <c r="J100" s="475"/>
      <c r="K100" s="1674">
        <f>SUM(K93:K99)</f>
        <v>5087386</v>
      </c>
      <c r="L100" s="1674">
        <f>SUM(L93:L99)</f>
        <v>6006000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6000</v>
      </c>
      <c r="F102" s="613"/>
      <c r="G102" s="613"/>
      <c r="H102" s="1674">
        <f>SUM(H84,H92,H100,H101)</f>
        <v>5087386</v>
      </c>
      <c r="I102" s="475"/>
      <c r="J102" s="475"/>
      <c r="K102" s="1674">
        <f>SUM(K84,K92,K100,K101)</f>
        <v>5093386</v>
      </c>
      <c r="L102" s="1674">
        <f>SUM(L84,L92,L100,L101)</f>
        <v>6006000</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3366487</v>
      </c>
      <c r="D114" s="1667">
        <f t="shared" ref="D114:K114" si="13">SUM(D33,D74,D75,D102,D112,D113)</f>
        <v>872544</v>
      </c>
      <c r="E114" s="1667">
        <f t="shared" si="13"/>
        <v>438681</v>
      </c>
      <c r="F114" s="1667">
        <f t="shared" si="13"/>
        <v>136903</v>
      </c>
      <c r="G114" s="1667">
        <f t="shared" si="13"/>
        <v>113132</v>
      </c>
      <c r="H114" s="1667">
        <f>SUM(H33,H74,H75,H102,H112,H113)</f>
        <v>5089601</v>
      </c>
      <c r="I114" s="1667">
        <f t="shared" si="13"/>
        <v>9290</v>
      </c>
      <c r="J114" s="1667">
        <f t="shared" si="13"/>
        <v>0</v>
      </c>
      <c r="K114" s="1667">
        <f t="shared" si="13"/>
        <v>10026638</v>
      </c>
      <c r="L114" s="1667">
        <f>SUM(L33,L74,L75,L102,L112,L113)</f>
        <v>11492196</v>
      </c>
    </row>
    <row r="115" spans="1:14" ht="13.5" thickTop="1" x14ac:dyDescent="0.2">
      <c r="A115" s="2254" t="s">
        <v>996</v>
      </c>
      <c r="B115" s="2255"/>
      <c r="C115" s="615"/>
      <c r="D115" s="615"/>
      <c r="E115" s="615"/>
      <c r="F115" s="615"/>
      <c r="G115" s="615"/>
      <c r="H115" s="615"/>
      <c r="I115" s="615"/>
      <c r="J115" s="615"/>
      <c r="K115" s="1681">
        <f>'Revenues 9-14'!C268-'Expenditures 15-22'!K114</f>
        <v>-333425</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232" t="s">
        <v>296</v>
      </c>
      <c r="B117" s="2233"/>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2057</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0</v>
      </c>
      <c r="D124" s="466">
        <v>0</v>
      </c>
      <c r="E124" s="466">
        <v>0</v>
      </c>
      <c r="F124" s="466">
        <v>0</v>
      </c>
      <c r="G124" s="466">
        <v>0</v>
      </c>
      <c r="H124" s="466">
        <v>0</v>
      </c>
      <c r="I124" s="467">
        <v>0</v>
      </c>
      <c r="J124" s="467">
        <v>0</v>
      </c>
      <c r="K124" s="1667">
        <f>SUM(C124:J124)</f>
        <v>0</v>
      </c>
      <c r="L124" s="466">
        <v>0</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0</v>
      </c>
      <c r="D127" s="1667">
        <f t="shared" ref="D127:L127" si="14">SUM(D122:D126)</f>
        <v>0</v>
      </c>
      <c r="E127" s="1667">
        <f t="shared" si="14"/>
        <v>0</v>
      </c>
      <c r="F127" s="1667">
        <f t="shared" si="14"/>
        <v>0</v>
      </c>
      <c r="G127" s="1667">
        <f t="shared" si="14"/>
        <v>0</v>
      </c>
      <c r="H127" s="1667">
        <f t="shared" si="14"/>
        <v>0</v>
      </c>
      <c r="I127" s="1667">
        <f t="shared" si="14"/>
        <v>0</v>
      </c>
      <c r="J127" s="1667">
        <f t="shared" si="14"/>
        <v>0</v>
      </c>
      <c r="K127" s="1667">
        <f t="shared" si="14"/>
        <v>0</v>
      </c>
      <c r="L127" s="1667">
        <f t="shared" si="14"/>
        <v>0</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0</v>
      </c>
      <c r="D129" s="1674">
        <f t="shared" ref="D129:L129" si="15">SUM(D120,D127,D128)</f>
        <v>0</v>
      </c>
      <c r="E129" s="1674">
        <f t="shared" si="15"/>
        <v>0</v>
      </c>
      <c r="F129" s="1674">
        <f t="shared" si="15"/>
        <v>0</v>
      </c>
      <c r="G129" s="1674">
        <f t="shared" si="15"/>
        <v>0</v>
      </c>
      <c r="H129" s="1674">
        <f t="shared" si="15"/>
        <v>0</v>
      </c>
      <c r="I129" s="1674">
        <f t="shared" si="15"/>
        <v>0</v>
      </c>
      <c r="J129" s="1674">
        <f t="shared" si="15"/>
        <v>0</v>
      </c>
      <c r="K129" s="1674">
        <f t="shared" si="15"/>
        <v>0</v>
      </c>
      <c r="L129" s="1674">
        <f t="shared" si="15"/>
        <v>0</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1842</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244" t="s">
        <v>620</v>
      </c>
      <c r="B151" s="2226"/>
      <c r="C151" s="1667">
        <f>SUM(C129,C130,C139,C149,C150)</f>
        <v>0</v>
      </c>
      <c r="D151" s="1667">
        <f t="shared" ref="D151:K151" si="16">SUM(D129,D130,D139,D149,D150)</f>
        <v>0</v>
      </c>
      <c r="E151" s="1667">
        <f t="shared" si="16"/>
        <v>0</v>
      </c>
      <c r="F151" s="1667">
        <f t="shared" si="16"/>
        <v>0</v>
      </c>
      <c r="G151" s="1667">
        <f t="shared" si="16"/>
        <v>0</v>
      </c>
      <c r="H151" s="1667">
        <f t="shared" si="16"/>
        <v>0</v>
      </c>
      <c r="I151" s="1667">
        <f t="shared" si="16"/>
        <v>0</v>
      </c>
      <c r="J151" s="1667">
        <f t="shared" si="16"/>
        <v>0</v>
      </c>
      <c r="K151" s="1667">
        <f t="shared" si="16"/>
        <v>0</v>
      </c>
      <c r="L151" s="1667">
        <f>SUM(L129,L130,L139,L149,L150)</f>
        <v>0</v>
      </c>
    </row>
    <row r="152" spans="1:14" ht="12.75" customHeight="1" thickTop="1" x14ac:dyDescent="0.2">
      <c r="A152" s="2247" t="s">
        <v>1178</v>
      </c>
      <c r="B152" s="2248"/>
      <c r="C152" s="615"/>
      <c r="D152" s="615"/>
      <c r="E152" s="615"/>
      <c r="F152" s="615"/>
      <c r="G152" s="615"/>
      <c r="H152" s="615"/>
      <c r="I152" s="615"/>
      <c r="J152" s="613"/>
      <c r="K152" s="1681">
        <f>'Revenues 9-14'!D268-'Expenditures 15-22'!K151</f>
        <v>0</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232" t="s">
        <v>621</v>
      </c>
      <c r="B154" s="2234"/>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1843</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1842</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1844</v>
      </c>
      <c r="C158" s="613"/>
      <c r="D158" s="613"/>
      <c r="E158" s="613"/>
      <c r="F158" s="613"/>
      <c r="G158" s="613"/>
      <c r="H158" s="467">
        <v>0</v>
      </c>
      <c r="I158" s="613"/>
      <c r="J158" s="613"/>
      <c r="K158" s="1668">
        <f>H158</f>
        <v>0</v>
      </c>
      <c r="L158" s="467">
        <v>0</v>
      </c>
      <c r="M158" s="616"/>
      <c r="N158" s="616"/>
    </row>
    <row r="159" spans="1:14" s="617" customFormat="1" ht="12" x14ac:dyDescent="0.2">
      <c r="A159" s="1823" t="s">
        <v>1845</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1846</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0</v>
      </c>
      <c r="I169" s="613"/>
      <c r="J169" s="613"/>
      <c r="K169" s="1668">
        <f>SUM(C169:H169)</f>
        <v>0</v>
      </c>
      <c r="L169" s="653">
        <v>0</v>
      </c>
    </row>
    <row r="170" spans="1:14" ht="33.75" customHeight="1" x14ac:dyDescent="0.2">
      <c r="A170" s="666" t="s">
        <v>1670</v>
      </c>
      <c r="B170" s="668" t="s">
        <v>31</v>
      </c>
      <c r="C170" s="613"/>
      <c r="D170" s="613"/>
      <c r="E170" s="613"/>
      <c r="F170" s="613"/>
      <c r="G170" s="613"/>
      <c r="H170" s="566">
        <v>0</v>
      </c>
      <c r="I170" s="613"/>
      <c r="J170" s="613"/>
      <c r="K170" s="1668">
        <f>SUM(C170:J170)</f>
        <v>0</v>
      </c>
      <c r="L170" s="566">
        <v>0</v>
      </c>
    </row>
    <row r="171" spans="1:14" ht="15.75" customHeight="1" x14ac:dyDescent="0.2">
      <c r="A171" s="618" t="s">
        <v>766</v>
      </c>
      <c r="B171" s="669" t="s">
        <v>84</v>
      </c>
      <c r="C171" s="613"/>
      <c r="D171" s="613"/>
      <c r="E171" s="466">
        <v>0</v>
      </c>
      <c r="F171" s="613"/>
      <c r="G171" s="613"/>
      <c r="H171" s="566">
        <v>0</v>
      </c>
      <c r="I171" s="475"/>
      <c r="J171" s="613"/>
      <c r="K171" s="1668">
        <f>SUM(C171:J171)</f>
        <v>0</v>
      </c>
      <c r="L171" s="566">
        <v>0</v>
      </c>
    </row>
    <row r="172" spans="1:14" ht="12.75" customHeight="1" thickBot="1" x14ac:dyDescent="0.25">
      <c r="A172" s="1665" t="s">
        <v>638</v>
      </c>
      <c r="B172" s="1666" t="s">
        <v>492</v>
      </c>
      <c r="C172" s="613"/>
      <c r="D172" s="613"/>
      <c r="E172" s="1674">
        <f>SUM(E168,E169,E170,E171)</f>
        <v>0</v>
      </c>
      <c r="F172" s="613"/>
      <c r="G172" s="613"/>
      <c r="H172" s="1674">
        <f>SUM(H168,H169,H170,H171)</f>
        <v>0</v>
      </c>
      <c r="I172" s="635"/>
      <c r="J172" s="613"/>
      <c r="K172" s="1674">
        <f>SUM(K168,K169,K170,K171)</f>
        <v>0</v>
      </c>
      <c r="L172" s="1674">
        <f>SUM(L168,L169,L170,L171)</f>
        <v>0</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0</v>
      </c>
      <c r="I174" s="635"/>
      <c r="J174" s="613"/>
      <c r="K174" s="1674">
        <f>SUM(K160,K172,K173)</f>
        <v>0</v>
      </c>
      <c r="L174" s="1674">
        <f>SUM(L160,L172,L173)</f>
        <v>0</v>
      </c>
    </row>
    <row r="175" spans="1:14" ht="13.5" thickTop="1" x14ac:dyDescent="0.2">
      <c r="A175" s="2254" t="s">
        <v>996</v>
      </c>
      <c r="B175" s="2255"/>
      <c r="C175" s="613"/>
      <c r="D175" s="613"/>
      <c r="E175" s="613"/>
      <c r="F175" s="613"/>
      <c r="G175" s="613"/>
      <c r="H175" s="615"/>
      <c r="I175" s="613"/>
      <c r="J175" s="613"/>
      <c r="K175" s="1681">
        <f>'Revenues 9-14'!E268-'Expenditures 15-22'!K174</f>
        <v>0</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2057</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0</v>
      </c>
      <c r="D182" s="466">
        <v>0</v>
      </c>
      <c r="E182" s="466">
        <v>10675</v>
      </c>
      <c r="F182" s="466">
        <v>0</v>
      </c>
      <c r="G182" s="466">
        <v>0</v>
      </c>
      <c r="H182" s="466">
        <v>0</v>
      </c>
      <c r="I182" s="467">
        <v>0</v>
      </c>
      <c r="J182" s="467">
        <v>0</v>
      </c>
      <c r="K182" s="1668">
        <f>SUM(C182:J182)</f>
        <v>10675</v>
      </c>
      <c r="L182" s="466">
        <v>19000</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0</v>
      </c>
      <c r="D184" s="1674">
        <f t="shared" ref="D184:J184" si="17">SUM(D180,D182,D183)</f>
        <v>0</v>
      </c>
      <c r="E184" s="1674">
        <f t="shared" si="17"/>
        <v>10675</v>
      </c>
      <c r="F184" s="1674">
        <f t="shared" si="17"/>
        <v>0</v>
      </c>
      <c r="G184" s="1674">
        <f t="shared" si="17"/>
        <v>0</v>
      </c>
      <c r="H184" s="1674">
        <f t="shared" si="17"/>
        <v>0</v>
      </c>
      <c r="I184" s="1674">
        <f t="shared" si="17"/>
        <v>0</v>
      </c>
      <c r="J184" s="1674">
        <f t="shared" si="17"/>
        <v>0</v>
      </c>
      <c r="K184" s="1674">
        <f>SUM(K180,K182,K183)</f>
        <v>10675</v>
      </c>
      <c r="L184" s="1674">
        <f>SUM(L180, L182:L183)</f>
        <v>19000</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0</v>
      </c>
      <c r="D210" s="1667">
        <f>SUM(D184,D185)</f>
        <v>0</v>
      </c>
      <c r="E210" s="1667">
        <f>SUM(E184,E185,E196)</f>
        <v>10675</v>
      </c>
      <c r="F210" s="1667">
        <f>SUM(F184,F185)</f>
        <v>0</v>
      </c>
      <c r="G210" s="1667">
        <f>SUM(G184,G185)</f>
        <v>0</v>
      </c>
      <c r="H210" s="1667">
        <f>SUM(H184,H185,H196,H208,H209)</f>
        <v>0</v>
      </c>
      <c r="I210" s="1667">
        <f>SUM(I184,I185)</f>
        <v>0</v>
      </c>
      <c r="J210" s="1667">
        <f>SUM(J184,J185)</f>
        <v>0</v>
      </c>
      <c r="K210" s="1668">
        <f>SUM(K184,K185,K196,K208,K209)</f>
        <v>10675</v>
      </c>
      <c r="L210" s="1667">
        <f>SUM(L184,L185,L196,L208,L209)</f>
        <v>19000</v>
      </c>
    </row>
    <row r="211" spans="1:14" ht="13.5" thickTop="1" x14ac:dyDescent="0.2">
      <c r="A211" s="2254" t="s">
        <v>996</v>
      </c>
      <c r="B211" s="2255"/>
      <c r="C211" s="615"/>
      <c r="D211" s="615"/>
      <c r="E211" s="615"/>
      <c r="F211" s="615"/>
      <c r="G211" s="615"/>
      <c r="H211" s="615"/>
      <c r="I211" s="613"/>
      <c r="J211" s="613"/>
      <c r="K211" s="1681">
        <f>'Revenues 9-14'!F268-'Expenditures 15-22'!K210</f>
        <v>221</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249" t="s">
        <v>965</v>
      </c>
      <c r="B213" s="2250"/>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0</v>
      </c>
      <c r="E215" s="613"/>
      <c r="F215" s="613"/>
      <c r="G215" s="613"/>
      <c r="H215" s="613"/>
      <c r="I215" s="613"/>
      <c r="J215" s="613"/>
      <c r="K215" s="1668">
        <f>D215</f>
        <v>0</v>
      </c>
      <c r="L215" s="466">
        <v>0</v>
      </c>
    </row>
    <row r="216" spans="1:14" x14ac:dyDescent="0.2">
      <c r="A216" s="1501" t="s">
        <v>163</v>
      </c>
      <c r="B216" s="611" t="s">
        <v>967</v>
      </c>
      <c r="C216" s="613"/>
      <c r="D216" s="467">
        <v>0</v>
      </c>
      <c r="E216" s="613"/>
      <c r="F216" s="613"/>
      <c r="G216" s="613"/>
      <c r="H216" s="613"/>
      <c r="I216" s="613"/>
      <c r="J216" s="613"/>
      <c r="K216" s="1668">
        <f t="shared" ref="K216:K228" si="19">D216</f>
        <v>0</v>
      </c>
      <c r="L216" s="466">
        <v>0</v>
      </c>
    </row>
    <row r="217" spans="1:14" x14ac:dyDescent="0.2">
      <c r="A217" s="1501" t="s">
        <v>164</v>
      </c>
      <c r="B217" s="611">
        <v>1200</v>
      </c>
      <c r="C217" s="613"/>
      <c r="D217" s="466">
        <v>0</v>
      </c>
      <c r="E217" s="613"/>
      <c r="F217" s="613"/>
      <c r="G217" s="613"/>
      <c r="H217" s="613"/>
      <c r="I217" s="613"/>
      <c r="J217" s="613"/>
      <c r="K217" s="1668">
        <f t="shared" si="19"/>
        <v>0</v>
      </c>
      <c r="L217" s="466">
        <v>0</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0</v>
      </c>
      <c r="E219" s="613"/>
      <c r="F219" s="613"/>
      <c r="G219" s="613"/>
      <c r="H219" s="613"/>
      <c r="I219" s="613"/>
      <c r="J219" s="613"/>
      <c r="K219" s="1668">
        <f t="shared" si="19"/>
        <v>0</v>
      </c>
      <c r="L219" s="466">
        <v>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0</v>
      </c>
      <c r="E223" s="613"/>
      <c r="F223" s="613"/>
      <c r="G223" s="613"/>
      <c r="H223" s="613"/>
      <c r="I223" s="613"/>
      <c r="J223" s="613"/>
      <c r="K223" s="1668">
        <f t="shared" si="19"/>
        <v>0</v>
      </c>
      <c r="L223" s="466">
        <v>0</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0</v>
      </c>
      <c r="E226" s="613"/>
      <c r="F226" s="613"/>
      <c r="G226" s="613"/>
      <c r="H226" s="613"/>
      <c r="I226" s="613"/>
      <c r="J226" s="613"/>
      <c r="K226" s="1668">
        <f t="shared" si="19"/>
        <v>0</v>
      </c>
      <c r="L226" s="466">
        <v>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0</v>
      </c>
      <c r="E229" s="613"/>
      <c r="F229" s="613"/>
      <c r="G229" s="613"/>
      <c r="H229" s="613"/>
      <c r="I229" s="613"/>
      <c r="J229" s="613"/>
      <c r="K229" s="1667">
        <f>SUM(K215:K228)</f>
        <v>0</v>
      </c>
      <c r="L229" s="1667">
        <f>SUM(L215:L228)</f>
        <v>0</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0</v>
      </c>
      <c r="E233" s="613"/>
      <c r="F233" s="613"/>
      <c r="G233" s="613"/>
      <c r="H233" s="613"/>
      <c r="I233" s="613"/>
      <c r="J233" s="613"/>
      <c r="K233" s="1668">
        <f t="shared" si="20"/>
        <v>0</v>
      </c>
      <c r="L233" s="466">
        <v>0</v>
      </c>
    </row>
    <row r="234" spans="1:12" x14ac:dyDescent="0.2">
      <c r="A234" s="1501" t="s">
        <v>198</v>
      </c>
      <c r="B234" s="611">
        <v>2130</v>
      </c>
      <c r="C234" s="613"/>
      <c r="D234" s="466">
        <v>0</v>
      </c>
      <c r="E234" s="613"/>
      <c r="F234" s="613"/>
      <c r="G234" s="613"/>
      <c r="H234" s="613"/>
      <c r="I234" s="613"/>
      <c r="J234" s="613"/>
      <c r="K234" s="1668">
        <f t="shared" si="20"/>
        <v>0</v>
      </c>
      <c r="L234" s="466">
        <v>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0</v>
      </c>
      <c r="E236" s="613"/>
      <c r="F236" s="613"/>
      <c r="G236" s="613"/>
      <c r="H236" s="613"/>
      <c r="I236" s="613"/>
      <c r="J236" s="613"/>
      <c r="K236" s="1668">
        <f t="shared" si="20"/>
        <v>0</v>
      </c>
      <c r="L236" s="466">
        <v>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0</v>
      </c>
      <c r="E238" s="613"/>
      <c r="F238" s="613"/>
      <c r="G238" s="613"/>
      <c r="H238" s="613"/>
      <c r="I238" s="613"/>
      <c r="J238" s="613"/>
      <c r="K238" s="1667">
        <f>SUM(K232:K237)</f>
        <v>0</v>
      </c>
      <c r="L238" s="1667">
        <f>SUM(L232:L237)</f>
        <v>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0</v>
      </c>
      <c r="E240" s="613"/>
      <c r="F240" s="613"/>
      <c r="G240" s="613"/>
      <c r="H240" s="613"/>
      <c r="I240" s="613"/>
      <c r="J240" s="613"/>
      <c r="K240" s="1669">
        <f>D240</f>
        <v>0</v>
      </c>
      <c r="L240" s="479">
        <v>0</v>
      </c>
    </row>
    <row r="241" spans="1:12" x14ac:dyDescent="0.2">
      <c r="A241" s="1501" t="s">
        <v>815</v>
      </c>
      <c r="B241" s="611">
        <v>2220</v>
      </c>
      <c r="C241" s="613"/>
      <c r="D241" s="466">
        <v>0</v>
      </c>
      <c r="E241" s="613"/>
      <c r="F241" s="613"/>
      <c r="G241" s="613"/>
      <c r="H241" s="613"/>
      <c r="I241" s="613"/>
      <c r="J241" s="613"/>
      <c r="K241" s="1669">
        <f>D241</f>
        <v>0</v>
      </c>
      <c r="L241" s="466">
        <v>0</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0</v>
      </c>
      <c r="E243" s="613"/>
      <c r="F243" s="613"/>
      <c r="G243" s="613"/>
      <c r="H243" s="613"/>
      <c r="I243" s="613"/>
      <c r="J243" s="613"/>
      <c r="K243" s="1667">
        <f>SUM(K240:K242)</f>
        <v>0</v>
      </c>
      <c r="L243" s="1667">
        <f>SUM(L240:L242)</f>
        <v>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0</v>
      </c>
      <c r="E245" s="613"/>
      <c r="F245" s="613"/>
      <c r="G245" s="613"/>
      <c r="H245" s="613"/>
      <c r="I245" s="613"/>
      <c r="J245" s="613"/>
      <c r="K245" s="1669">
        <f>D245</f>
        <v>0</v>
      </c>
      <c r="L245" s="479">
        <v>0</v>
      </c>
    </row>
    <row r="246" spans="1:12" x14ac:dyDescent="0.2">
      <c r="A246" s="1501" t="s">
        <v>818</v>
      </c>
      <c r="B246" s="611">
        <v>2320</v>
      </c>
      <c r="C246" s="613"/>
      <c r="D246" s="466">
        <v>0</v>
      </c>
      <c r="E246" s="613"/>
      <c r="F246" s="613"/>
      <c r="G246" s="613"/>
      <c r="H246" s="613"/>
      <c r="I246" s="613"/>
      <c r="J246" s="613"/>
      <c r="K246" s="1669">
        <f t="shared" ref="K246:K256" si="21">D246</f>
        <v>0</v>
      </c>
      <c r="L246" s="466">
        <v>0</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1802</v>
      </c>
      <c r="B249" s="680" t="s">
        <v>282</v>
      </c>
      <c r="C249" s="613"/>
      <c r="D249" s="473">
        <v>0</v>
      </c>
      <c r="E249" s="613"/>
      <c r="F249" s="613"/>
      <c r="G249" s="613"/>
      <c r="H249" s="613"/>
      <c r="I249" s="613"/>
      <c r="J249" s="613"/>
      <c r="K249" s="1669">
        <f t="shared" si="21"/>
        <v>0</v>
      </c>
      <c r="L249" s="466">
        <v>0</v>
      </c>
    </row>
    <row r="250" spans="1:12" x14ac:dyDescent="0.2">
      <c r="A250" s="1502" t="s">
        <v>1803</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0</v>
      </c>
      <c r="E257" s="613"/>
      <c r="F257" s="613"/>
      <c r="G257" s="613"/>
      <c r="H257" s="613"/>
      <c r="I257" s="613"/>
      <c r="J257" s="613"/>
      <c r="K257" s="1667">
        <f>SUM(K245:K256)</f>
        <v>0</v>
      </c>
      <c r="L257" s="1667">
        <f>SUM(L245:L256)</f>
        <v>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0</v>
      </c>
      <c r="E259" s="613"/>
      <c r="F259" s="613"/>
      <c r="G259" s="613"/>
      <c r="H259" s="613"/>
      <c r="I259" s="613"/>
      <c r="J259" s="613"/>
      <c r="K259" s="1669">
        <f>D259</f>
        <v>0</v>
      </c>
      <c r="L259" s="479">
        <v>0</v>
      </c>
    </row>
    <row r="260" spans="1:14" s="594" customFormat="1" x14ac:dyDescent="0.2">
      <c r="A260" s="1519" t="s">
        <v>1801</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0</v>
      </c>
      <c r="E261" s="613"/>
      <c r="F261" s="613"/>
      <c r="G261" s="613"/>
      <c r="H261" s="613"/>
      <c r="I261" s="613"/>
      <c r="J261" s="613"/>
      <c r="K261" s="1667">
        <f>SUM(K259:K260)</f>
        <v>0</v>
      </c>
      <c r="L261" s="1667">
        <f>SUM(L259:L260)</f>
        <v>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0</v>
      </c>
      <c r="E264" s="613"/>
      <c r="F264" s="613"/>
      <c r="G264" s="613"/>
      <c r="H264" s="613"/>
      <c r="I264" s="613"/>
      <c r="J264" s="613"/>
      <c r="K264" s="1669">
        <f t="shared" ref="K264:K269" si="22">D264</f>
        <v>0</v>
      </c>
      <c r="L264" s="466">
        <v>0</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0</v>
      </c>
      <c r="E266" s="613"/>
      <c r="F266" s="613"/>
      <c r="G266" s="613"/>
      <c r="H266" s="613"/>
      <c r="I266" s="613"/>
      <c r="J266" s="613"/>
      <c r="K266" s="1669">
        <f t="shared" si="22"/>
        <v>0</v>
      </c>
      <c r="L266" s="466">
        <v>0</v>
      </c>
    </row>
    <row r="267" spans="1:14" x14ac:dyDescent="0.2">
      <c r="A267" s="1501" t="s">
        <v>953</v>
      </c>
      <c r="B267" s="611">
        <v>2550</v>
      </c>
      <c r="C267" s="613"/>
      <c r="D267" s="466">
        <v>0</v>
      </c>
      <c r="E267" s="613"/>
      <c r="F267" s="613"/>
      <c r="G267" s="613"/>
      <c r="H267" s="613"/>
      <c r="I267" s="613"/>
      <c r="J267" s="613"/>
      <c r="K267" s="1669">
        <f t="shared" si="22"/>
        <v>0</v>
      </c>
      <c r="L267" s="466">
        <v>0</v>
      </c>
    </row>
    <row r="268" spans="1:14" x14ac:dyDescent="0.2">
      <c r="A268" s="1501" t="s">
        <v>100</v>
      </c>
      <c r="B268" s="611">
        <v>2560</v>
      </c>
      <c r="C268" s="613"/>
      <c r="D268" s="466">
        <v>0</v>
      </c>
      <c r="E268" s="613"/>
      <c r="F268" s="613"/>
      <c r="G268" s="613"/>
      <c r="H268" s="613"/>
      <c r="I268" s="613"/>
      <c r="J268" s="613"/>
      <c r="K268" s="1669">
        <f t="shared" si="22"/>
        <v>0</v>
      </c>
      <c r="L268" s="466">
        <v>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0</v>
      </c>
      <c r="E270" s="613"/>
      <c r="F270" s="613"/>
      <c r="G270" s="613"/>
      <c r="H270" s="613"/>
      <c r="I270" s="613"/>
      <c r="J270" s="613"/>
      <c r="K270" s="1667">
        <f>SUM(K263:K269)</f>
        <v>0</v>
      </c>
      <c r="L270" s="1667">
        <f>SUM(L263:L269)</f>
        <v>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0</v>
      </c>
      <c r="E279" s="613"/>
      <c r="F279" s="613"/>
      <c r="G279" s="613"/>
      <c r="H279" s="613"/>
      <c r="I279" s="613"/>
      <c r="J279" s="613"/>
      <c r="K279" s="1674">
        <f>SUM(K238,K243,K257,K261,K270,K277,K278)</f>
        <v>0</v>
      </c>
      <c r="L279" s="1674">
        <f>SUM(L238,L243,L257,L261,L270,L277,L278)</f>
        <v>0</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1842</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245" t="s">
        <v>505</v>
      </c>
      <c r="B295" s="2246"/>
      <c r="C295" s="613"/>
      <c r="D295" s="1667">
        <f>SUM(D229,D279,D280,D285)</f>
        <v>0</v>
      </c>
      <c r="E295" s="613"/>
      <c r="F295" s="613"/>
      <c r="G295" s="613"/>
      <c r="H295" s="1667">
        <f>H293</f>
        <v>0</v>
      </c>
      <c r="I295" s="613"/>
      <c r="J295" s="613"/>
      <c r="K295" s="1667">
        <f>SUM(K229,K279,K280,K285,K293,K294)</f>
        <v>0</v>
      </c>
      <c r="L295" s="1667">
        <f>SUM(L229,L279,L280,L285,L293,L294)</f>
        <v>0</v>
      </c>
    </row>
    <row r="296" spans="1:14" ht="13.5" thickTop="1" x14ac:dyDescent="0.2">
      <c r="A296" s="2254" t="s">
        <v>996</v>
      </c>
      <c r="B296" s="2255"/>
      <c r="C296" s="613"/>
      <c r="D296" s="615"/>
      <c r="E296" s="613"/>
      <c r="F296" s="613"/>
      <c r="G296" s="613"/>
      <c r="H296" s="684"/>
      <c r="I296" s="613"/>
      <c r="J296" s="613"/>
      <c r="K296" s="1681">
        <f>'Revenues 9-14'!G268-'Expenditures 15-22'!K295</f>
        <v>0</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237" t="s">
        <v>143</v>
      </c>
      <c r="B298" s="2231"/>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0</v>
      </c>
      <c r="H301" s="466">
        <v>0</v>
      </c>
      <c r="I301" s="467">
        <v>0</v>
      </c>
      <c r="J301" s="467">
        <v>0</v>
      </c>
      <c r="K301" s="1668">
        <f>SUM(C301:J301)</f>
        <v>0</v>
      </c>
      <c r="L301" s="467">
        <v>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1847</v>
      </c>
      <c r="B306" s="687" t="s">
        <v>1842</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242" t="s">
        <v>277</v>
      </c>
      <c r="B312" s="2243"/>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662"/>
      <c r="N312" s="662"/>
    </row>
    <row r="313" spans="1:14" ht="13.5" thickTop="1" x14ac:dyDescent="0.2">
      <c r="A313" s="2238" t="s">
        <v>996</v>
      </c>
      <c r="B313" s="2239"/>
      <c r="C313" s="623"/>
      <c r="D313" s="623"/>
      <c r="E313" s="623"/>
      <c r="F313" s="623"/>
      <c r="G313" s="623"/>
      <c r="H313" s="623"/>
      <c r="I313" s="623"/>
      <c r="J313" s="623"/>
      <c r="K313" s="1682">
        <f>'Revenues 9-14'!H268-'Expenditures 15-22'!K312</f>
        <v>0</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251" t="s">
        <v>149</v>
      </c>
      <c r="B315" s="2252"/>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53" t="s">
        <v>898</v>
      </c>
      <c r="B317" s="2252"/>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1802</v>
      </c>
      <c r="B320" s="695" t="s">
        <v>282</v>
      </c>
      <c r="C320" s="467">
        <v>0</v>
      </c>
      <c r="D320" s="467">
        <v>0</v>
      </c>
      <c r="E320" s="467">
        <v>0</v>
      </c>
      <c r="F320" s="467">
        <v>0</v>
      </c>
      <c r="G320" s="467">
        <v>0</v>
      </c>
      <c r="H320" s="467">
        <v>0</v>
      </c>
      <c r="I320" s="467">
        <v>0</v>
      </c>
      <c r="J320" s="467">
        <v>0</v>
      </c>
      <c r="K320" s="1668">
        <f t="shared" ref="K320:K327" si="24">SUM(C320:J320)</f>
        <v>0</v>
      </c>
      <c r="L320" s="467">
        <v>0</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0</v>
      </c>
      <c r="M321" s="662"/>
      <c r="N321" s="662"/>
    </row>
    <row r="322" spans="1:14" s="671" customFormat="1" x14ac:dyDescent="0.2">
      <c r="A322" s="1516" t="s">
        <v>238</v>
      </c>
      <c r="B322" s="694" t="s">
        <v>284</v>
      </c>
      <c r="C322" s="467">
        <v>0</v>
      </c>
      <c r="D322" s="467">
        <v>0</v>
      </c>
      <c r="E322" s="467">
        <v>0</v>
      </c>
      <c r="F322" s="467">
        <v>0</v>
      </c>
      <c r="G322" s="467">
        <v>0</v>
      </c>
      <c r="H322" s="467">
        <v>0</v>
      </c>
      <c r="I322" s="467">
        <v>0</v>
      </c>
      <c r="J322" s="467">
        <v>0</v>
      </c>
      <c r="K322" s="1668">
        <f t="shared" si="24"/>
        <v>0</v>
      </c>
      <c r="L322" s="467">
        <v>0</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0</v>
      </c>
      <c r="D325" s="467">
        <v>0</v>
      </c>
      <c r="E325" s="467">
        <v>0</v>
      </c>
      <c r="F325" s="467">
        <v>0</v>
      </c>
      <c r="G325" s="467">
        <v>0</v>
      </c>
      <c r="H325" s="467">
        <v>0</v>
      </c>
      <c r="I325" s="467">
        <v>0</v>
      </c>
      <c r="J325" s="467">
        <v>0</v>
      </c>
      <c r="K325" s="1668">
        <f t="shared" si="24"/>
        <v>0</v>
      </c>
      <c r="L325" s="467">
        <v>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0</v>
      </c>
      <c r="F327" s="467">
        <v>0</v>
      </c>
      <c r="G327" s="467">
        <v>0</v>
      </c>
      <c r="H327" s="467">
        <v>0</v>
      </c>
      <c r="I327" s="467">
        <v>0</v>
      </c>
      <c r="J327" s="467">
        <v>0</v>
      </c>
      <c r="K327" s="1668">
        <f t="shared" si="24"/>
        <v>0</v>
      </c>
      <c r="L327" s="467">
        <v>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0</v>
      </c>
      <c r="D330" s="1667">
        <f t="shared" ref="D330:J330" si="25">SUM(D319:D329)</f>
        <v>0</v>
      </c>
      <c r="E330" s="1667">
        <f t="shared" si="25"/>
        <v>0</v>
      </c>
      <c r="F330" s="1667">
        <f t="shared" si="25"/>
        <v>0</v>
      </c>
      <c r="G330" s="1667">
        <f t="shared" si="25"/>
        <v>0</v>
      </c>
      <c r="H330" s="1667">
        <f t="shared" si="25"/>
        <v>0</v>
      </c>
      <c r="I330" s="1667">
        <f t="shared" si="25"/>
        <v>0</v>
      </c>
      <c r="J330" s="1667">
        <f t="shared" si="25"/>
        <v>0</v>
      </c>
      <c r="K330" s="1667">
        <f>SUM(K319:K329)</f>
        <v>0</v>
      </c>
      <c r="L330" s="1667">
        <f>SUM(L319:L329)</f>
        <v>0</v>
      </c>
      <c r="M330" s="662"/>
      <c r="N330" s="662"/>
    </row>
    <row r="331" spans="1:14" s="671" customFormat="1" ht="12.75" customHeight="1" thickTop="1" x14ac:dyDescent="0.2">
      <c r="A331" s="1828" t="s">
        <v>1848</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1842</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1844</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1849</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0</v>
      </c>
      <c r="D342" s="1667">
        <f>SUM(D330)</f>
        <v>0</v>
      </c>
      <c r="E342" s="1667">
        <f>SUM(E330)</f>
        <v>0</v>
      </c>
      <c r="F342" s="1667">
        <f>SUM(F330)</f>
        <v>0</v>
      </c>
      <c r="G342" s="1667">
        <f>SUM(G330)</f>
        <v>0</v>
      </c>
      <c r="H342" s="1667">
        <f>SUM(H330,H334,H340)</f>
        <v>0</v>
      </c>
      <c r="I342" s="1667">
        <f>SUM(I330)</f>
        <v>0</v>
      </c>
      <c r="J342" s="1667">
        <f>SUM(J330)</f>
        <v>0</v>
      </c>
      <c r="K342" s="1667">
        <f>SUM(K330,K334,K340)</f>
        <v>0</v>
      </c>
      <c r="L342" s="1674">
        <f>SUM(L330,L340,L341)</f>
        <v>0</v>
      </c>
    </row>
    <row r="343" spans="1:14" ht="12.75" customHeight="1" thickTop="1" x14ac:dyDescent="0.2">
      <c r="A343" s="2240" t="s">
        <v>996</v>
      </c>
      <c r="B343" s="2241"/>
      <c r="C343" s="613"/>
      <c r="D343" s="613"/>
      <c r="E343" s="613"/>
      <c r="F343" s="613"/>
      <c r="G343" s="613"/>
      <c r="H343" s="613"/>
      <c r="I343" s="613"/>
      <c r="J343" s="613"/>
      <c r="K343" s="1681">
        <f>'Revenues 9-14'!J268-'Expenditures 15-22'!K342</f>
        <v>0</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230" t="s">
        <v>966</v>
      </c>
      <c r="B345" s="2231"/>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1850</v>
      </c>
      <c r="B354" s="680" t="s">
        <v>1842</v>
      </c>
      <c r="C354" s="613"/>
      <c r="D354" s="613"/>
      <c r="E354" s="613"/>
      <c r="F354" s="613"/>
      <c r="G354" s="613"/>
      <c r="H354" s="473">
        <v>0</v>
      </c>
      <c r="I354" s="698"/>
      <c r="J354" s="613"/>
      <c r="K354" s="1696">
        <f>H354</f>
        <v>0</v>
      </c>
      <c r="L354" s="471">
        <v>0</v>
      </c>
    </row>
    <row r="355" spans="1:14" ht="12.75" customHeight="1" x14ac:dyDescent="0.2">
      <c r="A355" s="1510" t="s">
        <v>1851</v>
      </c>
      <c r="B355" s="687" t="s">
        <v>1844</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254" t="s">
        <v>996</v>
      </c>
      <c r="B368" s="2255"/>
      <c r="C368" s="651"/>
      <c r="D368" s="651"/>
      <c r="E368" s="623"/>
      <c r="F368" s="623"/>
      <c r="G368" s="623"/>
      <c r="H368" s="623"/>
      <c r="I368" s="623"/>
      <c r="J368" s="620"/>
      <c r="K368" s="1668">
        <f>'Revenues 9-14'!K268-'Expenditures 15-22'!K367</f>
        <v>0</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schemas.microsoft.com/sharepoint/v3"/>
    <ds:schemaRef ds:uri="http://schemas.microsoft.com/office/2006/documentManagement/types"/>
    <ds:schemaRef ds:uri="http://purl.org/dc/elements/1.1/"/>
    <ds:schemaRef ds:uri="6ce3111e-7420-4802-b50a-75d4e9a0b980"/>
    <ds:schemaRef ds:uri="http://schemas.openxmlformats.org/package/2006/metadata/core-properties"/>
    <ds:schemaRef ds:uri="d21dc803-237d-4c68-8692-8d731fd29118"/>
    <ds:schemaRef ds:uri="http://schemas.microsoft.com/office/2006/metadata/properties"/>
    <ds:schemaRef ds:uri="http://www.w3.org/XML/1998/namespace"/>
    <ds:schemaRef ds:uri="http://schemas.microsoft.com/office/infopath/2007/PartnerControls"/>
    <ds:schemaRef ds:uri="4d435f69-8686-490b-bd6d-b153bf22ab50"/>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19</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19</vt:lpstr>
      <vt:lpstr>SEFA NOTES</vt:lpstr>
      <vt:lpstr>SF&amp;QC Sec-1</vt:lpstr>
      <vt:lpstr>SF&amp;QC Sec-2</vt:lpstr>
      <vt:lpstr>SF&amp;QC Sec-3</vt:lpstr>
      <vt:lpstr>SSPAF</vt:lpstr>
      <vt:lpstr>' SEFA'!Print_Area</vt:lpstr>
      <vt:lpstr>'SEFA 19'!Print_Area</vt:lpstr>
      <vt:lpstr>'SEFA NOTES'!Print_Area</vt:lpstr>
      <vt:lpstr>'SEFA Reconcile'!Print_Area</vt:lpstr>
      <vt:lpstr>'SF&amp;QC Sec-1'!Print_Area</vt:lpstr>
      <vt:lpstr>'SF&amp;QC Sec-3'!Print_Area</vt:lpstr>
      <vt:lpstr>'Single Audit Checklist'!Print_Area</vt:lpstr>
      <vt:lpstr>'Single Audit Cover'!Print_Area</vt:lpstr>
      <vt:lpstr>'SEFA 19'!Print_Area_MI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19'!Print_Titles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2019-10-08T20:51:17Z</cp:lastPrinted>
  <dcterms:created xsi:type="dcterms:W3CDTF">2003-10-29T19:06:34Z</dcterms:created>
  <dcterms:modified xsi:type="dcterms:W3CDTF">2019-12-17T17:17:43Z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