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1D6FF0EA-D611-4913-8AAD-BE3B5258A33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L5" i="11"/>
  <c r="B2056" i="106" s="1"/>
  <c r="D2056" i="106" s="1"/>
  <c r="F50" i="34" l="1"/>
  <c r="D24" i="37"/>
  <c r="B4270" i="106" s="1"/>
  <c r="D4270" i="106" s="1"/>
  <c r="F36" i="34"/>
  <c r="B6289" i="106"/>
  <c r="D6289" i="106" s="1"/>
  <c r="F64" i="34"/>
  <c r="J210" i="29"/>
  <c r="B7072" i="106" s="1"/>
  <c r="D7072" i="106" s="1"/>
  <c r="F69" i="34"/>
  <c r="F71" i="34"/>
  <c r="H112" i="29"/>
  <c r="B7018" i="106" s="1"/>
  <c r="D7018" i="106" s="1"/>
  <c r="G14" i="4"/>
  <c r="B2609" i="106" s="1"/>
  <c r="D2609" i="106" s="1"/>
  <c r="I210" i="29"/>
  <c r="B7071" i="106" s="1"/>
  <c r="D7071" i="106" s="1"/>
  <c r="F72" i="34"/>
  <c r="F37" i="34"/>
  <c r="D54" i="36"/>
  <c r="F46" i="34"/>
  <c r="F36" i="108"/>
  <c r="F42"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B1328" i="106" l="1"/>
  <c r="D1328"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<sst xmlns="http://schemas.openxmlformats.org/spreadsheetml/2006/main" count="5057" uniqueCount="2090">
  <si>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</si>
  <si>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</si>
  <si>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</si>
  <si>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</si>
  <si>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</si>
  <si>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</si>
  <si>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</si>
  <si>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</si>
  <si>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</si>
  <si>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</si>
  <si>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</si>
  <si>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</si>
  <si>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</si>
  <si>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</si>
  <si>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</si>
  <si>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</si>
  <si>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</si>
  <si>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</si>
  <si>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</si>
  <si>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</si>
  <si>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</si>
  <si>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</si>
  <si>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</si>
  <si>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</si>
  <si>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</si>
  <si>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</si>
  <si>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</si>
  <si>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</si>
  <si>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</si>
  <si>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</si>
  <si>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</si>
  <si>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</si>
  <si>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</si>
  <si>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</si>
  <si>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</si>
  <si>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</si>
  <si>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</si>
  <si>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</si>
  <si>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</si>
  <si>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</si>
  <si>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</si>
  <si>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</si>
  <si>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</si>
  <si>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</si>
  <si>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</si>
  <si>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</si>
  <si>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</si>
  <si>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</si>
  <si>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</si>
  <si>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</si>
  <si>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</si>
  <si>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</si>
  <si>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</si>
  <si>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</si>
  <si>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</si>
  <si>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</si>
  <si>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</si>
  <si>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</si>
  <si>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</si>
  <si>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</si>
  <si>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</si>
  <si>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</si>
  <si>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</si>
  <si>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</si>
  <si>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</si>
  <si>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</si>
  <si>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</si>
  <si>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</si>
  <si>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</si>
  <si>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</si>
  <si>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</si>
  <si>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</si>
  <si>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</si>
  <si>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</si>
  <si>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</si>
  <si>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</si>
  <si>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</si>
  <si>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</si>
  <si>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</si>
  <si>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</si>
  <si>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</si>
  <si>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</si>
  <si>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</si>
  <si>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</si>
  <si>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</si>
  <si>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</si>
  <si>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</si>
  <si>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</si>
  <si>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</si>
  <si>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</si>
  <si>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</si>
  <si>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</si>
  <si>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</si>
  <si>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</si>
  <si>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</si>
  <si>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</si>
  <si>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</si>
  <si>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</si>
  <si>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</si>
  <si>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</si>
  <si>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</si>
  <si>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</si>
  <si>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</si>
  <si>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</si>
  <si>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</si>
  <si>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</si>
  <si>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</si>
  <si>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</si>
  <si>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</si>
  <si>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</si>
  <si>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</si>
  <si>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</si>
  <si>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</si>
  <si>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</si>
  <si>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</si>
  <si>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</si>
  <si>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</si>
  <si>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</si>
  <si>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</si>
  <si>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</si>
  <si>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</si>
  <si>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</si>
  <si>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</si>
  <si>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</si>
  <si>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</si>
  <si>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</si>
  <si>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</si>
  <si>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</si>
  <si>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</si>
  <si>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</si>
  <si>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</si>
  <si>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</si>
  <si>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</si>
  <si>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</si>
  <si>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</si>
  <si>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</si>
  <si>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</si>
  <si>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</si>
  <si>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</si>
  <si>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</si>
  <si>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</si>
  <si>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</si>
  <si>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</si>
  <si>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</si>
  <si>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</si>
  <si>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</si>
  <si>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</si>
  <si>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</si>
  <si>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</si>
  <si>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</si>
  <si>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</si>
  <si>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</si>
  <si>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</si>
  <si>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</si>
  <si>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</si>
  <si>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</si>
  <si>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</si>
  <si>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</si>
  <si>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</si>
  <si>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</si>
  <si>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</si>
  <si>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</si>
  <si>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</si>
  <si>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</si>
  <si>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</si>
  <si>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</si>
  <si>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</si>
  <si>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</si>
  <si>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</si>
  <si>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</si>
  <si>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</si>
  <si>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</si>
  <si>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</si>
  <si>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</si>
  <si>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</si>
  <si>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</si>
  <si>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</si>
  <si>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</si>
  <si>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</si>
  <si>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</si>
  <si>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</si>
  <si>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</si>
  <si>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</si>
  <si>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</si>
  <si>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</si>
  <si>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</si>
  <si>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</si>
  <si>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</si>
  <si>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</si>
  <si>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</si>
  <si>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</si>
  <si>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</si>
  <si>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</si>
  <si>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</si>
  <si>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</si>
  <si>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</si>
  <si>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</si>
  <si>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</si>
  <si>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</si>
  <si>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</si>
  <si>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</si>
  <si>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</si>
  <si>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</si>
  <si>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</si>
  <si>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</si>
  <si>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</si>
  <si>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</si>
  <si>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</si>
  <si>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</si>
  <si>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</si>
  <si>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</si>
  <si>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</si>
  <si>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</si>
  <si>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</si>
  <si>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</si>
  <si>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</si>
  <si>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</si>
  <si>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</si>
  <si>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</si>
  <si>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</si>
  <si>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</si>
  <si>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</si>
  <si>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</si>
  <si>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</si>
  <si>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</si>
  <si>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</si>
  <si>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</si>
  <si>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</si>
  <si>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</si>
  <si>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</si>
  <si>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</si>
  <si>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</si>
  <si>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</si>
  <si>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</si>
  <si>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</si>
  <si>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</si>
  <si>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</si>
  <si>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</si>
  <si>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</si>
  <si>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</si>
  <si>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</si>
  <si>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</si>
  <si>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</si>
  <si>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</si>
  <si>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</si>
  <si>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</si>
  <si>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</si>
  <si>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</si>
  <si>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</si>
  <si>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</si>
  <si>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</si>
  <si>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</si>
  <si>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</si>
  <si>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</si>
  <si>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</si>
  <si>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</si>
  <si>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</si>
  <si>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</si>
  <si>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</si>
  <si>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</si>
  <si>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</si>
  <si>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</si>
  <si>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</si>
  <si>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</si>
  <si>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</si>
  <si>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</si>
  <si>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</si>
  <si>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</si>
  <si>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</si>
  <si>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</si>
  <si>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</si>
  <si>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</si>
  <si>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</si>
  <si>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</si>
  <si>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</si>
  <si>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</si>
  <si>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</si>
  <si>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</si>
  <si>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</si>
  <si>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</si>
  <si>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</si>
  <si>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</si>
  <si>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</si>
  <si>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</si>
  <si>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</si>
  <si>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</si>
  <si>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</si>
  <si>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</si>
  <si>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</si>
  <si>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</si>
  <si>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</si>
  <si>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</si>
  <si>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</si>
  <si>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</si>
  <si>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</si>
  <si>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</si>
  <si>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</si>
  <si>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</si>
  <si>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</si>
  <si>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</si>
  <si>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</si>
  <si>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</si>
  <si>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</si>
  <si>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</si>
  <si>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</si>
  <si>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</si>
  <si>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</si>
  <si>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</si>
  <si>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</si>
  <si>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</si>
  <si>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</si>
  <si>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</si>
  <si>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</si>
  <si>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</si>
  <si>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</si>
  <si>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</si>
  <si>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</si>
  <si>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</si>
  <si>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</si>
  <si>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</si>
  <si>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</si>
  <si>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</si>
  <si>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</si>
  <si>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</si>
  <si>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</si>
  <si>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</si>
  <si>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</si>
  <si>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</si>
  <si>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</si>
  <si>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</si>
  <si>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</si>
  <si>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</si>
  <si>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</si>
  <si>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</si>
  <si>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</si>
  <si>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</si>
  <si>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</si>
  <si>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</si>
  <si>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</si>
  <si>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</si>
  <si>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</si>
  <si>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</si>
  <si>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</si>
  <si>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</si>
  <si>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</si>
  <si>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</si>
  <si>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</si>
  <si>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</si>
  <si>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</si>
  <si>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</si>
  <si>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</si>
  <si>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</si>
  <si>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</si>
  <si>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</si>
  <si>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</si>
  <si>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</si>
  <si>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</si>
  <si>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</si>
  <si>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</si>
  <si>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</si>
  <si>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</si>
  <si>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</si>
  <si>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</si>
  <si>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</si>
  <si>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</si>
  <si>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</si>
  <si>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</si>
  <si>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</si>
  <si>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</si>
  <si>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</si>
  <si>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</si>
  <si>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</si>
  <si>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</si>
  <si>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</si>
  <si>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</si>
  <si>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</si>
  <si>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</si>
  <si>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</si>
  <si>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</si>
  <si>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</si>
  <si>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</si>
  <si>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</si>
  <si>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</si>
  <si>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</si>
  <si>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</si>
  <si>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</si>
  <si>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</si>
  <si>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</si>
  <si>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</si>
  <si>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</si>
  <si>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</si>
  <si>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</si>
  <si>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</si>
  <si>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</si>
  <si>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</si>
  <si>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</si>
  <si>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</si>
  <si>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</si>
  <si>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</si>
  <si>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</si>
  <si>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</si>
  <si>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</si>
  <si>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</si>
  <si>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</si>
  <si>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</si>
  <si>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</si>
  <si>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</si>
  <si>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</si>
  <si>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</si>
  <si>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</si>
  <si>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</si>
  <si>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</si>
  <si>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</si>
  <si>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</si>
  <si>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</si>
  <si>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</si>
  <si>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</si>
  <si>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</si>
  <si>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</si>
  <si>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</si>
  <si>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</si>
  <si>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</si>
  <si>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</si>
  <si>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</si>
  <si>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</si>
  <si>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</si>
  <si>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</si>
  <si>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</si>
  <si>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</si>
  <si>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</si>
  <si>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</si>
  <si>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</si>
  <si>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</si>
  <si>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</si>
  <si>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</si>
  <si>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</si>
  <si>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</si>
  <si>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</si>
  <si>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</si>
  <si>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</si>
  <si>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</si>
  <si>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</si>
  <si>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</si>
  <si>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</si>
  <si>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</si>
  <si>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</si>
  <si>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</si>
  <si>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</si>
  <si>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</si>
  <si>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</si>
  <si>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</si>
  <si>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</si>
  <si>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</si>
  <si>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</si>
  <si>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</si>
  <si>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</si>
  <si>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</si>
  <si>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</si>
  <si>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</si>
  <si>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</si>
  <si>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</si>
  <si>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</si>
  <si>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</si>
  <si>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</si>
  <si>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</si>
  <si>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</si>
  <si>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</si>
  <si>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</si>
  <si>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</si>
  <si>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</si>
  <si>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</si>
  <si>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</si>
  <si>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</si>
  <si>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</si>
  <si>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</si>
  <si>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</si>
  <si>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</si>
  <si>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</si>
  <si>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</si>
  <si>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</si>
  <si>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</si>
  <si>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</si>
  <si>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</si>
  <si>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</si>
  <si>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</si>
  <si>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</si>
  <si>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</si>
  <si>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</si>
  <si>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</si>
  <si>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</si>
  <si>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</si>
  <si>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</si>
  <si>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</si>
  <si>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</si>
  <si>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</si>
  <si>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</si>
  <si>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</si>
  <si>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</si>
  <si>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</si>
  <si>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</si>
  <si>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</si>
  <si>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</si>
  <si>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</si>
  <si>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</si>
  <si>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</si>
  <si>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</si>
  <si>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</si>
  <si>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</si>
  <si>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</si>
  <si>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</si>
  <si>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</si>
  <si>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</si>
  <si>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</si>
  <si>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</si>
  <si>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</si>
  <si>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</si>
  <si>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</si>
  <si>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</si>
  <si>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</si>
  <si>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</si>
  <si>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</si>
  <si>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</si>
  <si>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</si>
  <si>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</si>
  <si>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</si>
  <si>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</si>
  <si>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</si>
  <si>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</si>
  <si>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</si>
  <si>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</si>
  <si>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</si>
  <si>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</si>
  <si>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</si>
  <si>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</si>
  <si>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</si>
  <si>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</si>
  <si>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</si>
  <si>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</si>
  <si>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</si>
  <si>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</si>
  <si>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</si>
  <si>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</si>
  <si>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</si>
  <si>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</si>
  <si>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</si>
  <si>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</si>
  <si>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</si>
  <si>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</si>
  <si>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</si>
  <si>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</si>
  <si>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</si>
  <si>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</si>
  <si>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</si>
  <si>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</si>
  <si>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</si>
  <si>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</si>
  <si>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</si>
  <si>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</si>
  <si>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</si>
  <si>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</si>
  <si>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</si>
  <si>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</si>
  <si>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</si>
  <si>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</si>
  <si>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</si>
  <si>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</si>
  <si>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</si>
  <si>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</si>
  <si>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</si>
  <si>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</si>
  <si>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</si>
  <si>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</si>
  <si>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</si>
  <si>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</si>
  <si>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</si>
  <si>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</si>
  <si>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</si>
  <si>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</si>
  <si>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</si>
  <si>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</si>
  <si>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</si>
  <si>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</si>
  <si>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</si>
  <si>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</si>
  <si>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</si>
  <si>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</si>
  <si>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</si>
  <si>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</si>
  <si>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</si>
  <si>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</si>
  <si>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</si>
  <si>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</si>
  <si>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</si>
  <si>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</si>
  <si>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</si>
  <si>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</si>
  <si>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</si>
  <si>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</si>
  <si>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</si>
  <si>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</si>
  <si>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</si>
  <si>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</si>
  <si>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</si>
  <si>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</si>
  <si>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</si>
  <si>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</si>
  <si>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</si>
  <si>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</si>
  <si>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</si>
  <si>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</si>
  <si>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</si>
  <si>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</si>
  <si>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</si>
  <si>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</si>
  <si>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</si>
  <si>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</si>
  <si>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</si>
  <si>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</si>
  <si>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</si>
  <si>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</si>
  <si>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</si>
  <si>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</si>
  <si>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</si>
  <si>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</si>
  <si>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</si>
  <si>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</si>
  <si>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</si>
  <si>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</si>
  <si>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</si>
  <si>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</si>
  <si>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</si>
  <si>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</si>
  <si>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</si>
  <si>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</si>
  <si>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</si>
  <si>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</si>
  <si>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</si>
  <si>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</si>
  <si>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</si>
  <si>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</si>
  <si>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</si>
  <si>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</si>
  <si>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</si>
  <si>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</si>
  <si>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</si>
  <si>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</si>
  <si>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</si>
  <si>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</si>
  <si>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</si>
  <si>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</si>
  <si>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</si>
  <si>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</si>
  <si>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</si>
  <si>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</si>
  <si>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</si>
  <si>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</si>
  <si>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</si>
  <si>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</si>
  <si>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</si>
  <si>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</si>
  <si>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</si>
  <si>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</si>
  <si>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</si>
  <si>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</si>
  <si>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</si>
  <si>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</si>
  <si>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</si>
  <si>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</si>
  <si>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</si>
  <si>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</si>
  <si>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</si>
  <si>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</si>
  <si>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</si>
  <si>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</si>
  <si>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</si>
  <si>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</si>
  <si>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</si>
  <si>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</si>
  <si>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</si>
  <si>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</si>
  <si>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</si>
  <si>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</si>
  <si>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</si>
  <si>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</si>
  <si>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</si>
  <si>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</si>
  <si>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</si>
  <si>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</si>
  <si>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</si>
  <si>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</si>
  <si>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</si>
  <si>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</si>
  <si>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</si>
  <si>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</si>
  <si>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</si>
  <si>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</si>
  <si>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</si>
  <si>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</si>
  <si>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</si>
  <si>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</si>
  <si>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</si>
  <si>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</si>
  <si>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</si>
  <si>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</si>
  <si>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</si>
  <si>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</si>
  <si>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</si>
  <si>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</si>
  <si>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</si>
  <si>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</si>
  <si>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</si>
  <si>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</si>
  <si>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</si>
  <si>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</si>
  <si>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</si>
  <si>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</si>
  <si>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</si>
  <si>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</si>
  <si>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</si>
  <si>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</si>
  <si>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</si>
  <si>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</si>
  <si>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</si>
  <si>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</si>
  <si>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</si>
  <si>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</si>
  <si>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</si>
  <si>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</si>
  <si>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</si>
  <si>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</si>
  <si>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</si>
  <si>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</si>
  <si>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</si>
  <si>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</si>
  <si>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</si>
  <si>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</si>
  <si>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</si>
  <si>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</si>
  <si>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</si>
  <si>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</si>
  <si>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</si>
  <si>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</si>
  <si>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</si>
  <si>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</si>
  <si>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</si>
  <si>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</si>
  <si>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</si>
  <si>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</si>
  <si>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</si>
  <si>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</si>
  <si>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</si>
  <si>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</si>
  <si>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</si>
  <si>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</si>
  <si>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</si>
  <si>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</si>
  <si>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</si>
  <si>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</si>
  <si>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</si>
  <si>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</si>
  <si>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</si>
  <si>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</si>
  <si>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</si>
  <si>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</si>
  <si>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</si>
  <si>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</si>
  <si>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</si>
  <si>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</si>
  <si>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</si>
  <si>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</si>
  <si>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</si>
  <si>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</si>
  <si>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</si>
  <si>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</si>
  <si>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</si>
  <si>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</si>
  <si>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</si>
  <si>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</si>
  <si>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</si>
  <si>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</si>
  <si>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</si>
  <si>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</si>
  <si>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</si>
  <si>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</si>
  <si>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</si>
  <si>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</si>
  <si>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</si>
  <si>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</si>
  <si>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</si>
  <si>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</si>
  <si>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</si>
  <si>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</si>
  <si>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</si>
  <si>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</si>
  <si>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</si>
  <si>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</si>
  <si>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</si>
  <si>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</si>
  <si>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</si>
  <si>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</si>
  <si>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</si>
  <si>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</si>
  <si>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</si>
  <si>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</si>
  <si>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</si>
  <si>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</si>
  <si>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</si>
  <si>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</si>
  <si>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</si>
  <si>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</si>
  <si>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</si>
  <si>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</si>
  <si>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</si>
  <si>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</si>
  <si>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</si>
  <si>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</si>
  <si>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</si>
  <si>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</si>
  <si>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</si>
  <si>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</si>
  <si>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</si>
  <si>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</si>
  <si>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</si>
  <si>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</si>
  <si>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</si>
  <si>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</si>
  <si>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</si>
  <si>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</si>
  <si>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</si>
  <si>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</si>
  <si>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</si>
  <si>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</si>
  <si>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</si>
  <si>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</si>
  <si>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</si>
  <si>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</si>
  <si>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</si>
  <si>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</si>
  <si>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</si>
  <si>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</si>
  <si>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</si>
  <si>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</si>
  <si>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</si>
  <si>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</si>
  <si>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</si>
  <si>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</si>
  <si>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</si>
  <si>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</si>
  <si>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</si>
  <si>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</si>
  <si>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</si>
  <si>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</si>
  <si>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</si>
  <si>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</si>
  <si>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</si>
  <si>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</si>
  <si>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</si>
  <si>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</si>
  <si>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</si>
  <si>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</si>
  <si>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</si>
  <si>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</si>
  <si>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</si>
  <si>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</si>
  <si>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</si>
  <si>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</si>
  <si>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</si>
  <si>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</si>
  <si>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</si>
  <si>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</si>
  <si>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</si>
  <si>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</si>
  <si>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</si>
  <si>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</si>
  <si>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</si>
  <si>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</si>
  <si>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</si>
  <si>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</si>
  <si>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</si>
  <si>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</si>
  <si>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</si>
  <si>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</si>
  <si>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</si>
  <si>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</si>
  <si>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</si>
  <si>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</si>
  <si>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</si>
  <si>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</si>
  <si>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</si>
  <si>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</si>
  <si>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</si>
  <si>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</si>
  <si>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</si>
  <si>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</si>
  <si>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</si>
  <si>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</si>
  <si>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</si>
  <si>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</si>
  <si>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</si>
  <si>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</si>
  <si>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</si>
  <si>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</si>
  <si>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</si>
  <si>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</si>
  <si>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</si>
  <si>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</si>
  <si>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</si>
  <si>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</si>
  <si>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</si>
  <si>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</si>
  <si>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</si>
  <si>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</si>
  <si>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</si>
  <si>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</si>
  <si>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</si>
  <si>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</si>
  <si>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</si>
  <si>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</si>
  <si>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</si>
  <si>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</si>
  <si>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</si>
  <si>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</si>
  <si>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</si>
  <si>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</si>
  <si>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</si>
  <si>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</si>
  <si>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</si>
  <si>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</si>
  <si>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</si>
  <si>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</si>
  <si>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</si>
  <si>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</si>
  <si>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</si>
  <si>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</si>
  <si>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</si>
  <si>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</si>
  <si>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</si>
  <si>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</si>
  <si>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</si>
  <si>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</si>
  <si>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</si>
  <si>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</si>
  <si>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</si>
  <si>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</si>
  <si>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</si>
  <si>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</si>
  <si>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</si>
  <si>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</si>
  <si>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</si>
  <si>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</si>
  <si>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</si>
  <si>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</si>
  <si>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</si>
  <si>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</si>
  <si>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</si>
  <si>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</si>
  <si>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</si>
  <si>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</si>
  <si>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</si>
  <si>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</si>
  <si>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</si>
  <si>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</si>
  <si>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</si>
  <si>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</si>
  <si>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</si>
  <si>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</si>
  <si>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</si>
  <si>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</si>
  <si>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</si>
  <si>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</si>
  <si>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</si>
  <si>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</si>
  <si>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</si>
  <si>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</si>
  <si>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</si>
  <si>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</si>
  <si>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</si>
  <si>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</si>
  <si>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</si>
  <si>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</si>
  <si>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</si>
  <si>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</si>
  <si>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</si>
  <si>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</si>
  <si>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</si>
  <si>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</si>
  <si>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</si>
  <si>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</si>
  <si>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</si>
  <si>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</si>
  <si>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</si>
  <si>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</si>
  <si>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</si>
  <si>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</si>
  <si>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</si>
  <si>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</si>
  <si>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</si>
  <si>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</si>
  <si>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</si>
  <si>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</si>
  <si>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</si>
  <si>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</si>
  <si>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</si>
  <si>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</si>
  <si>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</si>
  <si>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</si>
  <si>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</si>
  <si>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</si>
  <si>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</si>
  <si>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</si>
  <si>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</si>
  <si>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</si>
  <si>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</si>
  <si>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</si>
  <si>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</si>
  <si>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</si>
  <si>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</si>
  <si>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</si>
  <si>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</si>
  <si>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</si>
  <si>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</si>
  <si>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</si>
  <si>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</si>
  <si>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</si>
  <si>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</si>
  <si>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</si>
  <si>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</si>
  <si>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</si>
  <si>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</si>
  <si>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</si>
  <si>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</si>
  <si>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</si>
  <si>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</si>
  <si>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</si>
  <si>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</si>
  <si>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</si>
  <si>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</si>
  <si>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</si>
  <si>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</si>
  <si>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</si>
  <si>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</si>
  <si>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</si>
  <si>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</si>
  <si>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</si>
  <si>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</si>
  <si>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</si>
  <si>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</si>
  <si>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</si>
  <si>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</si>
  <si>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</si>
  <si>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</si>
  <si>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</si>
  <si>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</si>
  <si>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</si>
  <si>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</si>
  <si>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</si>
  <si>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</si>
  <si>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</si>
  <si>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</si>
  <si>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</si>
  <si>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</si>
  <si>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</si>
  <si>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</si>
  <si>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</si>
  <si>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</si>
  <si>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</si>
  <si>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</si>
  <si>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</si>
  <si>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</si>
  <si>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</si>
  <si>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</si>
  <si>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</si>
  <si>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</si>
  <si>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</si>
  <si>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</si>
  <si>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</si>
  <si>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</si>
  <si>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</si>
  <si>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</si>
  <si>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</si>
  <si>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</si>
  <si>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</si>
  <si>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</si>
  <si>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</si>
  <si>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</si>
  <si>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</si>
  <si>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</si>
  <si>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</si>
  <si>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</si>
  <si>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</si>
  <si>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</si>
  <si>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</si>
  <si>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</si>
  <si>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</si>
  <si>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</si>
  <si>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</si>
  <si>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</si>
  <si>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</si>
  <si>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</si>
  <si>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</si>
  <si>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</si>
  <si>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</si>
  <si>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</si>
  <si>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</si>
  <si>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</si>
  <si>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</si>
  <si>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</si>
  <si>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</si>
  <si>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</si>
  <si>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</si>
  <si>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</si>
  <si>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</si>
  <si>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</si>
  <si>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</si>
  <si>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</si>
  <si>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</si>
  <si>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</si>
  <si>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</si>
  <si>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</si>
  <si>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</si>
  <si>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</si>
  <si>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</si>
  <si>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</si>
  <si>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</si>
  <si>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</si>
  <si>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</si>
  <si>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</si>
  <si>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</si>
  <si>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</si>
  <si>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</si>
  <si>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</si>
  <si>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</si>
  <si>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</si>
  <si>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</si>
  <si>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</si>
  <si>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</si>
  <si>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</si>
  <si>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</si>
  <si>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</si>
  <si>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</si>
  <si>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</si>
  <si>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</si>
  <si>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</si>
  <si>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</si>
  <si>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</si>
  <si>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</si>
  <si>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</si>
  <si>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</si>
  <si>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</si>
  <si>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</si>
  <si>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</si>
  <si>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</si>
  <si>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</si>
  <si>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</si>
  <si>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</si>
  <si>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</si>
  <si>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</si>
  <si>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</si>
  <si>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</si>
  <si>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</si>
  <si>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</si>
  <si>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</si>
  <si>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</si>
  <si>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</si>
  <si>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</si>
  <si>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</si>
  <si>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</si>
  <si>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</si>
  <si>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</si>
  <si>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</si>
  <si>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</si>
  <si>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</si>
  <si>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</si>
  <si>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</si>
  <si>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</si>
  <si>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</si>
  <si>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</si>
  <si>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</si>
  <si>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</si>
  <si>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</si>
  <si>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</si>
  <si>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</si>
  <si>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</si>
  <si>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</si>
  <si>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</si>
  <si>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</si>
  <si>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</si>
  <si>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</si>
  <si>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</si>
  <si>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</si>
  <si>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</si>
  <si>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</si>
  <si>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</si>
  <si>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</si>
  <si>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</si>
  <si>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</si>
  <si>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</si>
  <si>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</si>
  <si>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</si>
  <si>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</si>
  <si>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</si>
  <si>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</si>
  <si>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</si>
  <si>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</si>
  <si>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</si>
  <si>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</si>
  <si>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</si>
  <si>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</si>
  <si>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</si>
  <si>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</si>
  <si>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</si>
  <si>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</si>
  <si>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</si>
  <si>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</si>
  <si>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</si>
  <si>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</si>
  <si>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</si>
  <si>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</si>
  <si>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</si>
  <si>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</si>
  <si>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</si>
  <si>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</si>
  <si>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</si>
  <si>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</si>
  <si>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</si>
  <si>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</si>
  <si>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</si>
  <si>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</si>
  <si>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</si>
  <si>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</si>
  <si>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</si>
  <si>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</si>
  <si>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</si>
  <si>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</si>
  <si>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</si>
  <si>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</si>
  <si>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</si>
  <si>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</si>
  <si>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</si>
  <si>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</si>
  <si>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</si>
  <si>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</si>
  <si>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</si>
  <si>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</si>
  <si>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</si>
  <si>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</si>
  <si>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</si>
  <si>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</si>
  <si>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</si>
  <si>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</si>
  <si>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</si>
  <si>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</si>
  <si>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</si>
  <si>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</si>
  <si>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</si>
  <si>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</si>
  <si>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</si>
  <si>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</si>
  <si>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</si>
  <si>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</si>
  <si>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</si>
  <si>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</si>
  <si>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</si>
  <si>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</si>
  <si>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</si>
  <si>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</si>
  <si>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</si>
  <si>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</si>
  <si>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</si>
  <si>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</si>
  <si>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</si>
  <si>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</si>
  <si>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</si>
  <si>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</si>
  <si>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</si>
  <si>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</si>
  <si>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</si>
  <si>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</si>
  <si>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</si>
  <si>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</si>
  <si>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</si>
  <si>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</si>
  <si>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</si>
  <si>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</si>
  <si>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</si>
  <si>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</si>
  <si>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</si>
  <si>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</si>
  <si>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</si>
  <si>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</si>
  <si>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</si>
  <si>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</si>
  <si>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</si>
  <si>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</si>
  <si>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</si>
  <si>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</si>
  <si>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</si>
  <si>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</si>
  <si>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</si>
  <si>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</si>
  <si>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</si>
  <si>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</si>
  <si>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</si>
  <si>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</si>
  <si>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</si>
  <si>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</si>
  <si>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</si>
  <si>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</si>
  <si>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</si>
  <si>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</si>
  <si>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</si>
  <si>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</si>
  <si>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</si>
  <si>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</si>
  <si>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</si>
  <si>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</si>
  <si>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</si>
  <si>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</si>
  <si>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</si>
  <si>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</si>
  <si>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</si>
  <si>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</si>
  <si>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</si>
  <si>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</si>
  <si>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</si>
  <si>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</si>
  <si>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</si>
  <si>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</si>
  <si>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</si>
  <si>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</si>
  <si>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</si>
  <si>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</si>
  <si>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</si>
  <si>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</si>
  <si>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</si>
  <si>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</si>
  <si>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</si>
  <si>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</si>
  <si>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</si>
  <si>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</si>
  <si>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</si>
  <si>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</si>
  <si>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</si>
  <si>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</si>
  <si>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</si>
  <si>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</si>
  <si>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</si>
  <si>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</si>
  <si>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</si>
  <si>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</si>
  <si>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</si>
  <si>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</si>
  <si>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</si>
  <si>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</si>
  <si>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</si>
  <si>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</si>
  <si>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</si>
  <si>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</si>
  <si>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</si>
  <si>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</si>
  <si>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</si>
  <si>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</si>
  <si>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</si>
  <si>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</si>
  <si>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</si>
  <si>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</si>
  <si>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</si>
  <si>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</si>
  <si>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</si>
  <si>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</si>
  <si>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</si>
  <si>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</si>
  <si>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</si>
  <si>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</si>
  <si>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</si>
  <si>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</si>
  <si>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</si>
  <si>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</si>
  <si>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</si>
  <si>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</si>
  <si>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</si>
  <si>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</si>
  <si>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</si>
  <si>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</si>
  <si>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</si>
  <si>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</si>
  <si>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</si>
  <si>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</si>
  <si>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</si>
  <si>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</si>
  <si>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</si>
  <si>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</si>
  <si>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</si>
  <si>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</si>
  <si>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</si>
  <si>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</si>
  <si>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</si>
  <si>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</si>
  <si>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</si>
  <si>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</si>
  <si>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</si>
  <si>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</si>
  <si>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</si>
  <si>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</si>
  <si>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</si>
  <si>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</si>
  <si>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</si>
  <si>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</si>
  <si>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</si>
  <si>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</si>
  <si>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</si>
  <si>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</si>
  <si>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</si>
  <si>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</si>
  <si>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</si>
  <si>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</si>
  <si>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</si>
  <si>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</si>
  <si>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</si>
  <si>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</si>
  <si>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</si>
  <si>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</si>
  <si>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</si>
  <si>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</si>
  <si>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</si>
  <si>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</si>
  <si>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</si>
  <si>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</si>
  <si>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</si>
  <si>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</si>
  <si>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</si>
  <si>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</si>
  <si>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</si>
  <si>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</si>
  <si>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</si>
  <si>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</si>
  <si>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</si>
  <si>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</si>
  <si>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</si>
  <si>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</si>
  <si>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</si>
  <si>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</si>
  <si>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</si>
  <si>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</si>
  <si>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</si>
  <si>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</si>
  <si>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</si>
  <si>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</si>
  <si>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</si>
  <si>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</si>
  <si>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</si>
  <si>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</si>
  <si>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</si>
  <si>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</si>
  <si>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</si>
  <si>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</si>
  <si>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</si>
  <si>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</si>
  <si>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</si>
  <si>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</si>
  <si>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</si>
  <si>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</si>
  <si>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</si>
  <si>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</si>
  <si>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</si>
  <si>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</si>
  <si>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</si>
  <si>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</si>
  <si>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</si>
  <si>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</si>
  <si>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</si>
  <si>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</si>
  <si>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</si>
  <si>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</si>
  <si>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</si>
  <si>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</si>
  <si>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</si>
  <si>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</si>
  <si>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</si>
  <si>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</si>
  <si>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</si>
  <si>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</si>
  <si>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</si>
  <si>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</si>
  <si>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</si>
  <si>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</si>
  <si>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</si>
  <si>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</si>
  <si>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</si>
  <si>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</si>
  <si>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</si>
  <si>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</si>
  <si>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</si>
  <si>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</si>
  <si>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</si>
  <si>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</si>
  <si>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</si>
  <si>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</si>
  <si>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</si>
  <si>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</si>
  <si>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</si>
  <si>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</si>
  <si>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</si>
  <si>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</si>
  <si>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</si>
  <si>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</si>
  <si>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</si>
  <si>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</si>
  <si>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</si>
  <si>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</si>
  <si>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</si>
  <si>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</si>
  <si>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</si>
  <si>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</si>
  <si>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</si>
  <si>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</si>
  <si>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</si>
  <si>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</si>
  <si>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</si>
  <si>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</si>
  <si>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</si>
  <si>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</si>
  <si>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</si>
  <si>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</si>
  <si>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</si>
  <si>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</si>
  <si>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</si>
  <si>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</si>
  <si>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</si>
  <si>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</si>
  <si>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</si>
  <si>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</si>
  <si>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</si>
  <si>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</si>
  <si>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</si>
  <si>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</si>
  <si>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</si>
  <si>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</si>
  <si>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</si>
  <si>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</si>
  <si>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</si>
  <si>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</si>
  <si>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</si>
  <si>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</si>
  <si>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</si>
  <si>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</si>
  <si>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</si>
  <si>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</si>
  <si>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</si>
  <si>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</si>
  <si>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</si>
  <si>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</si>
  <si>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</si>
  <si>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</si>
  <si>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</si>
  <si>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</si>
  <si>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</si>
  <si>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</si>
  <si>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</si>
  <si>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</si>
  <si>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</si>
  <si>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</si>
  <si>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</si>
  <si>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</si>
  <si>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</si>
  <si>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</si>
  <si>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</si>
  <si>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</si>
  <si>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</si>
  <si>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</si>
  <si>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</si>
  <si>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</si>
  <si>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</si>
  <si>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</si>
  <si>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</si>
  <si>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</si>
  <si>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</si>
  <si>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</si>
  <si>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</si>
  <si>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</si>
  <si>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</si>
  <si>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</si>
  <si>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</si>
  <si>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</si>
  <si>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</si>
  <si>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</si>
  <si>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</si>
  <si>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</si>
  <si>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</si>
  <si>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</si>
  <si>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</si>
  <si>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</si>
  <si>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</si>
  <si>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</si>
  <si>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</si>
  <si>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</si>
  <si>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</si>
  <si>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</si>
  <si>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</si>
  <si>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</si>
  <si>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</si>
  <si>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</si>
  <si>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</si>
  <si>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</si>
  <si>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</si>
  <si>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</si>
  <si>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</si>
  <si>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</si>
  <si>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</si>
  <si>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</si>
  <si>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</si>
  <si>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</si>
  <si>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</si>
  <si>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</si>
  <si>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</si>
  <si>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</si>
  <si>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</si>
  <si>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</si>
  <si>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</si>
  <si>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</si>
  <si>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</si>
  <si>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</si>
  <si>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</si>
  <si>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</si>
  <si>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</si>
  <si>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</si>
  <si>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</si>
  <si>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</si>
  <si>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</si>
  <si>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</si>
  <si>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</si>
  <si>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</si>
  <si>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</si>
  <si>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</si>
  <si>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</si>
  <si>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</si>
  <si>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</si>
  <si>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</si>
  <si>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</si>
  <si>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</si>
  <si>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</si>
  <si>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</si>
  <si>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</si>
  <si>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</si>
  <si>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</si>
  <si>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</si>
  <si>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</si>
  <si>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</si>
  <si>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</si>
  <si>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</si>
  <si>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</si>
  <si>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</si>
  <si>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</si>
  <si>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</si>
  <si>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</si>
  <si>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</si>
  <si>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</si>
  <si>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</si>
  <si>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</si>
  <si>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</si>
  <si>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</si>
  <si>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</si>
  <si>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</si>
  <si>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</si>
  <si>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</si>
  <si>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</si>
  <si>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</si>
  <si>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</si>
  <si>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</si>
  <si>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</si>
  <si>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</si>
  <si>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</si>
  <si>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</si>
  <si>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</si>
  <si>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</si>
  <si>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</si>
  <si>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</si>
  <si>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</si>
  <si>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</si>
  <si>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</si>
  <si>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</si>
  <si>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</si>
  <si>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</si>
  <si>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</si>
  <si>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</si>
  <si>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</si>
  <si>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</si>
  <si>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</si>
  <si>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</si>
  <si>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</si>
  <si>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</si>
  <si>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</si>
  <si>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</si>
  <si>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</si>
  <si>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</si>
  <si>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</si>
  <si>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</si>
  <si>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</si>
  <si>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</si>
  <si>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</si>
  <si>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</si>
  <si>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</si>
  <si>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</si>
  <si>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</si>
  <si>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</si>
  <si>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</si>
  <si>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</si>
  <si>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</si>
  <si>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</si>
  <si>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</si>
  <si>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</si>
  <si>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</si>
  <si>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</si>
  <si>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</si>
  <si>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</si>
  <si>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</si>
  <si>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</si>
  <si>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</si>
  <si>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</si>
  <si>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</si>
  <si>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</si>
  <si>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</si>
  <si>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</si>
  <si>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</si>
  <si>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</si>
  <si>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</si>
  <si>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</si>
  <si>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</si>
  <si>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</si>
  <si>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</si>
  <si>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</si>
  <si>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</si>
  <si>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</si>
  <si>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</si>
  <si>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</si>
  <si>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</si>
  <si>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</si>
  <si>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</si>
  <si>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</si>
  <si>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</si>
  <si>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</si>
  <si>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</si>
  <si>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</si>
  <si>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</si>
  <si>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</si>
  <si>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</si>
  <si>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</si>
  <si>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</si>
  <si>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</si>
  <si>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</si>
  <si>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</si>
  <si>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</si>
  <si>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</si>
  <si>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</si>
  <si>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</si>
  <si>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</si>
  <si>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</si>
  <si>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</si>
  <si>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</si>
  <si>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</si>
  <si>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</si>
  <si>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</si>
  <si>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</si>
  <si>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</si>
  <si>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</si>
  <si>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</si>
  <si>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</si>
  <si>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</si>
  <si>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</si>
  <si>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</si>
  <si>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</si>
  <si>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</si>
  <si>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</si>
  <si>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</si>
  <si>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</si>
  <si>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</si>
  <si>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</si>
  <si>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</si>
  <si>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</si>
  <si>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</si>
  <si>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</si>
  <si>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</si>
  <si>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</si>
  <si>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</si>
  <si>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</si>
  <si>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</si>
  <si>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</si>
  <si>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</si>
  <si>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</si>
  <si>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</si>
  <si>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</si>
  <si>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</si>
  <si>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</si>
  <si>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</si>
  <si>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</si>
  <si>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</si>
  <si>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</si>
  <si>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</si>
  <si>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</si>
  <si>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</si>
  <si>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</si>
  <si>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</si>
  <si>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</si>
  <si>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</si>
  <si>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</si>
  <si>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</si>
  <si>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</si>
  <si>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</si>
  <si>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</si>
  <si>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</si>
  <si>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</si>
  <si>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</si>
  <si>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</si>
  <si>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</si>
  <si>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</si>
  <si>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</si>
  <si>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</si>
  <si>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</si>
  <si>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</si>
  <si>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</si>
  <si>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</si>
  <si>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</si>
  <si>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</si>
  <si>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</si>
  <si>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</si>
  <si>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</si>
  <si>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</si>
  <si>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</si>
  <si>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</si>
  <si>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</si>
  <si>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</si>
  <si>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</si>
  <si>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</si>
  <si>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</si>
  <si>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</si>
  <si>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</si>
  <si>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</si>
  <si>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</si>
  <si>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</si>
  <si>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</si>
  <si>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</si>
  <si>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</si>
  <si>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</si>
  <si>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</si>
  <si>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</si>
  <si>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</si>
  <si>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</si>
  <si>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</si>
  <si>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</si>
  <si>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</si>
  <si>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</si>
  <si>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</si>
  <si>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</si>
  <si>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</si>
  <si>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</si>
  <si>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</si>
  <si>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</si>
  <si>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</si>
  <si>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</si>
  <si>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</si>
  <si>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</si>
  <si>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</si>
  <si>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</si>
  <si>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</si>
  <si>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</si>
  <si>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</si>
  <si>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</si>
  <si>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</si>
  <si>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</si>
  <si>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</si>
  <si>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</si>
  <si>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</si>
  <si>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</si>
  <si>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</si>
  <si>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</si>
  <si>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</si>
  <si>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</si>
  <si>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</si>
  <si>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</si>
  <si>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</si>
  <si>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</si>
  <si>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</si>
  <si>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</si>
  <si>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</si>
  <si>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</si>
  <si>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</si>
  <si>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</si>
  <si>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</si>
  <si>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</si>
  <si>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</si>
  <si>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</si>
  <si>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</si>
  <si>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</si>
  <si>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</si>
  <si>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</si>
  <si>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</si>
  <si>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</si>
  <si>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</si>
  <si>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</si>
  <si>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</si>
  <si>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</si>
  <si>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</si>
  <si>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</si>
  <si>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</si>
  <si>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</si>
  <si>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</si>
  <si>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</si>
  <si>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</si>
  <si>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</si>
  <si>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</si>
  <si>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</si>
  <si>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</si>
  <si>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</si>
  <si>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</si>
  <si>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</si>
  <si>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</si>
  <si>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</si>
  <si>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</si>
  <si>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</si>
  <si>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</si>
  <si>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</si>
  <si>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</si>
  <si>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</si>
  <si>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</si>
  <si>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</si>
  <si>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</si>
  <si>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</si>
  <si>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</si>
  <si>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</si>
  <si>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</si>
  <si>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</si>
  <si>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</si>
  <si>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</si>
  <si>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</si>
  <si>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</si>
  <si>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</si>
  <si>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</si>
  <si>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</si>
  <si>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</si>
  <si>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</si>
  <si>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</si>
  <si>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</si>
  <si>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</si>
  <si>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</si>
  <si>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</si>
  <si>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</si>
  <si>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</si>
  <si>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</si>
  <si>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</si>
  <si>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</si>
  <si>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</si>
  <si>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</si>
  <si>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</si>
  <si>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</si>
  <si>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</si>
  <si>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</si>
  <si>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</si>
  <si>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</si>
  <si>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</si>
  <si>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</si>
  <si>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</si>
  <si>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</si>
  <si>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</si>
  <si>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</si>
  <si>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</si>
  <si>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</si>
  <si>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</si>
  <si>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</si>
  <si>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</si>
  <si>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</si>
  <si>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</si>
  <si>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</si>
  <si>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</si>
  <si>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</si>
  <si>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</si>
  <si>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</si>
  <si>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</si>
  <si>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</si>
  <si>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</si>
  <si>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</si>
  <si>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</si>
  <si>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</si>
  <si>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</si>
  <si>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</si>
  <si>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</si>
  <si>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</si>
  <si>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</si>
  <si>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</si>
  <si>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</si>
  <si>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</si>
  <si>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</si>
  <si>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</si>
  <si>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</si>
  <si>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</si>
  <si>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</si>
  <si>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</si>
  <si>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</si>
  <si>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</si>
  <si>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</si>
  <si>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</si>
  <si>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</si>
  <si>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</si>
  <si>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</si>
  <si>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</si>
  <si>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</si>
  <si>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</si>
  <si>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</si>
  <si>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</si>
  <si>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</si>
  <si>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</si>
  <si>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</si>
  <si>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</si>
  <si>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</si>
  <si>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</si>
  <si>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</si>
  <si>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</si>
  <si>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</si>
  <si>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</si>
  <si>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</si>
  <si>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</si>
  <si>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</si>
  <si>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</si>
  <si>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</si>
  <si>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</si>
  <si>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</si>
  <si>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</si>
  <si>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</si>
  <si>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</si>
  <si>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</si>
  <si>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</si>
  <si>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</si>
  <si>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</si>
  <si>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</si>
  <si>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</si>
  <si>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</si>
  <si>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</si>
  <si>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</si>
  <si>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</si>
  <si>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</si>
  <si>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</si>
  <si>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</si>
  <si>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</si>
  <si>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</si>
  <si>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</si>
  <si>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</si>
  <si>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</si>
  <si>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</si>
  <si>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</si>
  <si>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</si>
  <si>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</si>
  <si>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</si>
  <si>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</si>
  <si>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</si>
  <si>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</si>
  <si>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</si>
  <si>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</si>
  <si>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</si>
  <si>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</si>
  <si>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</si>
  <si>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</si>
  <si>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</si>
  <si>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</si>
  <si>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</si>
  <si>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</si>
  <si>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</si>
  <si>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</si>
  <si>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</si>
  <si>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</si>
  <si>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</si>
  <si>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</si>
  <si>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</si>
  <si>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</si>
  <si>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</si>
  <si>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t>
  </si>
  <si>
    <t>200 S. Second Street, Suite 12</t>
  </si>
  <si>
    <t>Pekin</t>
  </si>
  <si>
    <t>jwarren@efe320.org</t>
  </si>
  <si>
    <t>Jill Warren</t>
  </si>
  <si>
    <t>Thomas R. Peffer, CPA</t>
  </si>
  <si>
    <t>tpeffer@gorenzcpa.com</t>
  </si>
  <si>
    <t>ED - Service Area Admin - Purch Services</t>
  </si>
  <si>
    <t>OSKO Management Company</t>
  </si>
  <si>
    <t>ED - Improvement of Instruction - Purch Services</t>
  </si>
  <si>
    <t>Wells Fargo Financial</t>
  </si>
  <si>
    <t>Neopost USA Inc</t>
  </si>
  <si>
    <t>None</t>
  </si>
  <si>
    <t>See PDF version</t>
  </si>
  <si>
    <t>10-2300-300</t>
  </si>
  <si>
    <t>10-2200-300</t>
  </si>
  <si>
    <t>Tazewell Co Area EFE 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</si>
</sst>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458932</xdr:colOff>
          <xdr:row>3</xdr:row>
          <xdr:rowOff>86591</xdr:rowOff>
        </xdr:from>
        <xdr:to>
          <xdr:col>1</xdr:col>
          <xdr:colOff>1373332</xdr:colOff>
          <xdr:row>7</xdr:row>
          <xdr:rowOff>124691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1" t="s">
        <v>405</v>
      </c>
      <c r="J1" s="2012"/>
      <c r="K1" s="2012"/>
      <c r="L1" s="2012"/>
      <c r="M1" s="2012"/>
      <c r="N1" s="2012"/>
      <c r="O1" s="2012"/>
      <c r="P1" s="2012"/>
      <c r="Q1" s="2012"/>
      <c r="R1" s="2012"/>
      <c r="S1" s="2012"/>
    </row>
    <row r="2" spans="1:28" ht="12" customHeight="1" x14ac:dyDescent="0.2">
      <c r="A2" s="47" t="s">
        <v>1993</v>
      </c>
      <c r="D2" s="48"/>
      <c r="I2" s="2013" t="s">
        <v>979</v>
      </c>
      <c r="J2" s="2012"/>
      <c r="K2" s="2012"/>
      <c r="L2" s="2012"/>
      <c r="M2" s="2012"/>
      <c r="N2" s="2012"/>
      <c r="O2" s="2012"/>
      <c r="P2" s="2012"/>
      <c r="Q2" s="2012"/>
      <c r="R2" s="2012"/>
      <c r="S2" s="2012"/>
    </row>
    <row r="3" spans="1:28" ht="12" customHeight="1" x14ac:dyDescent="0.2">
      <c r="A3" s="155" t="s">
        <v>1945</v>
      </c>
      <c r="B3" s="156"/>
      <c r="C3" s="156"/>
      <c r="D3" s="157"/>
      <c r="I3" s="2013" t="s">
        <v>52</v>
      </c>
      <c r="J3" s="2012"/>
      <c r="K3" s="2012"/>
      <c r="L3" s="2012"/>
      <c r="M3" s="2012"/>
      <c r="N3" s="2012"/>
      <c r="O3" s="2012"/>
      <c r="P3" s="2012"/>
      <c r="Q3" s="2012"/>
      <c r="R3" s="2012"/>
      <c r="S3" s="2012"/>
    </row>
    <row r="4" spans="1:28" ht="12" customHeight="1" x14ac:dyDescent="0.2">
      <c r="A4" s="37"/>
      <c r="I4" s="2013" t="s">
        <v>524</v>
      </c>
      <c r="J4" s="2012"/>
      <c r="K4" s="2012"/>
      <c r="L4" s="2012"/>
      <c r="M4" s="2012"/>
      <c r="N4" s="2012"/>
      <c r="O4" s="2012"/>
      <c r="P4" s="2012"/>
      <c r="Q4" s="2012"/>
      <c r="R4" s="2012"/>
      <c r="S4" s="2012"/>
    </row>
    <row r="5" spans="1:28" ht="14.1" customHeight="1" x14ac:dyDescent="0.2">
      <c r="B5" s="104"/>
      <c r="C5" s="26" t="s">
        <v>910</v>
      </c>
      <c r="D5" s="84"/>
      <c r="E5" s="84"/>
      <c r="H5" s="38"/>
      <c r="I5" s="2020" t="s">
        <v>680</v>
      </c>
      <c r="J5" s="1965"/>
      <c r="K5" s="1965"/>
      <c r="L5" s="1965"/>
      <c r="M5" s="1965"/>
      <c r="N5" s="1965"/>
      <c r="O5" s="1965"/>
      <c r="P5" s="1965"/>
      <c r="Q5" s="1965"/>
      <c r="R5" s="1965"/>
      <c r="S5" s="1965"/>
    </row>
    <row r="6" spans="1:28" ht="14.1" customHeight="1" x14ac:dyDescent="0.2">
      <c r="B6" s="104" t="s">
        <v>2070</v>
      </c>
      <c r="C6" s="26" t="s">
        <v>911</v>
      </c>
      <c r="D6" s="84"/>
      <c r="E6" s="84"/>
      <c r="I6" s="2019" t="s">
        <v>883</v>
      </c>
      <c r="J6" s="1965"/>
      <c r="K6" s="1965"/>
      <c r="L6" s="1965"/>
      <c r="M6" s="1965"/>
      <c r="N6" s="1965"/>
      <c r="O6" s="1965"/>
      <c r="P6" s="1965"/>
      <c r="Q6" s="1965"/>
      <c r="R6" s="1965"/>
      <c r="S6" s="1965"/>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674</v>
      </c>
      <c r="J9" s="2017"/>
      <c r="K9" s="2017"/>
      <c r="L9" s="2017"/>
      <c r="M9" s="2017"/>
      <c r="N9" s="2017"/>
      <c r="O9" s="2017"/>
      <c r="P9" s="2017"/>
      <c r="Q9" s="2017"/>
      <c r="R9" s="2017"/>
      <c r="S9" s="2018"/>
      <c r="T9" s="1961" t="s">
        <v>533</v>
      </c>
      <c r="U9" s="1962"/>
      <c r="V9" s="1962"/>
      <c r="W9" s="1962"/>
      <c r="X9" s="1962"/>
      <c r="Y9" s="1962"/>
      <c r="Z9" s="1962"/>
      <c r="AA9" s="1963"/>
    </row>
    <row r="10" spans="1:28" ht="13.5" customHeight="1" x14ac:dyDescent="0.2">
      <c r="A10" s="1970" t="s">
        <v>675</v>
      </c>
      <c r="B10" s="1971"/>
      <c r="C10" s="1971"/>
      <c r="D10" s="1971"/>
      <c r="E10" s="1971"/>
      <c r="F10" s="1971"/>
      <c r="G10" s="1971"/>
      <c r="H10" s="1972"/>
      <c r="I10" s="29"/>
      <c r="J10" s="30"/>
      <c r="K10" s="28"/>
      <c r="R10" s="30"/>
      <c r="S10" s="30"/>
      <c r="T10" s="1964"/>
      <c r="U10" s="1965"/>
      <c r="V10" s="1965"/>
      <c r="W10" s="1965"/>
      <c r="X10" s="1965"/>
      <c r="Y10" s="1965"/>
      <c r="Z10" s="1965"/>
      <c r="AA10" s="1966"/>
    </row>
    <row r="11" spans="1:28" ht="14.25" customHeight="1" x14ac:dyDescent="0.2">
      <c r="A11" s="1973" t="s">
        <v>955</v>
      </c>
      <c r="B11" s="1974"/>
      <c r="C11" s="1974"/>
      <c r="D11" s="1974"/>
      <c r="E11" s="1974"/>
      <c r="F11" s="1974"/>
      <c r="G11" s="1974"/>
      <c r="H11" s="1975"/>
      <c r="I11" s="27"/>
      <c r="J11" s="74"/>
      <c r="K11" s="27"/>
      <c r="O11" s="148" t="s">
        <v>2070</v>
      </c>
      <c r="P11" s="100" t="s">
        <v>201</v>
      </c>
      <c r="Q11" s="30"/>
      <c r="R11" s="28"/>
      <c r="S11" s="27"/>
      <c r="T11" s="1967"/>
      <c r="U11" s="1968"/>
      <c r="V11" s="1968"/>
      <c r="W11" s="1968"/>
      <c r="X11" s="1968"/>
      <c r="Y11" s="1968"/>
      <c r="Z11" s="1968"/>
      <c r="AA11" s="196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53000000046</v>
      </c>
      <c r="B13" s="1982"/>
      <c r="C13" s="1982"/>
      <c r="D13" s="1982"/>
      <c r="E13" s="1982"/>
      <c r="F13" s="1982"/>
      <c r="G13" s="1982"/>
      <c r="H13" s="1983"/>
      <c r="I13" s="31"/>
      <c r="J13" s="30"/>
      <c r="K13" s="28"/>
      <c r="L13" s="30"/>
      <c r="M13" s="30"/>
      <c r="N13" s="30"/>
      <c r="O13" s="30"/>
      <c r="P13" s="30"/>
      <c r="Q13" s="30"/>
      <c r="R13" s="30"/>
      <c r="S13" s="30"/>
      <c r="T13" s="1986" t="s">
        <v>2072</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9" t="s">
        <v>2073</v>
      </c>
      <c r="B15" s="1984"/>
      <c r="C15" s="1984"/>
      <c r="D15" s="1984"/>
      <c r="E15" s="1984"/>
      <c r="F15" s="1984"/>
      <c r="G15" s="1984"/>
      <c r="H15" s="1985"/>
      <c r="T15" s="1947" t="s">
        <v>2078</v>
      </c>
      <c r="U15" s="1948"/>
      <c r="V15" s="1948"/>
      <c r="W15" s="1948"/>
      <c r="X15" s="1948"/>
      <c r="Y15" s="1990"/>
      <c r="Z15" s="1990"/>
      <c r="AA15" s="19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9" t="s">
        <v>2089</v>
      </c>
      <c r="B17" s="2009"/>
      <c r="C17" s="2009"/>
      <c r="D17" s="2009"/>
      <c r="E17" s="2009"/>
      <c r="F17" s="2009"/>
      <c r="G17" s="2009"/>
      <c r="H17" s="2010"/>
      <c r="T17" s="1996" t="s">
        <v>2064</v>
      </c>
      <c r="U17" s="1997"/>
      <c r="V17" s="1997"/>
      <c r="W17" s="1997"/>
      <c r="X17" s="1997"/>
      <c r="Y17" s="1997"/>
      <c r="Z17" s="1997"/>
      <c r="AA17" s="1998"/>
    </row>
    <row r="18" spans="1:27" ht="13.5" customHeight="1" x14ac:dyDescent="0.2">
      <c r="A18" s="85" t="s">
        <v>530</v>
      </c>
      <c r="B18" s="76"/>
      <c r="C18" s="72"/>
      <c r="D18" s="76"/>
      <c r="E18" s="76"/>
      <c r="F18" s="76"/>
      <c r="G18" s="76"/>
      <c r="H18" s="56"/>
      <c r="I18" s="2006" t="s">
        <v>676</v>
      </c>
      <c r="J18" s="2007"/>
      <c r="K18" s="2007"/>
      <c r="L18" s="2007"/>
      <c r="M18" s="2007"/>
      <c r="N18" s="2007"/>
      <c r="O18" s="2007"/>
      <c r="P18" s="2007"/>
      <c r="Q18" s="2007"/>
      <c r="R18" s="2007"/>
      <c r="S18" s="2008"/>
      <c r="T18" s="85" t="s">
        <v>711</v>
      </c>
      <c r="U18" s="51"/>
      <c r="V18" s="72"/>
      <c r="W18" s="50"/>
      <c r="X18" s="85" t="s">
        <v>266</v>
      </c>
      <c r="Y18" s="81"/>
      <c r="Z18" s="159" t="s">
        <v>677</v>
      </c>
      <c r="AA18" s="46"/>
    </row>
    <row r="19" spans="1:27" ht="13.5" customHeight="1" x14ac:dyDescent="0.2">
      <c r="A19" s="1979" t="s">
        <v>2074</v>
      </c>
      <c r="B19" s="1980"/>
      <c r="C19" s="1980"/>
      <c r="D19" s="1980"/>
      <c r="E19" s="1980"/>
      <c r="F19" s="1980"/>
      <c r="G19" s="1980"/>
      <c r="H19" s="1978"/>
      <c r="I19" s="30"/>
      <c r="J19" s="99"/>
      <c r="K19" s="40"/>
      <c r="L19" s="38"/>
      <c r="M19" s="112" t="s">
        <v>315</v>
      </c>
      <c r="P19" s="27"/>
      <c r="Q19" s="27"/>
      <c r="R19" s="27"/>
      <c r="S19" s="31"/>
      <c r="T19" s="1979" t="s">
        <v>2065</v>
      </c>
      <c r="U19" s="1977"/>
      <c r="V19" s="1977"/>
      <c r="W19" s="1978"/>
      <c r="X19" s="1994" t="s">
        <v>2066</v>
      </c>
      <c r="Y19" s="1995"/>
      <c r="Z19" s="1992">
        <v>61614</v>
      </c>
      <c r="AA19" s="19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6" t="s">
        <v>2075</v>
      </c>
      <c r="B21" s="1977"/>
      <c r="C21" s="1977"/>
      <c r="D21" s="1977"/>
      <c r="E21" s="1977"/>
      <c r="F21" s="1977"/>
      <c r="G21" s="1977"/>
      <c r="H21" s="1978"/>
      <c r="I21" s="2002" t="s">
        <v>678</v>
      </c>
      <c r="J21" s="1965"/>
      <c r="K21" s="1965"/>
      <c r="L21" s="1965"/>
      <c r="M21" s="1965"/>
      <c r="N21" s="1965"/>
      <c r="O21" s="1965"/>
      <c r="P21" s="1965"/>
      <c r="Q21" s="1965"/>
      <c r="R21" s="1965"/>
      <c r="S21" s="1966"/>
      <c r="T21" s="1944" t="s">
        <v>2067</v>
      </c>
      <c r="U21" s="1945"/>
      <c r="V21" s="1945"/>
      <c r="W21" s="1945"/>
      <c r="X21" s="1958" t="s">
        <v>2068</v>
      </c>
      <c r="Y21" s="1959"/>
      <c r="Z21" s="1959"/>
      <c r="AA21" s="1960"/>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9" t="s">
        <v>2076</v>
      </c>
      <c r="B23" s="2000"/>
      <c r="C23" s="2000"/>
      <c r="D23" s="2000"/>
      <c r="E23" s="2000"/>
      <c r="F23" s="2000"/>
      <c r="G23" s="2000"/>
      <c r="H23" s="2001"/>
      <c r="T23" s="1939" t="s">
        <v>2069</v>
      </c>
      <c r="U23" s="1940"/>
      <c r="V23" s="1940"/>
      <c r="W23" s="1940"/>
      <c r="X23" s="1955">
        <v>44501</v>
      </c>
      <c r="Y23" s="1956"/>
      <c r="Z23" s="1956"/>
      <c r="AA23" s="1957"/>
    </row>
    <row r="24" spans="1:27" ht="14.1" customHeight="1" x14ac:dyDescent="0.2">
      <c r="A24" s="88" t="s">
        <v>677</v>
      </c>
      <c r="B24" s="49"/>
      <c r="C24" s="49"/>
      <c r="D24" s="49"/>
      <c r="E24" s="49"/>
      <c r="F24" s="49"/>
      <c r="G24" s="49"/>
      <c r="H24" s="61"/>
      <c r="J24" s="2041" t="str">
        <f>IF(B5="x",IF(AUDITCHECK!D29="AFR form Incomplete.","",IF(AUDITCHECK!D29="Deficit reduction plan is required.","School District must complete a deficit reduction plan in the 2019-2020 Budget",)),"")</f>
        <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76">
        <v>61554</v>
      </c>
      <c r="B25" s="1977"/>
      <c r="C25" s="1977"/>
      <c r="D25" s="1977"/>
      <c r="E25" s="1977"/>
      <c r="F25" s="1977"/>
      <c r="G25" s="1977"/>
      <c r="H25" s="1978"/>
      <c r="I25" s="113"/>
      <c r="J25" s="2043"/>
      <c r="K25" s="2043"/>
      <c r="L25" s="2043"/>
      <c r="M25" s="2043"/>
      <c r="N25" s="2043"/>
      <c r="O25" s="2043"/>
      <c r="P25" s="2043"/>
      <c r="Q25" s="2043"/>
      <c r="R25" s="2043"/>
      <c r="S25" s="2044"/>
      <c r="T25" s="1936" t="s">
        <v>2079</v>
      </c>
      <c r="U25" s="1937"/>
      <c r="V25" s="1937"/>
      <c r="W25" s="1937"/>
      <c r="X25" s="1937"/>
      <c r="Y25" s="1937"/>
      <c r="Z25" s="1937"/>
      <c r="AA25" s="19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4" t="s">
        <v>1511</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9" t="s">
        <v>2077</v>
      </c>
      <c r="B38" s="2009"/>
      <c r="C38" s="2009"/>
      <c r="D38" s="2009"/>
      <c r="E38" s="2009"/>
      <c r="F38" s="1977"/>
      <c r="G38" s="1977"/>
      <c r="H38" s="1978"/>
      <c r="I38" s="2028"/>
      <c r="J38" s="1948"/>
      <c r="K38" s="1948"/>
      <c r="L38" s="1948"/>
      <c r="M38" s="1948"/>
      <c r="N38" s="1948"/>
      <c r="O38" s="1948"/>
      <c r="P38" s="1949"/>
      <c r="Q38" s="1949"/>
      <c r="R38" s="1949"/>
      <c r="S38" s="1950"/>
      <c r="T38" s="1947"/>
      <c r="U38" s="1948"/>
      <c r="V38" s="1948"/>
      <c r="W38" s="1948"/>
      <c r="X38" s="1949"/>
      <c r="Y38" s="1949"/>
      <c r="Z38" s="1949"/>
      <c r="AA38" s="1950"/>
    </row>
    <row r="39" spans="1:27" ht="12" customHeight="1" x14ac:dyDescent="0.2">
      <c r="A39" s="2032" t="s">
        <v>531</v>
      </c>
      <c r="B39" s="2033"/>
      <c r="C39" s="72"/>
      <c r="D39" s="69"/>
      <c r="E39" s="69"/>
      <c r="F39" s="79"/>
      <c r="G39" s="69"/>
      <c r="H39" s="56"/>
      <c r="I39" s="2032" t="s">
        <v>531</v>
      </c>
      <c r="J39" s="2033"/>
      <c r="K39" s="2033"/>
      <c r="L39" s="2033"/>
      <c r="M39" s="2033"/>
      <c r="N39" s="67"/>
      <c r="O39" s="72"/>
      <c r="P39" s="72"/>
      <c r="Q39" s="78"/>
      <c r="R39" s="72"/>
      <c r="S39" s="56"/>
      <c r="T39" s="72" t="s">
        <v>531</v>
      </c>
      <c r="U39" s="51"/>
      <c r="V39" s="72"/>
      <c r="W39" s="50"/>
      <c r="X39" s="78"/>
      <c r="Y39" s="45"/>
      <c r="Z39" s="45"/>
      <c r="AA39" s="46"/>
    </row>
    <row r="40" spans="1:27" ht="13.5" customHeight="1" x14ac:dyDescent="0.2">
      <c r="A40" s="2035" t="s">
        <v>2076</v>
      </c>
      <c r="B40" s="2036"/>
      <c r="C40" s="2037"/>
      <c r="D40" s="2037"/>
      <c r="E40" s="2037"/>
      <c r="F40" s="2038"/>
      <c r="G40" s="2038"/>
      <c r="H40" s="2039"/>
      <c r="I40" s="1951"/>
      <c r="J40" s="1953"/>
      <c r="K40" s="1953"/>
      <c r="L40" s="1953"/>
      <c r="M40" s="1953"/>
      <c r="N40" s="1953"/>
      <c r="O40" s="1953"/>
      <c r="P40" s="1953"/>
      <c r="Q40" s="1953"/>
      <c r="R40" s="1953"/>
      <c r="S40" s="1954"/>
      <c r="T40" s="1951"/>
      <c r="U40" s="1952"/>
      <c r="V40" s="1953"/>
      <c r="W40" s="1953"/>
      <c r="X40" s="1953"/>
      <c r="Y40" s="1953"/>
      <c r="Z40" s="1953"/>
      <c r="AA40" s="19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5">
        <v>3093535011</v>
      </c>
      <c r="B42" s="2026"/>
      <c r="C42" s="2027"/>
      <c r="D42" s="2040">
        <v>3093531350</v>
      </c>
      <c r="E42" s="2026"/>
      <c r="F42" s="2026"/>
      <c r="G42" s="2026"/>
      <c r="H42" s="2027"/>
      <c r="I42" s="1946"/>
      <c r="J42" s="1942"/>
      <c r="K42" s="1942"/>
      <c r="L42" s="1942"/>
      <c r="M42" s="1942"/>
      <c r="N42" s="1942"/>
      <c r="O42" s="1943"/>
      <c r="P42" s="1941"/>
      <c r="Q42" s="1942"/>
      <c r="R42" s="1942"/>
      <c r="S42" s="1943"/>
      <c r="T42" s="1946"/>
      <c r="U42" s="1942"/>
      <c r="V42" s="1942"/>
      <c r="W42" s="1943"/>
      <c r="X42" s="1941"/>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8" t="s">
        <v>1802</v>
      </c>
      <c r="B2" s="1525" t="s">
        <v>1951</v>
      </c>
      <c r="C2" s="711" t="s">
        <v>1952</v>
      </c>
      <c r="D2" s="711" t="s">
        <v>1953</v>
      </c>
      <c r="E2" s="711" t="s">
        <v>1954</v>
      </c>
      <c r="F2" s="711" t="s">
        <v>1955</v>
      </c>
    </row>
    <row r="3" spans="1:6" ht="12" customHeight="1" x14ac:dyDescent="0.2">
      <c r="A3" s="2179"/>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718"/>
    </row>
    <row r="2" spans="1:7" ht="33.75" x14ac:dyDescent="0.2">
      <c r="A2" s="2193" t="s">
        <v>1802</v>
      </c>
      <c r="B2" s="2194"/>
      <c r="C2" s="1881" t="s">
        <v>1956</v>
      </c>
      <c r="D2" s="720" t="s">
        <v>1957</v>
      </c>
      <c r="E2" s="720" t="s">
        <v>1958</v>
      </c>
      <c r="F2" s="1881" t="s">
        <v>1959</v>
      </c>
    </row>
    <row r="3" spans="1:7" ht="15.75" customHeight="1" x14ac:dyDescent="0.2">
      <c r="A3" s="2197" t="s">
        <v>1114</v>
      </c>
      <c r="B3" s="2198"/>
      <c r="C3" s="2186"/>
      <c r="D3" s="2187"/>
      <c r="E3" s="2187"/>
      <c r="F3" s="2188"/>
    </row>
    <row r="4" spans="1:7" ht="12.75" customHeight="1" thickBot="1" x14ac:dyDescent="0.25">
      <c r="A4" s="2195" t="s">
        <v>630</v>
      </c>
      <c r="B4" s="2196"/>
      <c r="C4" s="578"/>
      <c r="D4" s="578"/>
      <c r="E4" s="578"/>
      <c r="F4" s="1752">
        <f>SUM(C4+D4)-E4</f>
        <v>0</v>
      </c>
    </row>
    <row r="5" spans="1:7" ht="15.75" customHeight="1" thickTop="1" x14ac:dyDescent="0.2">
      <c r="A5" s="2180" t="s">
        <v>1110</v>
      </c>
      <c r="B5" s="2181"/>
      <c r="C5" s="2189"/>
      <c r="D5" s="2190"/>
      <c r="E5" s="2190"/>
      <c r="F5" s="219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82" t="s">
        <v>631</v>
      </c>
      <c r="B15" s="2183"/>
      <c r="C15" s="1752">
        <f>SUM(C6:C14)</f>
        <v>0</v>
      </c>
      <c r="D15" s="1752">
        <f>SUM(D6:D14)</f>
        <v>0</v>
      </c>
      <c r="E15" s="1752">
        <f>SUM(E6:E14)</f>
        <v>0</v>
      </c>
      <c r="F15" s="1752">
        <f>SUM(F6:F14)</f>
        <v>0</v>
      </c>
      <c r="G15" s="549"/>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23"/>
      <c r="D17" s="582"/>
      <c r="E17" s="723"/>
      <c r="F17" s="1752">
        <f>SUM(C17+D17)-E17</f>
        <v>0</v>
      </c>
    </row>
    <row r="18" spans="1:11" ht="12.75" customHeight="1" thickTop="1" thickBot="1" x14ac:dyDescent="0.25">
      <c r="A18" s="2205" t="s">
        <v>6</v>
      </c>
      <c r="B18" s="2206"/>
      <c r="C18" s="723"/>
      <c r="D18" s="582"/>
      <c r="E18" s="723"/>
      <c r="F18" s="1752">
        <f>SUM(C18+D18)-E18</f>
        <v>0</v>
      </c>
    </row>
    <row r="19" spans="1:11" ht="12.75" customHeight="1" thickTop="1" thickBot="1" x14ac:dyDescent="0.25">
      <c r="A19" s="2205" t="s">
        <v>388</v>
      </c>
      <c r="B19" s="2206"/>
      <c r="C19" s="723"/>
      <c r="D19" s="582"/>
      <c r="E19" s="723"/>
      <c r="F19" s="1752">
        <f>SUM(C19+D19)-E19</f>
        <v>0</v>
      </c>
    </row>
    <row r="20" spans="1:11" ht="12.75" customHeight="1" thickTop="1" thickBot="1" x14ac:dyDescent="0.25">
      <c r="A20" s="2205" t="s">
        <v>448</v>
      </c>
      <c r="B20" s="2206"/>
      <c r="C20" s="723"/>
      <c r="D20" s="582"/>
      <c r="E20" s="723"/>
      <c r="F20" s="1752">
        <f>SUM(C20+D20)-E20</f>
        <v>0</v>
      </c>
    </row>
    <row r="21" spans="1:11" ht="14.25" thickTop="1" thickBot="1" x14ac:dyDescent="0.25">
      <c r="A21" s="2182" t="s">
        <v>632</v>
      </c>
      <c r="B21" s="2183"/>
      <c r="C21" s="1752">
        <f>SUM(C17:C20)</f>
        <v>0</v>
      </c>
      <c r="D21" s="1752">
        <f>SUM(D17:D20)</f>
        <v>0</v>
      </c>
      <c r="E21" s="1752">
        <f>SUM(E17:E20)</f>
        <v>0</v>
      </c>
      <c r="F21" s="1752">
        <f>SUM(F17:F20)</f>
        <v>0</v>
      </c>
      <c r="G21" s="549"/>
    </row>
    <row r="22" spans="1:11" ht="15.75" customHeight="1" thickTop="1" x14ac:dyDescent="0.2">
      <c r="A22" s="2207" t="s">
        <v>1112</v>
      </c>
      <c r="B22" s="2181"/>
      <c r="C22" s="2189"/>
      <c r="D22" s="2190"/>
      <c r="E22" s="2190"/>
      <c r="F22" s="2191"/>
    </row>
    <row r="23" spans="1:11" ht="13.5" thickBot="1" x14ac:dyDescent="0.25">
      <c r="A23" s="2195" t="s">
        <v>633</v>
      </c>
      <c r="B23" s="2196"/>
      <c r="C23" s="578"/>
      <c r="D23" s="578"/>
      <c r="E23" s="578"/>
      <c r="F23" s="1752">
        <f>SUM(C23+D23)-E23</f>
        <v>0</v>
      </c>
      <c r="G23" s="549"/>
    </row>
    <row r="24" spans="1:11" ht="15.75" customHeight="1" thickTop="1" x14ac:dyDescent="0.2">
      <c r="A24" s="2207" t="s">
        <v>1113</v>
      </c>
      <c r="B24" s="2181"/>
      <c r="C24" s="2189"/>
      <c r="D24" s="2190"/>
      <c r="E24" s="2190"/>
      <c r="F24" s="2191"/>
    </row>
    <row r="25" spans="1:11" ht="13.5" thickBot="1" x14ac:dyDescent="0.25">
      <c r="A25" s="2195" t="s">
        <v>634</v>
      </c>
      <c r="B25" s="2196"/>
      <c r="C25" s="578"/>
      <c r="D25" s="578"/>
      <c r="E25" s="578"/>
      <c r="F25" s="1752">
        <f>SUM(C25+D25)-E25</f>
        <v>0</v>
      </c>
      <c r="G25" s="549"/>
    </row>
    <row r="26" spans="1:11" ht="15.75" customHeight="1" thickTop="1" x14ac:dyDescent="0.2">
      <c r="A26" s="2180" t="s">
        <v>657</v>
      </c>
      <c r="B26" s="2181"/>
      <c r="C26" s="724"/>
      <c r="D26" s="724"/>
      <c r="E26" s="724"/>
      <c r="F26" s="725"/>
    </row>
    <row r="27" spans="1:11" ht="13.5" thickBot="1" x14ac:dyDescent="0.25">
      <c r="A27" s="2182" t="s">
        <v>1070</v>
      </c>
      <c r="B27" s="2183"/>
      <c r="C27" s="582"/>
      <c r="D27" s="582"/>
      <c r="E27" s="582"/>
      <c r="F27" s="1752">
        <f>SUM(C27+D27)-E27</f>
        <v>0</v>
      </c>
      <c r="G27" s="549"/>
    </row>
    <row r="28" spans="1:11" ht="7.5" customHeight="1" thickTop="1" x14ac:dyDescent="0.2">
      <c r="A28" s="590"/>
    </row>
    <row r="29" spans="1:11" ht="23.25" customHeight="1" x14ac:dyDescent="0.2">
      <c r="A29" s="2208" t="s">
        <v>582</v>
      </c>
      <c r="B29" s="2185"/>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99" t="s">
        <v>584</v>
      </c>
      <c r="C52" s="2200"/>
      <c r="D52" s="2200"/>
      <c r="E52" s="746" t="s">
        <v>845</v>
      </c>
      <c r="F52" s="2201"/>
      <c r="G52" s="2202"/>
      <c r="H52" s="733"/>
      <c r="I52" s="733"/>
      <c r="J52" s="743"/>
    </row>
    <row r="53" spans="1:11" ht="11.25" customHeight="1" x14ac:dyDescent="0.2">
      <c r="A53" s="747" t="s">
        <v>913</v>
      </c>
      <c r="B53" s="748" t="s">
        <v>951</v>
      </c>
      <c r="C53" s="743"/>
      <c r="D53" s="734"/>
      <c r="E53" s="746" t="s">
        <v>497</v>
      </c>
      <c r="F53" s="2203"/>
      <c r="G53" s="2204"/>
      <c r="H53" s="733"/>
      <c r="I53" s="733"/>
      <c r="J53" s="743"/>
    </row>
    <row r="54" spans="1:11" ht="11.25" customHeight="1" x14ac:dyDescent="0.2">
      <c r="A54" s="749" t="s">
        <v>914</v>
      </c>
      <c r="B54" s="744" t="s">
        <v>952</v>
      </c>
      <c r="C54" s="743"/>
      <c r="D54" s="734"/>
      <c r="E54" s="746" t="s">
        <v>498</v>
      </c>
      <c r="F54" s="2203"/>
      <c r="G54" s="220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527"/>
      <c r="I1" s="757"/>
      <c r="J1" s="433"/>
    </row>
    <row r="2" spans="1:11" ht="26.25" x14ac:dyDescent="0.2">
      <c r="A2" s="2212" t="s">
        <v>1677</v>
      </c>
      <c r="B2" s="2213"/>
      <c r="C2" s="2213"/>
      <c r="D2" s="2213"/>
      <c r="E2" s="2214"/>
      <c r="F2" s="758" t="s">
        <v>904</v>
      </c>
      <c r="G2" s="759" t="s">
        <v>1674</v>
      </c>
      <c r="H2" s="759" t="s">
        <v>410</v>
      </c>
      <c r="I2" s="759" t="s">
        <v>1158</v>
      </c>
      <c r="J2" s="759" t="s">
        <v>1812</v>
      </c>
      <c r="K2" s="759" t="s">
        <v>138</v>
      </c>
    </row>
    <row r="3" spans="1:11" x14ac:dyDescent="0.2">
      <c r="A3" s="2215" t="s">
        <v>1964</v>
      </c>
      <c r="B3" s="2216"/>
      <c r="C3" s="2216"/>
      <c r="D3" s="2216"/>
      <c r="E3" s="2217"/>
      <c r="F3" s="760"/>
      <c r="G3" s="761"/>
      <c r="H3" s="761"/>
      <c r="I3" s="761"/>
      <c r="J3" s="762"/>
      <c r="K3" s="762"/>
    </row>
    <row r="4" spans="1:11" x14ac:dyDescent="0.2">
      <c r="A4" s="2218" t="s">
        <v>369</v>
      </c>
      <c r="B4" s="2219"/>
      <c r="C4" s="2219"/>
      <c r="D4" s="2219"/>
      <c r="E4" s="2200"/>
      <c r="F4" s="763"/>
      <c r="G4" s="764"/>
      <c r="H4" s="765"/>
      <c r="I4" s="764"/>
      <c r="J4" s="766"/>
      <c r="K4" s="766"/>
    </row>
    <row r="5" spans="1:11" x14ac:dyDescent="0.2">
      <c r="A5" s="2236" t="s">
        <v>1069</v>
      </c>
      <c r="B5" s="2209"/>
      <c r="C5" s="2209"/>
      <c r="D5" s="2209"/>
      <c r="E5" s="2237"/>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36" t="s">
        <v>1813</v>
      </c>
      <c r="B10" s="2209"/>
      <c r="C10" s="2209"/>
      <c r="D10" s="2209"/>
      <c r="E10" s="2238"/>
      <c r="F10" s="780" t="s">
        <v>862</v>
      </c>
      <c r="G10" s="779"/>
      <c r="H10" s="781"/>
      <c r="I10" s="761"/>
      <c r="J10" s="762"/>
      <c r="K10" s="762"/>
    </row>
    <row r="11" spans="1:11" x14ac:dyDescent="0.2">
      <c r="A11" s="2236" t="s">
        <v>160</v>
      </c>
      <c r="B11" s="2209"/>
      <c r="C11" s="2209"/>
      <c r="D11" s="2209"/>
      <c r="E11" s="2237"/>
      <c r="F11" s="767" t="s">
        <v>852</v>
      </c>
      <c r="G11" s="768"/>
      <c r="H11" s="761"/>
      <c r="I11" s="761"/>
      <c r="J11" s="762"/>
      <c r="K11" s="770"/>
    </row>
    <row r="12" spans="1:11" ht="13.5" thickBot="1" x14ac:dyDescent="0.25">
      <c r="A12" s="2226" t="s">
        <v>905</v>
      </c>
      <c r="B12" s="2227"/>
      <c r="C12" s="2227"/>
      <c r="D12" s="2227"/>
      <c r="E12" s="2228"/>
      <c r="F12" s="1754"/>
      <c r="G12" s="1755">
        <f>SUM(G5:G11)</f>
        <v>0</v>
      </c>
      <c r="H12" s="1755">
        <f>SUM(H5:H11)</f>
        <v>0</v>
      </c>
      <c r="I12" s="1755">
        <f>SUM(I5:I11)</f>
        <v>0</v>
      </c>
      <c r="J12" s="1755">
        <f>SUM(J5:J11)</f>
        <v>0</v>
      </c>
      <c r="K12" s="1755">
        <f>SUM(K5:K11)</f>
        <v>0</v>
      </c>
    </row>
    <row r="13" spans="1:11" ht="13.5" thickTop="1" x14ac:dyDescent="0.2">
      <c r="A13" s="2220" t="s">
        <v>370</v>
      </c>
      <c r="B13" s="2221"/>
      <c r="C13" s="2221"/>
      <c r="D13" s="2221"/>
      <c r="E13" s="2222"/>
      <c r="F13" s="782"/>
      <c r="G13" s="783"/>
      <c r="H13" s="784"/>
      <c r="I13" s="785"/>
      <c r="J13" s="785"/>
      <c r="K13" s="785"/>
    </row>
    <row r="14" spans="1:11" x14ac:dyDescent="0.2">
      <c r="A14" s="2242" t="s">
        <v>456</v>
      </c>
      <c r="B14" s="2242"/>
      <c r="C14" s="2242"/>
      <c r="D14" s="2242"/>
      <c r="E14" s="2243"/>
      <c r="F14" s="786" t="s">
        <v>854</v>
      </c>
      <c r="G14" s="779"/>
      <c r="H14" s="761"/>
      <c r="I14" s="768"/>
      <c r="J14" s="770"/>
      <c r="K14" s="762"/>
    </row>
    <row r="15" spans="1:11" x14ac:dyDescent="0.2">
      <c r="A15" s="2209" t="s">
        <v>4</v>
      </c>
      <c r="B15" s="2209"/>
      <c r="C15" s="2209"/>
      <c r="D15" s="2209"/>
      <c r="E15" s="2237"/>
      <c r="F15" s="786" t="s">
        <v>855</v>
      </c>
      <c r="G15" s="768"/>
      <c r="H15" s="761"/>
      <c r="I15" s="761"/>
      <c r="J15" s="762"/>
      <c r="K15" s="762"/>
    </row>
    <row r="16" spans="1:11" x14ac:dyDescent="0.2">
      <c r="A16" s="2209" t="s">
        <v>298</v>
      </c>
      <c r="B16" s="2209"/>
      <c r="C16" s="2209"/>
      <c r="D16" s="2209"/>
      <c r="E16" s="2237"/>
      <c r="F16" s="786" t="s">
        <v>923</v>
      </c>
      <c r="G16" s="769"/>
      <c r="H16" s="764"/>
      <c r="I16" s="764"/>
      <c r="J16" s="766"/>
      <c r="K16" s="766"/>
    </row>
    <row r="17" spans="1:11" x14ac:dyDescent="0.2">
      <c r="A17" s="2231" t="s">
        <v>935</v>
      </c>
      <c r="B17" s="2231"/>
      <c r="C17" s="2231"/>
      <c r="D17" s="2231"/>
      <c r="E17" s="2232"/>
      <c r="F17" s="787"/>
      <c r="G17" s="788"/>
      <c r="H17" s="789"/>
      <c r="I17" s="789"/>
      <c r="J17" s="790"/>
      <c r="K17" s="791"/>
    </row>
    <row r="18" spans="1:11" x14ac:dyDescent="0.2">
      <c r="A18" s="2223" t="s">
        <v>368</v>
      </c>
      <c r="B18" s="2224"/>
      <c r="C18" s="2224"/>
      <c r="D18" s="2224"/>
      <c r="E18" s="2225"/>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23" t="s">
        <v>1814</v>
      </c>
      <c r="B20" s="2224"/>
      <c r="C20" s="2224"/>
      <c r="D20" s="2224"/>
      <c r="E20" s="2225"/>
      <c r="F20" s="786" t="s">
        <v>934</v>
      </c>
      <c r="G20" s="779"/>
      <c r="H20" s="779"/>
      <c r="I20" s="779"/>
      <c r="J20" s="762"/>
      <c r="K20" s="792"/>
    </row>
    <row r="21" spans="1:11" ht="13.5" thickBot="1" x14ac:dyDescent="0.25">
      <c r="A21" s="2229" t="s">
        <v>638</v>
      </c>
      <c r="B21" s="2229"/>
      <c r="C21" s="2229"/>
      <c r="D21" s="2229"/>
      <c r="E21" s="2229"/>
      <c r="F21" s="1756"/>
      <c r="G21" s="789"/>
      <c r="H21" s="793"/>
      <c r="I21" s="793"/>
      <c r="J21" s="1757">
        <f>SUM(J18:J20)</f>
        <v>0</v>
      </c>
      <c r="K21" s="790"/>
    </row>
    <row r="22" spans="1:11" ht="13.5" thickTop="1" x14ac:dyDescent="0.2">
      <c r="A22" s="2209" t="s">
        <v>1815</v>
      </c>
      <c r="B22" s="2209"/>
      <c r="C22" s="2209"/>
      <c r="D22" s="2209"/>
      <c r="E22" s="2237"/>
      <c r="F22" s="786" t="s">
        <v>862</v>
      </c>
      <c r="G22" s="779"/>
      <c r="H22" s="761"/>
      <c r="I22" s="761"/>
      <c r="J22" s="794"/>
      <c r="K22" s="762"/>
    </row>
    <row r="23" spans="1:11" ht="13.5" thickBot="1" x14ac:dyDescent="0.25">
      <c r="A23" s="2230" t="s">
        <v>906</v>
      </c>
      <c r="B23" s="2229"/>
      <c r="C23" s="2229"/>
      <c r="D23" s="2229"/>
      <c r="E23" s="2229"/>
      <c r="F23" s="1758"/>
      <c r="G23" s="1755">
        <f>SUM(G14:G16,G21,G22)</f>
        <v>0</v>
      </c>
      <c r="H23" s="1755">
        <f>SUM(H14:H16,H21,H22)</f>
        <v>0</v>
      </c>
      <c r="I23" s="1755">
        <f>SUM(I14:I16,I21,I22)</f>
        <v>0</v>
      </c>
      <c r="J23" s="1755">
        <f>SUM(J14:J16,J21,J22)</f>
        <v>0</v>
      </c>
      <c r="K23" s="1755">
        <f>SUM(K14:K16,K21,K22)</f>
        <v>0</v>
      </c>
    </row>
    <row r="24" spans="1:11" ht="14.25" thickTop="1" thickBot="1" x14ac:dyDescent="0.25">
      <c r="A24" s="2230" t="s">
        <v>1965</v>
      </c>
      <c r="B24" s="2229"/>
      <c r="C24" s="2229"/>
      <c r="D24" s="2229"/>
      <c r="E24" s="2229"/>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09" t="s">
        <v>541</v>
      </c>
      <c r="B41" s="2210"/>
      <c r="C41" s="2210"/>
      <c r="D41" s="2210"/>
      <c r="E41" s="2210"/>
      <c r="F41" s="221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1909</v>
      </c>
      <c r="B1" s="2249"/>
      <c r="C1" s="2250"/>
      <c r="D1" s="823"/>
      <c r="E1" s="824"/>
      <c r="F1" s="824"/>
      <c r="G1" s="825"/>
      <c r="H1" s="826"/>
      <c r="I1" s="827"/>
      <c r="J1" s="2246"/>
      <c r="K1" s="2247"/>
      <c r="L1" s="2247"/>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0</v>
      </c>
      <c r="D5" s="838"/>
      <c r="E5" s="838"/>
      <c r="F5" s="1757">
        <f>(C5+D5)-E5</f>
        <v>0</v>
      </c>
      <c r="G5" s="834"/>
      <c r="H5" s="839"/>
      <c r="I5" s="839"/>
      <c r="J5" s="839"/>
      <c r="K5" s="790"/>
      <c r="L5" s="1766">
        <f>F5-K5</f>
        <v>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0</v>
      </c>
      <c r="D8" s="841"/>
      <c r="E8" s="841"/>
      <c r="F8" s="1757">
        <f>(C8+D8)-E8</f>
        <v>0</v>
      </c>
      <c r="G8" s="840">
        <v>50</v>
      </c>
      <c r="H8" s="762">
        <v>0</v>
      </c>
      <c r="I8" s="762"/>
      <c r="J8" s="762"/>
      <c r="K8" s="1766">
        <f>(H8+I8)-J8</f>
        <v>0</v>
      </c>
      <c r="L8" s="1766">
        <f>F8-K8</f>
        <v>0</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838343</v>
      </c>
      <c r="D12" s="841">
        <v>117423</v>
      </c>
      <c r="E12" s="841"/>
      <c r="F12" s="1757">
        <f>(C12+D12)-E12</f>
        <v>955766</v>
      </c>
      <c r="G12" s="840">
        <v>10</v>
      </c>
      <c r="H12" s="762">
        <v>287605</v>
      </c>
      <c r="I12" s="762">
        <v>95577</v>
      </c>
      <c r="J12" s="762"/>
      <c r="K12" s="1766">
        <f>(H12+I12)-J12</f>
        <v>383182</v>
      </c>
      <c r="L12" s="1766">
        <f>F12-K12</f>
        <v>572584</v>
      </c>
    </row>
    <row r="13" spans="1:14" ht="14.25" thickTop="1" thickBot="1" x14ac:dyDescent="0.25">
      <c r="A13" s="845" t="s">
        <v>1122</v>
      </c>
      <c r="B13" s="837">
        <v>252</v>
      </c>
      <c r="C13" s="841">
        <v>1414</v>
      </c>
      <c r="D13" s="841"/>
      <c r="E13" s="841"/>
      <c r="F13" s="1757">
        <f>(C13+D13)-E13</f>
        <v>1414</v>
      </c>
      <c r="G13" s="840">
        <v>5</v>
      </c>
      <c r="H13" s="762">
        <v>1414</v>
      </c>
      <c r="I13" s="762"/>
      <c r="J13" s="762"/>
      <c r="K13" s="1766">
        <f>(H13+I13)-J13</f>
        <v>1414</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839757</v>
      </c>
      <c r="D16" s="1757">
        <f>SUM(D3,D5:D6,D8:D10,D12:D15)</f>
        <v>117423</v>
      </c>
      <c r="E16" s="1757">
        <f>SUM(E3,E5:E6,E8:E10,E12:E15)</f>
        <v>0</v>
      </c>
      <c r="F16" s="1757">
        <f>SUM(F3,F5:F6,F8:F10,F12:F15)</f>
        <v>957180</v>
      </c>
      <c r="G16" s="840"/>
      <c r="H16" s="1757">
        <f>SUM(H3,H6,H8:H10,H12:H14,)</f>
        <v>289019</v>
      </c>
      <c r="I16" s="1757">
        <f>SUM(I3,I6,I8:I10,I12:I14,)</f>
        <v>95577</v>
      </c>
      <c r="J16" s="1757">
        <f>SUM(J3,J6,J8:J10,J12:J14,)</f>
        <v>0</v>
      </c>
      <c r="K16" s="1757">
        <f>(H16+I16)-J16</f>
        <v>384596</v>
      </c>
      <c r="L16" s="1757">
        <f>F16-K16</f>
        <v>572584</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95577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4" t="s">
        <v>1975</v>
      </c>
      <c r="B1" s="2255"/>
      <c r="C1" s="2255"/>
      <c r="D1" s="2255"/>
      <c r="E1" s="2255"/>
      <c r="F1" s="2256"/>
      <c r="G1" s="852"/>
    </row>
    <row r="2" spans="1:7" ht="15" customHeight="1" thickBot="1" x14ac:dyDescent="0.25">
      <c r="A2" s="2257" t="s">
        <v>477</v>
      </c>
      <c r="B2" s="2258"/>
      <c r="C2" s="2258"/>
      <c r="D2" s="2258"/>
      <c r="E2" s="2258"/>
      <c r="F2" s="2259"/>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929528</v>
      </c>
      <c r="G8" s="862"/>
    </row>
    <row r="9" spans="1:7" x14ac:dyDescent="0.2">
      <c r="A9" s="866" t="s">
        <v>460</v>
      </c>
      <c r="B9" s="867" t="s">
        <v>1877</v>
      </c>
      <c r="C9" s="868"/>
      <c r="D9" s="866" t="s">
        <v>501</v>
      </c>
      <c r="E9" s="865"/>
      <c r="F9" s="1906">
        <f>'Expenditures 15-22'!K151</f>
        <v>0</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0</v>
      </c>
      <c r="G11" s="869"/>
    </row>
    <row r="12" spans="1:7" x14ac:dyDescent="0.2">
      <c r="A12" s="866" t="s">
        <v>462</v>
      </c>
      <c r="B12" s="867" t="s">
        <v>1880</v>
      </c>
      <c r="C12" s="868"/>
      <c r="D12" s="866" t="s">
        <v>501</v>
      </c>
      <c r="E12" s="865"/>
      <c r="F12" s="1906">
        <f>'Expenditures 15-22'!K295</f>
        <v>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929528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485351</v>
      </c>
      <c r="G53" s="862"/>
    </row>
    <row r="54" spans="1:7" x14ac:dyDescent="0.2">
      <c r="A54" s="866" t="s">
        <v>459</v>
      </c>
      <c r="B54" s="866" t="s">
        <v>1476</v>
      </c>
      <c r="C54" s="886" t="s">
        <v>982</v>
      </c>
      <c r="D54" s="882" t="s">
        <v>1095</v>
      </c>
      <c r="E54" s="865"/>
      <c r="F54" s="1910">
        <f>'Expenditures 15-22'!G114</f>
        <v>117423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602774</v>
      </c>
      <c r="G76" s="862"/>
    </row>
    <row r="77" spans="1:8" s="890" customFormat="1" ht="12" customHeight="1" thickTop="1" thickBot="1" x14ac:dyDescent="0.25">
      <c r="A77" s="1776"/>
      <c r="B77" s="1773"/>
      <c r="C77" s="1769"/>
      <c r="D77" s="1774" t="s">
        <v>1900</v>
      </c>
      <c r="E77" s="1771"/>
      <c r="F77" s="1777">
        <f>(F14-F76)</f>
        <v>326754</v>
      </c>
      <c r="G77" s="866"/>
    </row>
    <row r="78" spans="1:8" s="890" customFormat="1" ht="12" customHeight="1" thickTop="1" x14ac:dyDescent="0.2">
      <c r="A78" s="1778"/>
      <c r="B78" s="1773"/>
      <c r="C78" s="1769"/>
      <c r="D78" s="1774" t="s">
        <v>2062</v>
      </c>
      <c r="E78" s="1771"/>
      <c r="F78" s="895">
        <v>0</v>
      </c>
      <c r="G78" s="896"/>
      <c r="H78" s="866"/>
    </row>
    <row r="79" spans="1:8" s="890" customFormat="1" ht="12" customHeight="1" thickBot="1" x14ac:dyDescent="0.25">
      <c r="A79" s="1779"/>
      <c r="B79" s="1773"/>
      <c r="C79" s="1769"/>
      <c r="D79" s="1774" t="s">
        <v>1901</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251" t="s">
        <v>1105</v>
      </c>
      <c r="B81" s="2252"/>
      <c r="C81" s="2252"/>
      <c r="D81" s="2252"/>
      <c r="E81" s="2252"/>
      <c r="F81" s="2253"/>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212891</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228845</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c r="G171" s="924"/>
    </row>
    <row r="172" spans="1:7" x14ac:dyDescent="0.2">
      <c r="A172" s="1915" t="s">
        <v>664</v>
      </c>
      <c r="B172" s="1916" t="s">
        <v>1920</v>
      </c>
      <c r="C172" s="1917">
        <v>3300</v>
      </c>
      <c r="D172" s="1918" t="s">
        <v>1923</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441736</v>
      </c>
    </row>
    <row r="175" spans="1:7" ht="12" customHeight="1" x14ac:dyDescent="0.2">
      <c r="A175" s="1767"/>
      <c r="B175" s="1781"/>
      <c r="C175" s="1782"/>
      <c r="D175" s="1783" t="s">
        <v>2057</v>
      </c>
      <c r="E175" s="1784"/>
      <c r="F175" s="1786">
        <f>'PCTC-OEPP 27-28'!F77-F174</f>
        <v>-114982</v>
      </c>
    </row>
    <row r="176" spans="1:7" ht="12" customHeight="1" x14ac:dyDescent="0.2">
      <c r="A176" s="1767"/>
      <c r="B176" s="1781"/>
      <c r="C176" s="1782"/>
      <c r="D176" s="1783" t="s">
        <v>1817</v>
      </c>
      <c r="E176" s="1784"/>
      <c r="F176" s="1786">
        <f>'Cap Outlay Deprec 26'!I18</f>
        <v>95577</v>
      </c>
    </row>
    <row r="177" spans="1:7" ht="12" customHeight="1" x14ac:dyDescent="0.2">
      <c r="A177" s="1767"/>
      <c r="B177" s="1781"/>
      <c r="C177" s="1782"/>
      <c r="D177" s="1783" t="s">
        <v>2058</v>
      </c>
      <c r="E177" s="1784"/>
      <c r="F177" s="1786">
        <f>F175+F176</f>
        <v>-19405</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2059</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22" sqref="C22"/>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5" t="s">
        <v>1818</v>
      </c>
      <c r="B4" s="2266"/>
      <c r="C4" s="2266"/>
      <c r="D4" s="2266"/>
      <c r="E4" s="2266"/>
      <c r="F4" s="2266"/>
      <c r="G4" s="2267"/>
    </row>
    <row r="5" spans="1:7" x14ac:dyDescent="0.25">
      <c r="A5" s="2268"/>
      <c r="B5" s="2269"/>
      <c r="C5" s="2269"/>
      <c r="D5" s="2269"/>
      <c r="E5" s="2269"/>
      <c r="F5" s="2269"/>
      <c r="G5" s="2270"/>
    </row>
    <row r="6" spans="1:7" ht="18.75" x14ac:dyDescent="0.25">
      <c r="A6" s="1531" t="s">
        <v>1819</v>
      </c>
      <c r="B6" s="1532"/>
      <c r="C6" s="1532"/>
      <c r="D6" s="1532"/>
      <c r="E6" s="1532"/>
      <c r="F6" s="1532"/>
      <c r="G6" s="1533"/>
    </row>
    <row r="7" spans="1:7" ht="30.75" customHeight="1" x14ac:dyDescent="0.25">
      <c r="A7" s="2271" t="s">
        <v>1932</v>
      </c>
      <c r="B7" s="2272"/>
      <c r="C7" s="2272"/>
      <c r="D7" s="2272"/>
      <c r="E7" s="2272"/>
      <c r="F7" s="2272"/>
      <c r="G7" s="2273"/>
    </row>
    <row r="8" spans="1:7" ht="15.75" customHeight="1" x14ac:dyDescent="0.25">
      <c r="A8" s="2274" t="s">
        <v>1907</v>
      </c>
      <c r="B8" s="2275"/>
      <c r="C8" s="2275"/>
      <c r="D8" s="2275"/>
      <c r="E8" s="2275"/>
      <c r="F8" s="2275"/>
      <c r="G8" s="2276"/>
    </row>
    <row r="9" spans="1:7" ht="35.25" customHeight="1" x14ac:dyDescent="0.25">
      <c r="A9" s="2271" t="s">
        <v>1935</v>
      </c>
      <c r="B9" s="2272"/>
      <c r="C9" s="2272"/>
      <c r="D9" s="2272"/>
      <c r="E9" s="2272"/>
      <c r="F9" s="2272"/>
      <c r="G9" s="2273"/>
    </row>
    <row r="10" spans="1:7" ht="15" customHeight="1" x14ac:dyDescent="0.25">
      <c r="A10" s="1534" t="s">
        <v>1820</v>
      </c>
      <c r="B10" s="1535"/>
      <c r="C10" s="1535"/>
      <c r="D10" s="1535"/>
      <c r="E10" s="1535"/>
      <c r="F10" s="1535"/>
      <c r="G10" s="1536"/>
    </row>
    <row r="11" spans="1:7" ht="17.25" customHeight="1" x14ac:dyDescent="0.25">
      <c r="A11" s="2271" t="s">
        <v>1934</v>
      </c>
      <c r="B11" s="2272"/>
      <c r="C11" s="2272"/>
      <c r="D11" s="2272"/>
      <c r="E11" s="2272"/>
      <c r="F11" s="2272"/>
      <c r="G11" s="2273"/>
    </row>
    <row r="12" spans="1:7" ht="15" customHeight="1" x14ac:dyDescent="0.25">
      <c r="A12" s="1534" t="s">
        <v>1825</v>
      </c>
      <c r="B12" s="1535"/>
      <c r="C12" s="1535"/>
      <c r="D12" s="1535"/>
      <c r="E12" s="1535"/>
      <c r="F12" s="1535"/>
      <c r="G12" s="1536"/>
    </row>
    <row r="13" spans="1:7" ht="32.25" customHeight="1" x14ac:dyDescent="0.25">
      <c r="A13" s="2262" t="s">
        <v>1976</v>
      </c>
      <c r="B13" s="2263"/>
      <c r="C13" s="2263"/>
      <c r="D13" s="2263"/>
      <c r="E13" s="2263"/>
      <c r="F13" s="2263"/>
      <c r="G13" s="2264"/>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2080</v>
      </c>
      <c r="B17" s="2482" t="s">
        <v>2087</v>
      </c>
      <c r="C17" s="1935" t="s">
        <v>2081</v>
      </c>
      <c r="D17" s="1841">
        <v>13719</v>
      </c>
      <c r="E17" s="1537">
        <f t="shared" ref="E17:E141" si="0">IF(D17&lt;=25000,D17,IF(D17&gt;25000,25000,0))</f>
        <v>13719</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13719</v>
      </c>
      <c r="G17" s="1790">
        <f>IF(F17=0,0,D17-F17)</f>
        <v>0</v>
      </c>
      <c r="H17" s="1644"/>
    </row>
    <row r="18" spans="1:8" x14ac:dyDescent="0.25">
      <c r="A18" s="1934" t="s">
        <v>2082</v>
      </c>
      <c r="B18" s="2482" t="s">
        <v>2088</v>
      </c>
      <c r="C18" s="1935" t="s">
        <v>2083</v>
      </c>
      <c r="D18" s="1841">
        <v>816</v>
      </c>
      <c r="E18" s="1537">
        <f t="shared" ref="E18:E140" si="2">IF(D18&lt;=25000,D18,IF(D18&gt;25000,25000,0))</f>
        <v>816</v>
      </c>
      <c r="F18" s="1929">
        <f t="shared" si="1"/>
        <v>816</v>
      </c>
      <c r="G18" s="1790">
        <f t="shared" ref="G18:G140" si="3">IF(F18=0,0,D18-F18)</f>
        <v>0</v>
      </c>
    </row>
    <row r="19" spans="1:8" x14ac:dyDescent="0.25">
      <c r="A19" s="1934" t="s">
        <v>2082</v>
      </c>
      <c r="B19" s="2482" t="s">
        <v>2088</v>
      </c>
      <c r="C19" s="1935" t="s">
        <v>2084</v>
      </c>
      <c r="D19" s="1841">
        <v>275</v>
      </c>
      <c r="E19" s="1537">
        <f t="shared" si="2"/>
        <v>275</v>
      </c>
      <c r="F19" s="1929">
        <f t="shared" si="1"/>
        <v>275</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14810</v>
      </c>
      <c r="E141" s="1538">
        <f t="shared" si="0"/>
        <v>14810</v>
      </c>
      <c r="F141" s="1930">
        <f>SUM(F17:F140)</f>
        <v>14810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7" t="s">
        <v>1679</v>
      </c>
      <c r="B5" s="2278"/>
      <c r="C5" s="2278"/>
      <c r="D5" s="2278"/>
      <c r="E5" s="2278"/>
      <c r="F5" s="2278"/>
      <c r="G5" s="2279"/>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282" t="s">
        <v>1977</v>
      </c>
      <c r="B11" s="2283"/>
      <c r="C11" s="2283"/>
      <c r="D11" s="2284"/>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155670</v>
      </c>
      <c r="F19" s="1796"/>
      <c r="G19" s="1798">
        <f>'Expenditures 15-22'!K33-SUM('Expenditures 15-22'!G33,'Expenditures 15-22'!I33)+'Expenditures 15-22'!D229</f>
        <v>155670</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12254</v>
      </c>
      <c r="F21" s="1799"/>
      <c r="G21" s="1802">
        <f>'Expenditures 15-22'!K42-SUM('Expenditures 15-22'!G42,'Expenditures 15-22'!I42)+'Expenditures 15-22'!K120-SUM('Expenditures 15-22'!G120,'Expenditures 15-22'!I120)+'Expenditures 15-22'!K180-SUM('Expenditures 15-22'!G180,'Expenditures 15-22'!I180)+'Expenditures 15-22'!D238</f>
        <v>12254</v>
      </c>
      <c r="H21" s="984"/>
      <c r="I21" s="162"/>
    </row>
    <row r="22" spans="1:9" s="665" customFormat="1" ht="12" customHeight="1" x14ac:dyDescent="0.2">
      <c r="A22" s="991" t="s">
        <v>564</v>
      </c>
      <c r="B22" s="992"/>
      <c r="C22" s="990">
        <v>2200</v>
      </c>
      <c r="D22" s="1799"/>
      <c r="E22" s="1801">
        <f>'Expenditures 15-22'!K47-SUM('Expenditures 15-22'!G47,'Expenditures 15-22'!I47)+'Expenditures 15-22'!D243</f>
        <v>74659</v>
      </c>
      <c r="F22" s="1799"/>
      <c r="G22" s="1802">
        <f>'Expenditures 15-22'!K47-SUM('Expenditures 15-22'!G47,'Expenditures 15-22'!I47)+'Expenditures 15-22'!D243</f>
        <v>74659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84171</v>
      </c>
      <c r="F23" s="1799"/>
      <c r="G23" s="1801">
        <f>'Expenditures 15-22'!K53-SUM('Expenditures 15-22'!G53,'Expenditures 15-22'!I53)+'Expenditures 15-22'!D257+'Expenditures 15-22'!K330-SUM('Expenditures 15-22'!G330,'Expenditures 15-22'!I330)</f>
        <v>84171</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0</v>
      </c>
      <c r="F28" s="1803">
        <f>'Expenditures 15-22'!K61-SUM('Expenditures 15-22'!G61,'Expenditures 15-22'!I61)+'Expenditures 15-22'!K124-SUM('Expenditures 15-22'!G124,'Expenditures 15-22'!I124)+'Expenditures 15-22'!D266-E9</f>
        <v>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0</v>
      </c>
      <c r="E41" s="1803">
        <f>SUM(E19:E40)</f>
        <v>326754</v>
      </c>
      <c r="F41" s="1803">
        <f>SUM(F19:F39)</f>
        <v>0</v>
      </c>
      <c r="G41" s="1803">
        <f>SUM(G19:G40)</f>
        <v>326754</v>
      </c>
    </row>
    <row r="42" spans="1:7" x14ac:dyDescent="0.2">
      <c r="A42" s="984"/>
      <c r="B42" s="162"/>
      <c r="C42" s="998"/>
      <c r="D42" s="2280" t="s">
        <v>522</v>
      </c>
      <c r="E42" s="2281"/>
      <c r="F42" s="999" t="s">
        <v>523</v>
      </c>
      <c r="G42" s="1000"/>
    </row>
    <row r="43" spans="1:7" ht="12" customHeight="1" x14ac:dyDescent="0.2">
      <c r="A43" s="984"/>
      <c r="B43" s="162"/>
      <c r="C43" s="998"/>
      <c r="D43" s="1804" t="s">
        <v>473</v>
      </c>
      <c r="E43" s="1805">
        <f>D41</f>
        <v>0</v>
      </c>
      <c r="F43" s="1804" t="s">
        <v>473</v>
      </c>
      <c r="G43" s="1805">
        <f>F41</f>
        <v>0</v>
      </c>
    </row>
    <row r="44" spans="1:7" ht="12" customHeight="1" x14ac:dyDescent="0.2">
      <c r="A44" s="984"/>
      <c r="B44" s="162"/>
      <c r="C44" s="998"/>
      <c r="D44" s="1804" t="s">
        <v>474</v>
      </c>
      <c r="E44" s="1805">
        <f>E41</f>
        <v>326754</v>
      </c>
      <c r="F44" s="1804" t="s">
        <v>474</v>
      </c>
      <c r="G44" s="1805">
        <f>G41</f>
        <v>326754</v>
      </c>
    </row>
    <row r="45" spans="1:7" ht="12" customHeight="1" x14ac:dyDescent="0.2">
      <c r="A45" s="984"/>
      <c r="B45" s="162"/>
      <c r="C45" s="162"/>
      <c r="D45" s="1806" t="s">
        <v>1006</v>
      </c>
      <c r="E45" s="1807">
        <f>(E43/E44)</f>
        <v>0</v>
      </c>
      <c r="F45" s="1806" t="s">
        <v>1006</v>
      </c>
      <c r="G45" s="1807">
        <f>(G43/G44)</f>
        <v>0</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8" t="s">
        <v>1379</v>
      </c>
      <c r="B1" s="2288"/>
      <c r="C1" s="2288"/>
      <c r="D1" s="2288"/>
      <c r="E1" s="2288"/>
      <c r="F1" s="228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89" t="s">
        <v>1546</v>
      </c>
      <c r="B5" s="2290"/>
      <c r="C5" s="2291"/>
      <c r="D5" s="2291"/>
      <c r="E5" s="2291"/>
      <c r="F5" s="2291"/>
    </row>
    <row r="6" spans="1:10" ht="12" customHeight="1" x14ac:dyDescent="0.25">
      <c r="A6" s="1847"/>
      <c r="B6" s="1848"/>
      <c r="C6" s="2292" t="str">
        <f>COVER!A17</f>
        <v>Tazewell Co Area EFE RDS</v>
      </c>
      <c r="D6" s="2292"/>
      <c r="E6" s="2292"/>
      <c r="F6" s="1849"/>
    </row>
    <row r="7" spans="1:10" ht="11.25" customHeight="1" thickBot="1" x14ac:dyDescent="0.3">
      <c r="A7" s="1847"/>
      <c r="B7" s="1848"/>
      <c r="C7" s="2293">
        <f>COVER!A13</f>
        <v>53000000046</v>
      </c>
      <c r="D7" s="2293"/>
      <c r="E7" s="2293"/>
      <c r="F7" s="1849"/>
    </row>
    <row r="8" spans="1:10" ht="25.5" customHeight="1" thickBot="1" x14ac:dyDescent="0.25">
      <c r="A8" s="1890" t="s">
        <v>1908</v>
      </c>
      <c r="B8" s="1850" t="s">
        <v>2070</v>
      </c>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0</v>
      </c>
      <c r="I34" s="1875">
        <f>SUM(I11:I32)</f>
        <v>0</v>
      </c>
      <c r="J34" s="1875">
        <f>SUM(J11:J32)</f>
        <v>0</v>
      </c>
      <c r="K34" s="1875">
        <f>SUM(H34:J34)</f>
        <v>0</v>
      </c>
    </row>
    <row r="35" spans="1:11" ht="12" customHeight="1" x14ac:dyDescent="0.2">
      <c r="A35" s="1868" t="s">
        <v>1392</v>
      </c>
      <c r="B35" s="1869"/>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870"/>
      <c r="B39" s="1870"/>
      <c r="C39" s="1870"/>
      <c r="D39" s="1870"/>
      <c r="E39" s="1870"/>
      <c r="F39" s="1870"/>
    </row>
    <row r="40" spans="1:11" s="1867" customFormat="1" ht="12" customHeight="1" x14ac:dyDescent="0.25">
      <c r="A40" s="1871" t="s">
        <v>1391</v>
      </c>
      <c r="B40" s="1872"/>
      <c r="C40" s="2302"/>
      <c r="D40" s="2302"/>
      <c r="E40" s="2302"/>
      <c r="F40" s="2303"/>
      <c r="H40" s="1876"/>
      <c r="I40" s="1876"/>
      <c r="J40" s="1876"/>
      <c r="K40" s="1876"/>
    </row>
    <row r="41" spans="1:11" s="1867" customFormat="1" ht="12" customHeight="1" x14ac:dyDescent="0.25">
      <c r="A41" s="2304"/>
      <c r="B41" s="2305"/>
      <c r="C41" s="2305"/>
      <c r="D41" s="2305"/>
      <c r="E41" s="2305"/>
      <c r="F41" s="2306"/>
      <c r="H41" s="1876"/>
      <c r="I41" s="1876"/>
      <c r="J41" s="1876"/>
      <c r="K41" s="1876"/>
    </row>
    <row r="42" spans="1:11" s="1867" customFormat="1" ht="12" customHeight="1" x14ac:dyDescent="0.25">
      <c r="A42" s="2304"/>
      <c r="B42" s="2305"/>
      <c r="C42" s="2305"/>
      <c r="D42" s="2305"/>
      <c r="E42" s="2305"/>
      <c r="F42" s="2306"/>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2" t="str">
        <f>COVER!A17</f>
        <v>Tazewell Co Area EFE RDS</v>
      </c>
      <c r="J6" s="2313"/>
      <c r="Q6" s="1661"/>
    </row>
    <row r="7" spans="1:17" x14ac:dyDescent="0.2">
      <c r="A7" s="2314" t="s">
        <v>869</v>
      </c>
      <c r="B7" s="2315"/>
      <c r="C7" s="2315"/>
      <c r="D7" s="2315"/>
      <c r="E7" s="2316"/>
      <c r="F7" s="1014"/>
      <c r="G7" s="1006"/>
      <c r="H7" s="1013" t="s">
        <v>372</v>
      </c>
      <c r="I7" s="2317">
        <f>COVER!A13</f>
        <v>53000000046</v>
      </c>
      <c r="J7" s="2317"/>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8" t="s">
        <v>481</v>
      </c>
      <c r="B11" s="2319"/>
      <c r="C11" s="232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0</v>
      </c>
      <c r="F12" s="1036"/>
      <c r="G12" s="1808">
        <f t="shared" ref="G12:G18" si="0">SUM(E12:F12)</f>
        <v>0</v>
      </c>
      <c r="H12" s="1037"/>
      <c r="I12" s="1036"/>
      <c r="J12" s="1808">
        <f t="shared" ref="J12:J18" si="1">SUM(H12:I12)</f>
        <v>0</v>
      </c>
    </row>
    <row r="13" spans="1:17" ht="15" customHeight="1" x14ac:dyDescent="0.2">
      <c r="A13" s="1032">
        <v>2</v>
      </c>
      <c r="B13" s="1033" t="s">
        <v>42</v>
      </c>
      <c r="C13" s="1034"/>
      <c r="D13" s="1035">
        <v>2330</v>
      </c>
      <c r="E13" s="1808">
        <f>'Expenditures 15-22'!K51</f>
        <v>81551</v>
      </c>
      <c r="F13" s="1036"/>
      <c r="G13" s="1808">
        <f t="shared" si="0"/>
        <v>81551</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1" t="s">
        <v>7</v>
      </c>
      <c r="C18" s="2322"/>
      <c r="D18" s="2323"/>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81551</v>
      </c>
      <c r="F19" s="1810">
        <f t="shared" si="2"/>
        <v>0</v>
      </c>
      <c r="G19" s="1810">
        <f t="shared" si="2"/>
        <v>81551</v>
      </c>
      <c r="H19" s="1810">
        <f t="shared" si="2"/>
        <v>0</v>
      </c>
      <c r="I19" s="1810">
        <f t="shared" si="2"/>
        <v>0</v>
      </c>
      <c r="J19" s="1810">
        <f t="shared" si="2"/>
        <v>0</v>
      </c>
    </row>
    <row r="20" spans="1:10" ht="13.5" thickTop="1" x14ac:dyDescent="0.2">
      <c r="A20" s="1032">
        <v>9</v>
      </c>
      <c r="B20" s="2324" t="s">
        <v>1981</v>
      </c>
      <c r="C20" s="2324"/>
      <c r="D20" s="2325"/>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0"/>
      <c r="D26" s="2330"/>
      <c r="E26" s="1047"/>
      <c r="F26" s="2329"/>
      <c r="G26" s="2329"/>
    </row>
    <row r="27" spans="1:10" x14ac:dyDescent="0.2">
      <c r="B27" s="1044"/>
      <c r="C27" s="1048" t="s">
        <v>1033</v>
      </c>
      <c r="D27" s="1049"/>
      <c r="E27" s="1050"/>
      <c r="F27" s="2326" t="s">
        <v>1509</v>
      </c>
      <c r="G27" s="2326"/>
    </row>
    <row r="28" spans="1:10" ht="28.5" customHeight="1" x14ac:dyDescent="0.2">
      <c r="B28" s="1044"/>
      <c r="C28" s="2328"/>
      <c r="D28" s="2328"/>
      <c r="E28" s="1051"/>
      <c r="F28" s="2328"/>
      <c r="G28" s="2328"/>
    </row>
    <row r="29" spans="1:10" x14ac:dyDescent="0.2">
      <c r="B29" s="1044"/>
      <c r="C29" s="1052" t="s">
        <v>1561</v>
      </c>
      <c r="E29" s="1053"/>
      <c r="F29" s="2327" t="s">
        <v>1510</v>
      </c>
      <c r="G29" s="232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59"/>
    </row>
    <row r="36" spans="1:10" ht="13.5" customHeight="1" x14ac:dyDescent="0.2">
      <c r="B36" s="1058"/>
      <c r="C36" s="2311" t="s">
        <v>1983</v>
      </c>
      <c r="D36" s="2310"/>
      <c r="E36" s="2310"/>
      <c r="F36" s="2310"/>
      <c r="G36" s="2310"/>
      <c r="H36" s="2310"/>
      <c r="I36" s="2310"/>
      <c r="J36" s="1060"/>
    </row>
    <row r="37" spans="1:10" ht="22.5" customHeight="1" x14ac:dyDescent="0.2">
      <c r="C37" s="2310"/>
      <c r="D37" s="2310"/>
      <c r="E37" s="2310"/>
      <c r="F37" s="2310"/>
      <c r="G37" s="2310"/>
      <c r="H37" s="2310"/>
      <c r="I37" s="2310"/>
      <c r="J37" s="1060"/>
    </row>
    <row r="38" spans="1:10" ht="7.5" customHeight="1" x14ac:dyDescent="0.2">
      <c r="C38" s="1059"/>
      <c r="D38" s="1061"/>
      <c r="E38" s="1062"/>
      <c r="F38" s="1063"/>
      <c r="G38" s="1062"/>
    </row>
    <row r="39" spans="1:10" ht="13.5" customHeight="1" x14ac:dyDescent="0.2">
      <c r="B39" s="1058"/>
      <c r="C39" s="2307" t="s">
        <v>882</v>
      </c>
      <c r="D39" s="2308"/>
      <c r="E39" s="2308"/>
      <c r="F39" s="2308"/>
      <c r="G39" s="2308"/>
      <c r="H39" s="2308"/>
      <c r="I39" s="230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5">
        <v>1</v>
      </c>
    </row>
    <row r="6" spans="1:1" x14ac:dyDescent="0.2">
      <c r="A6" s="1065">
        <v>2</v>
      </c>
    </row>
    <row r="7" spans="1:1" x14ac:dyDescent="0.2">
      <c r="A7" s="1065">
        <v>3</v>
      </c>
    </row>
    <row r="8" spans="1:1" x14ac:dyDescent="0.2">
      <c r="A8" s="1065">
        <v>4</v>
      </c>
    </row>
    <row r="9" spans="1:1" x14ac:dyDescent="0.2">
      <c r="A9" s="1066"/>
    </row>
    <row r="10" spans="1:1" x14ac:dyDescent="0.2">
      <c r="A10" s="1066"/>
    </row>
    <row r="11" spans="1:1" x14ac:dyDescent="0.2">
      <c r="A11" s="1066"/>
    </row>
    <row r="12" spans="1:1" x14ac:dyDescent="0.2">
      <c r="A12" s="1066"/>
    </row>
    <row r="13" spans="1:1" x14ac:dyDescent="0.2">
      <c r="A13" s="1066"/>
    </row>
    <row r="14" spans="1:1" x14ac:dyDescent="0.2">
      <c r="A14" s="1066"/>
    </row>
    <row r="15" spans="1:1" x14ac:dyDescent="0.2">
      <c r="A15" s="1066"/>
    </row>
    <row r="16" spans="1:1"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Tazewell Co Area EFE RDS</v>
      </c>
    </row>
    <row r="65" spans="2:2" x14ac:dyDescent="0.2">
      <c r="B65" s="1067">
        <f>COVER!A13</f>
        <v>53000000046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1" t="s">
        <v>1685</v>
      </c>
      <c r="B18" s="233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457200</xdr:colOff>
                <xdr:row>3</xdr:row>
                <xdr:rowOff>85725</xdr:rowOff>
              </from>
              <to>
                <xdr:col>1</xdr:col>
                <xdr:colOff>1371600</xdr:colOff>
                <xdr:row>7</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1690</v>
      </c>
      <c r="B1" s="2333"/>
      <c r="C1" s="2333"/>
      <c r="D1" s="2333"/>
      <c r="E1" s="2333"/>
      <c r="F1" s="2334"/>
    </row>
    <row r="2" spans="1:8" ht="45" customHeight="1" x14ac:dyDescent="0.2">
      <c r="A2" s="2342" t="s">
        <v>1987</v>
      </c>
      <c r="B2" s="2343"/>
      <c r="C2" s="2343"/>
      <c r="D2" s="2343"/>
      <c r="E2" s="2343"/>
      <c r="F2" s="2344"/>
      <c r="G2" s="1071"/>
      <c r="H2" s="1071"/>
    </row>
    <row r="3" spans="1:8" ht="57" customHeight="1" x14ac:dyDescent="0.2">
      <c r="A3" s="2345" t="s">
        <v>1686</v>
      </c>
      <c r="B3" s="2346"/>
      <c r="C3" s="2346"/>
      <c r="D3" s="2346"/>
      <c r="E3" s="2346"/>
      <c r="F3" s="2347"/>
      <c r="G3" s="1071"/>
      <c r="H3" s="1071"/>
    </row>
    <row r="4" spans="1:8" ht="14.25" customHeight="1" x14ac:dyDescent="0.2">
      <c r="A4" s="2351" t="s">
        <v>1988</v>
      </c>
      <c r="B4" s="2352"/>
      <c r="C4" s="2352"/>
      <c r="D4" s="2352"/>
      <c r="E4" s="2352"/>
      <c r="F4" s="2353"/>
      <c r="G4" s="1071"/>
      <c r="H4" s="1071"/>
    </row>
    <row r="5" spans="1:8" ht="14.25" customHeight="1" x14ac:dyDescent="0.2">
      <c r="A5" s="2354" t="s">
        <v>1984</v>
      </c>
      <c r="B5" s="2355"/>
      <c r="C5" s="2355"/>
      <c r="D5" s="2355"/>
      <c r="E5" s="2355"/>
      <c r="F5" s="2356"/>
      <c r="G5" s="1071"/>
      <c r="H5" s="1071"/>
    </row>
    <row r="6" spans="1:8" s="1072" customFormat="1" ht="41.25" customHeight="1" x14ac:dyDescent="0.2">
      <c r="A6" s="2348" t="s">
        <v>1691</v>
      </c>
      <c r="B6" s="2349"/>
      <c r="C6" s="2349"/>
      <c r="D6" s="2349"/>
      <c r="E6" s="2349"/>
      <c r="F6" s="2350"/>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909336</v>
      </c>
      <c r="C8" s="1812">
        <f>'Acct Summary 7-8'!D8</f>
        <v>0</v>
      </c>
      <c r="D8" s="1812">
        <f>'Acct Summary 7-8'!F8</f>
        <v>0</v>
      </c>
      <c r="E8" s="1812">
        <f>'Acct Summary 7-8'!I8</f>
        <v>0</v>
      </c>
      <c r="F8" s="1812">
        <f>SUM(B8:E8)</f>
        <v>909336</v>
      </c>
    </row>
    <row r="9" spans="1:8" s="1076" customFormat="1" ht="14.25" customHeight="1" thickBot="1" x14ac:dyDescent="0.25">
      <c r="A9" s="1075" t="s">
        <v>1369</v>
      </c>
      <c r="B9" s="1813">
        <f>'Acct Summary 7-8'!C17</f>
        <v>929528</v>
      </c>
      <c r="C9" s="1813">
        <f>'Acct Summary 7-8'!D17</f>
        <v>0</v>
      </c>
      <c r="D9" s="1813">
        <f>'Acct Summary 7-8'!F17</f>
        <v>0</v>
      </c>
      <c r="E9" s="1812"/>
      <c r="F9" s="1812">
        <f>SUM(B9:E9)</f>
        <v>929528</v>
      </c>
    </row>
    <row r="10" spans="1:8" s="1076" customFormat="1" ht="14.25" thickTop="1" thickBot="1" x14ac:dyDescent="0.25">
      <c r="A10" s="1077" t="s">
        <v>1370</v>
      </c>
      <c r="B10" s="1814">
        <f>(B8-B9)</f>
        <v>-20192</v>
      </c>
      <c r="C10" s="1814">
        <f>(C8-C9)</f>
        <v>0</v>
      </c>
      <c r="D10" s="1814">
        <f>(D8-D9)</f>
        <v>0</v>
      </c>
      <c r="E10" s="1813">
        <f>(E8-E9)</f>
        <v>0</v>
      </c>
      <c r="F10" s="1815">
        <f>SUM(F8-F9)</f>
        <v>-20192</v>
      </c>
    </row>
    <row r="11" spans="1:8" s="1076" customFormat="1" ht="14.25" thickTop="1" thickBot="1" x14ac:dyDescent="0.25">
      <c r="A11" s="1078" t="s">
        <v>1985</v>
      </c>
      <c r="B11" s="1816">
        <f>'Acct Summary 7-8'!C81</f>
        <v>194751</v>
      </c>
      <c r="C11" s="1816">
        <f>'Acct Summary 7-8'!D81</f>
        <v>0</v>
      </c>
      <c r="D11" s="1816">
        <f>'Acct Summary 7-8'!F81</f>
        <v>0</v>
      </c>
      <c r="E11" s="1816">
        <f>'Acct Summary 7-8'!I81</f>
        <v>0</v>
      </c>
      <c r="F11" s="1817">
        <f>SUM(B11:E11)</f>
        <v>194751</v>
      </c>
    </row>
    <row r="12" spans="1:8" ht="16.5" customHeight="1" thickTop="1" x14ac:dyDescent="0.2">
      <c r="A12" s="1079"/>
      <c r="B12" s="1080"/>
      <c r="C12" s="2336" t="str">
        <f>IF(AND(F10&lt;0,F11&gt;=0,ABS(F10*3)&gt;ABS(F11)),A16,IF(AND(F10&lt;0,F11&gt;0,ABS(F10*3)&lt;=ABS(F11)),A17,IF(AND(F10&lt;0,F11&lt;0),A16,IF(F11=0,A19,A18))))</f>
        <v>Unbalanced -  however, a deficit reduction plan is not required at this time.</v>
      </c>
      <c r="D12" s="2337"/>
      <c r="E12" s="2337"/>
      <c r="F12" s="2338"/>
    </row>
    <row r="13" spans="1:8" ht="19.5" customHeight="1" x14ac:dyDescent="0.2">
      <c r="A13" s="1081"/>
      <c r="B13" s="1082"/>
      <c r="C13" s="2336"/>
      <c r="D13" s="2337"/>
      <c r="E13" s="2337"/>
      <c r="F13" s="2338"/>
      <c r="H13" s="1071"/>
    </row>
    <row r="14" spans="1:8" ht="19.5" customHeight="1" x14ac:dyDescent="0.2">
      <c r="A14" s="1081"/>
      <c r="B14" s="1082"/>
      <c r="C14" s="2336"/>
      <c r="D14" s="2337"/>
      <c r="E14" s="2337"/>
      <c r="F14" s="2338"/>
      <c r="H14" s="1071"/>
    </row>
    <row r="15" spans="1:8" ht="17.25" customHeight="1" x14ac:dyDescent="0.2">
      <c r="A15" s="1081"/>
      <c r="B15" s="1082"/>
      <c r="C15" s="2339"/>
      <c r="D15" s="2340"/>
      <c r="E15" s="2340"/>
      <c r="F15" s="2341"/>
      <c r="H15" s="1071"/>
    </row>
    <row r="16" spans="1:8" s="310" customFormat="1" ht="51.75" hidden="1" customHeight="1" x14ac:dyDescent="0.2">
      <c r="A16" s="2335" t="s">
        <v>1687</v>
      </c>
      <c r="B16" s="2335"/>
      <c r="C16" s="2335"/>
      <c r="D16" s="2335"/>
      <c r="E16" s="2335"/>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7" t="s">
        <v>665</v>
      </c>
      <c r="B3" s="2358"/>
      <c r="C3" s="2358"/>
      <c r="D3" s="2359"/>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8" t="s">
        <v>1504</v>
      </c>
      <c r="D7" s="2369"/>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0" t="s">
        <v>1008</v>
      </c>
      <c r="B15" s="2361"/>
      <c r="C15" s="2361"/>
      <c r="D15" s="2362"/>
    </row>
    <row r="16" spans="1:4" s="665" customFormat="1" ht="24" customHeight="1" x14ac:dyDescent="0.2">
      <c r="A16" s="2363" t="s">
        <v>663</v>
      </c>
      <c r="B16" s="2364"/>
      <c r="C16" s="2364"/>
      <c r="D16" s="2365"/>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2" t="s">
        <v>314</v>
      </c>
      <c r="D21" s="2373"/>
    </row>
    <row r="22" spans="1:10" ht="12.75" x14ac:dyDescent="0.2">
      <c r="A22" s="1136"/>
      <c r="B22" s="1137">
        <v>2</v>
      </c>
      <c r="C22" s="2370" t="s">
        <v>1524</v>
      </c>
      <c r="D22" s="2371"/>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4" t="s">
        <v>536</v>
      </c>
      <c r="D43" s="2375"/>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6" t="s">
        <v>784</v>
      </c>
      <c r="D56" s="2367"/>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6" t="s">
        <v>1696</v>
      </c>
      <c r="D70" s="2367"/>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53000000046</v>
      </c>
    </row>
    <row r="3" spans="1:2" x14ac:dyDescent="0.2">
      <c r="A3" t="s">
        <v>956</v>
      </c>
      <c r="B3" s="138" t="str">
        <f>COVER!A15</f>
        <v>Tazewell</v>
      </c>
    </row>
    <row r="4" spans="1:2" x14ac:dyDescent="0.2">
      <c r="A4" t="s">
        <v>1007</v>
      </c>
      <c r="B4" s="138" t="str">
        <f>COVER!A17</f>
        <v>Tazewell Co Area EFE RDS</v>
      </c>
    </row>
    <row r="5" spans="1:2" x14ac:dyDescent="0.2">
      <c r="A5" t="s">
        <v>704</v>
      </c>
      <c r="B5" s="138" t="str">
        <f>COVER!A38</f>
        <v>Jill Warren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f>IF(COVER!J31="x","Yes",IF(COVER!L31="x","No",0))</f>
        <v>0</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194751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152691</v>
      </c>
      <c r="D92" s="2" t="str">
        <f t="shared" si="0"/>
        <v>Error?</v>
      </c>
    </row>
    <row r="93" spans="1:4" x14ac:dyDescent="0.2">
      <c r="A93" s="5">
        <v>32</v>
      </c>
      <c r="B93" s="138">
        <f>'Assets-Liab 5-6'!C41</f>
        <v>194751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957180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957180</v>
      </c>
      <c r="C279" s="2" t="s">
        <v>573</v>
      </c>
      <c r="D279" s="2" t="str">
        <f t="shared" si="3"/>
        <v>Error?</v>
      </c>
    </row>
    <row r="280" spans="1:4" x14ac:dyDescent="0.2">
      <c r="A280" s="5">
        <v>219</v>
      </c>
      <c r="B280" s="138">
        <f>'Assets-Liab 5-6'!M40</f>
        <v>957180</v>
      </c>
      <c r="D280" s="2" t="str">
        <f t="shared" si="3"/>
        <v>Error?</v>
      </c>
    </row>
    <row r="281" spans="1:4" x14ac:dyDescent="0.2">
      <c r="A281" s="5">
        <v>220</v>
      </c>
      <c r="B281" s="138">
        <f>'Assets-Liab 5-6'!M41</f>
        <v>957180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53556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53556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49253</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102809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102809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12771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12771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5987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18758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18758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8431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2694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2694</v>
      </c>
      <c r="C843" s="2" t="s">
        <v>573</v>
      </c>
      <c r="D843" s="2" t="str">
        <f t="shared" si="12"/>
        <v>Error?</v>
      </c>
    </row>
    <row r="844" spans="1:4" x14ac:dyDescent="0.2">
      <c r="A844" s="5">
        <v>783</v>
      </c>
      <c r="B844" s="138">
        <f>'Expenditures 15-22'!E44</f>
        <v>7789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7789</v>
      </c>
      <c r="C847" s="2" t="s">
        <v>573</v>
      </c>
      <c r="D847" s="2" t="str">
        <f t="shared" si="12"/>
        <v>Error?</v>
      </c>
    </row>
    <row r="848" spans="1:4" x14ac:dyDescent="0.2">
      <c r="A848" s="5">
        <v>787</v>
      </c>
      <c r="B848" s="138">
        <f>'Expenditures 15-22'!E49</f>
        <v>2521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27181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37664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63975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147239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147239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9560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9560</v>
      </c>
      <c r="C901" s="2" t="s">
        <v>573</v>
      </c>
      <c r="D901" s="2" t="str">
        <f t="shared" si="13"/>
        <v>Error?</v>
      </c>
    </row>
    <row r="902" spans="1:4" x14ac:dyDescent="0.2">
      <c r="A902" s="5">
        <v>841</v>
      </c>
      <c r="B902" s="138">
        <f>'Expenditures 15-22'!F44</f>
        <v>543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543</v>
      </c>
      <c r="C905" s="2" t="s">
        <v>573</v>
      </c>
      <c r="D905" s="2" t="str">
        <f t="shared" si="13"/>
        <v>Error?</v>
      </c>
    </row>
    <row r="906" spans="1:4" x14ac:dyDescent="0.2">
      <c r="A906" s="5">
        <v>845</v>
      </c>
      <c r="B906" s="138">
        <f>'Expenditures 15-22'!F49</f>
        <v>99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1750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11853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159092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117423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117423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117423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467471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467471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273093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273093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12254</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12254</v>
      </c>
      <c r="C1115" s="2" t="s">
        <v>573</v>
      </c>
      <c r="D1115" s="2" t="str">
        <f t="shared" si="16"/>
        <v>Error?</v>
      </c>
    </row>
    <row r="1116" spans="1:4" x14ac:dyDescent="0.2">
      <c r="A1116" s="5">
        <v>1055</v>
      </c>
      <c r="B1116" s="138">
        <f>'Expenditures 15-22'!K44</f>
        <v>74659</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74659</v>
      </c>
      <c r="C1119" s="2" t="s">
        <v>573</v>
      </c>
      <c r="D1119" s="2" t="str">
        <f t="shared" si="16"/>
        <v>Error?</v>
      </c>
    </row>
    <row r="1120" spans="1:4" x14ac:dyDescent="0.2">
      <c r="A1120" s="5">
        <v>1059</v>
      </c>
      <c r="B1120" s="138">
        <f>'Expenditures 15-22'!K49</f>
        <v>2620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84171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171084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485351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929528</v>
      </c>
      <c r="C1152" s="2" t="s">
        <v>573</v>
      </c>
      <c r="D1152" s="2" t="str">
        <f t="shared" si="17"/>
        <v>Error?</v>
      </c>
    </row>
    <row r="1153" spans="1:4" x14ac:dyDescent="0.2">
      <c r="A1153" s="5">
        <v>1092</v>
      </c>
      <c r="B1153" s="138">
        <f>'Expenditures 15-22'!K115</f>
        <v>-20192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214943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194751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838343</v>
      </c>
      <c r="D2011" s="2" t="str">
        <f t="shared" si="30"/>
        <v>Error?</v>
      </c>
    </row>
    <row r="2012" spans="1:4" x14ac:dyDescent="0.2">
      <c r="A2012" s="5">
        <v>1951</v>
      </c>
      <c r="B2012" s="138">
        <f>'Cap Outlay Deprec 26'!C13</f>
        <v>1414</v>
      </c>
      <c r="D2012" s="2" t="str">
        <f t="shared" si="30"/>
        <v>Error?</v>
      </c>
    </row>
    <row r="2013" spans="1:4" x14ac:dyDescent="0.2">
      <c r="A2013" s="5">
        <v>1952</v>
      </c>
      <c r="B2013" s="138">
        <f>'Cap Outlay Deprec 26'!C16</f>
        <v>839757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117423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117423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955766</v>
      </c>
      <c r="C2029" s="2" t="s">
        <v>573</v>
      </c>
      <c r="D2029" s="2" t="str">
        <f t="shared" si="30"/>
        <v>Error?</v>
      </c>
    </row>
    <row r="2030" spans="1:4" x14ac:dyDescent="0.2">
      <c r="A2030" s="5">
        <v>1969</v>
      </c>
      <c r="B2030" s="138">
        <f>'Cap Outlay Deprec 26'!F13</f>
        <v>1414</v>
      </c>
      <c r="C2030" s="2" t="s">
        <v>573</v>
      </c>
      <c r="D2030" s="2" t="str">
        <f t="shared" si="30"/>
        <v>Error?</v>
      </c>
    </row>
    <row r="2031" spans="1:4" x14ac:dyDescent="0.2">
      <c r="A2031" s="5">
        <v>1970</v>
      </c>
      <c r="B2031" s="138">
        <f>'Cap Outlay Deprec 26'!F16</f>
        <v>957180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287605</v>
      </c>
      <c r="D2035" s="2" t="str">
        <f t="shared" si="30"/>
        <v>Error?</v>
      </c>
    </row>
    <row r="2036" spans="1:4" x14ac:dyDescent="0.2">
      <c r="A2036" s="5">
        <v>1975</v>
      </c>
      <c r="B2036" s="138">
        <f>'Cap Outlay Deprec 26'!H13</f>
        <v>1414</v>
      </c>
      <c r="D2036" s="2" t="str">
        <f t="shared" si="30"/>
        <v>Error?</v>
      </c>
    </row>
    <row r="2037" spans="1:4" x14ac:dyDescent="0.2">
      <c r="A2037" s="5">
        <v>1976</v>
      </c>
      <c r="B2037" s="138">
        <f>'Cap Outlay Deprec 26'!H16</f>
        <v>289019</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95577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95577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383182</v>
      </c>
      <c r="C2053" s="2" t="s">
        <v>573</v>
      </c>
      <c r="D2053" s="2" t="str">
        <f t="shared" si="31"/>
        <v>Error?</v>
      </c>
    </row>
    <row r="2054" spans="1:4" x14ac:dyDescent="0.2">
      <c r="A2054" s="5">
        <v>1993</v>
      </c>
      <c r="B2054" s="138">
        <f>'Cap Outlay Deprec 26'!K13</f>
        <v>1414</v>
      </c>
      <c r="C2054" s="2" t="s">
        <v>573</v>
      </c>
      <c r="D2054" s="2" t="str">
        <f t="shared" si="31"/>
        <v>Error?</v>
      </c>
    </row>
    <row r="2055" spans="1:4" x14ac:dyDescent="0.2">
      <c r="A2055" s="5">
        <v>1994</v>
      </c>
      <c r="B2055" s="138">
        <f>'Cap Outlay Deprec 26'!K16</f>
        <v>384596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572584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572584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467471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485351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42060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129</v>
      </c>
      <c r="C2551" s="2" t="s">
        <v>573</v>
      </c>
      <c r="D2551" s="2" t="str">
        <f t="shared" si="38"/>
        <v>Error?</v>
      </c>
    </row>
    <row r="2552" spans="1:4" x14ac:dyDescent="0.2">
      <c r="A2552" s="10">
        <v>2491</v>
      </c>
      <c r="D2552" s="2" t="str">
        <f t="shared" si="38"/>
        <v>OK</v>
      </c>
    </row>
    <row r="2553" spans="1:4" x14ac:dyDescent="0.2">
      <c r="A2553" s="5">
        <v>2492</v>
      </c>
      <c r="B2553" s="138">
        <f>'Acct Summary 7-8'!C6</f>
        <v>212891</v>
      </c>
      <c r="C2553" s="2" t="s">
        <v>573</v>
      </c>
      <c r="D2553" s="2" t="str">
        <f t="shared" si="38"/>
        <v>Error?</v>
      </c>
    </row>
    <row r="2554" spans="1:4" x14ac:dyDescent="0.2">
      <c r="A2554" s="5">
        <v>2493</v>
      </c>
      <c r="B2554" s="138">
        <f>'Acct Summary 7-8'!C7</f>
        <v>228845</v>
      </c>
      <c r="C2554" s="2" t="s">
        <v>573</v>
      </c>
      <c r="D2554" s="2" t="str">
        <f t="shared" si="38"/>
        <v>Error?</v>
      </c>
    </row>
    <row r="2555" spans="1:4" x14ac:dyDescent="0.2">
      <c r="A2555" s="5">
        <v>2494</v>
      </c>
      <c r="B2555" s="138">
        <f>'Acct Summary 7-8'!C8</f>
        <v>909336</v>
      </c>
      <c r="C2555" s="2" t="s">
        <v>573</v>
      </c>
      <c r="D2555" s="2" t="str">
        <f t="shared" si="38"/>
        <v>Error?</v>
      </c>
    </row>
    <row r="2556" spans="1:4" x14ac:dyDescent="0.2">
      <c r="A2556" s="5">
        <v>2495</v>
      </c>
      <c r="B2556" s="138">
        <f>'Acct Summary 7-8'!C12</f>
        <v>273093</v>
      </c>
      <c r="C2556" s="2" t="s">
        <v>573</v>
      </c>
      <c r="D2556" s="2" t="str">
        <f t="shared" si="38"/>
        <v>Error?</v>
      </c>
    </row>
    <row r="2557" spans="1:4" x14ac:dyDescent="0.2">
      <c r="A2557" s="5">
        <v>2496</v>
      </c>
      <c r="B2557" s="138">
        <f>'Acct Summary 7-8'!C13</f>
        <v>171084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485351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929528</v>
      </c>
      <c r="C2561" s="2" t="s">
        <v>573</v>
      </c>
      <c r="D2561" s="2" t="str">
        <f t="shared" si="39"/>
        <v>Error?</v>
      </c>
    </row>
    <row r="2562" spans="1:4" x14ac:dyDescent="0.2">
      <c r="A2562" s="5">
        <v>2501</v>
      </c>
      <c r="B2562" s="138">
        <f>'Acct Summary 7-8'!C20</f>
        <v>-20192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49253</v>
      </c>
      <c r="D2718" s="2" t="str">
        <f t="shared" si="41"/>
        <v>Error?</v>
      </c>
    </row>
    <row r="2719" spans="1:4" x14ac:dyDescent="0.2">
      <c r="A2719" s="5">
        <v>2658</v>
      </c>
      <c r="B2719" s="138">
        <f>'Expenditures 15-22'!D51</f>
        <v>5987</v>
      </c>
      <c r="D2719" s="2" t="str">
        <f t="shared" si="41"/>
        <v>Error?</v>
      </c>
    </row>
    <row r="2720" spans="1:4" x14ac:dyDescent="0.2">
      <c r="A2720" s="5">
        <v>2659</v>
      </c>
      <c r="B2720" s="138">
        <f>'Expenditures 15-22'!E51</f>
        <v>24660</v>
      </c>
      <c r="D2720" s="2" t="str">
        <f t="shared" si="41"/>
        <v>Error?</v>
      </c>
    </row>
    <row r="2721" spans="1:4" x14ac:dyDescent="0.2">
      <c r="A2721" s="5">
        <v>2660</v>
      </c>
      <c r="B2721" s="138">
        <f>'Expenditures 15-22'!F51</f>
        <v>1651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81551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17880</v>
      </c>
      <c r="C2789" s="2" t="s">
        <v>573</v>
      </c>
      <c r="D2789" s="2" t="str">
        <f t="shared" si="42"/>
        <v>Error?</v>
      </c>
    </row>
    <row r="2790" spans="1:4" x14ac:dyDescent="0.2">
      <c r="A2790" s="5">
        <v>2729</v>
      </c>
      <c r="B2790" s="138">
        <f>'Expenditures 15-22'!E102</f>
        <v>17880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17380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467471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17380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467971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-20192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467471</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194751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909336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929528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194751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129</v>
      </c>
      <c r="C5121" s="2" t="s">
        <v>573</v>
      </c>
      <c r="D5121" s="2" t="str">
        <f t="shared" si="79"/>
        <v>Error?</v>
      </c>
    </row>
    <row r="5122" spans="1:4" x14ac:dyDescent="0.2">
      <c r="A5122" s="5">
        <v>5061</v>
      </c>
      <c r="B5122" s="138">
        <f>'Revenues 9-14'!C111</f>
        <v>467471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467471</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212891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212891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212891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212891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228845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228845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228845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228845</v>
      </c>
      <c r="C5326" s="2" t="s">
        <v>573</v>
      </c>
      <c r="D5326" s="2" t="str">
        <f t="shared" si="82"/>
        <v>Error?</v>
      </c>
    </row>
    <row r="5327" spans="1:5" x14ac:dyDescent="0.2">
      <c r="A5327" s="5">
        <v>5266</v>
      </c>
      <c r="B5327" s="138">
        <f>'Revenues 9-14'!C268</f>
        <v>909336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-20192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-0.10368111075167778</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95577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14810</v>
      </c>
      <c r="D7797" s="2" t="str">
        <f t="shared" si="127"/>
        <v>Error?</v>
      </c>
      <c r="E7797" s="4" t="s">
        <v>1904</v>
      </c>
    </row>
    <row r="7798" spans="1:5" x14ac:dyDescent="0.2">
      <c r="A7798">
        <v>7737</v>
      </c>
      <c r="B7798" s="138">
        <f>'Contracts Paid in CY 29'!F141</f>
        <v>14810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7" t="s">
        <v>1190</v>
      </c>
      <c r="B3" s="2407"/>
      <c r="C3" s="2407"/>
      <c r="D3" s="2407"/>
      <c r="E3" s="2407"/>
      <c r="F3" s="2407"/>
      <c r="G3" s="2407"/>
      <c r="H3" s="2407"/>
      <c r="I3" s="2407"/>
      <c r="J3" s="2407"/>
      <c r="K3" s="2407"/>
      <c r="L3" s="2407"/>
    </row>
    <row r="4" spans="1:29" ht="13.5" customHeight="1" x14ac:dyDescent="0.2">
      <c r="A4" s="2376" t="s">
        <v>1989</v>
      </c>
      <c r="B4" s="2397"/>
      <c r="C4" s="2397"/>
      <c r="D4" s="2397"/>
      <c r="E4" s="2397"/>
      <c r="F4" s="2397"/>
      <c r="G4" s="2397"/>
      <c r="H4" s="2397"/>
      <c r="I4" s="2397"/>
      <c r="J4" s="2397"/>
      <c r="K4" s="2397"/>
      <c r="L4" s="239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8" t="str">
        <f>COVER!A17</f>
        <v>Tazewell Co Area EFE RDS</v>
      </c>
      <c r="B7" s="2399"/>
      <c r="C7" s="2399"/>
      <c r="D7" s="2400"/>
      <c r="E7" s="2401">
        <f>COVER!A13</f>
        <v>53000000046</v>
      </c>
      <c r="F7" s="2402"/>
      <c r="G7" s="2408" t="str">
        <f>COVER!T23</f>
        <v>066-005027</v>
      </c>
      <c r="H7" s="2409"/>
      <c r="I7" s="2409"/>
      <c r="J7" s="2409"/>
      <c r="K7" s="2409"/>
      <c r="L7" s="241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1"/>
      <c r="B9" s="2412"/>
      <c r="C9" s="2412"/>
      <c r="D9" s="2412"/>
      <c r="E9" s="2412"/>
      <c r="F9" s="2413"/>
      <c r="G9" s="2382" t="str">
        <f>COVER!T13</f>
        <v>Gorenz and Associates, Ltd.</v>
      </c>
      <c r="H9" s="2414"/>
      <c r="I9" s="2414"/>
      <c r="J9" s="2414"/>
      <c r="K9" s="2414"/>
      <c r="L9" s="2415"/>
    </row>
    <row r="10" spans="1:29" ht="13.5" customHeight="1" x14ac:dyDescent="0.2">
      <c r="A10" s="2388" t="str">
        <f>COVER!A38</f>
        <v>Jill Warren</v>
      </c>
      <c r="B10" s="2389"/>
      <c r="C10" s="2389"/>
      <c r="D10" s="2389"/>
      <c r="E10" s="2389"/>
      <c r="F10" s="2390"/>
      <c r="G10" s="2382" t="str">
        <f>COVER!T17</f>
        <v>4200 N Knoxville Ave</v>
      </c>
      <c r="H10" s="2383"/>
      <c r="I10" s="2383"/>
      <c r="J10" s="2383"/>
      <c r="K10" s="2383"/>
      <c r="L10" s="2384"/>
    </row>
    <row r="11" spans="1:29" ht="13.5" customHeight="1" x14ac:dyDescent="0.2">
      <c r="A11" s="1181" t="s">
        <v>1519</v>
      </c>
      <c r="B11" s="1182"/>
      <c r="C11" s="1183"/>
      <c r="D11" s="1188"/>
      <c r="E11" s="1183"/>
      <c r="F11" s="1187"/>
      <c r="G11" s="2382" t="str">
        <f>COVER!T19</f>
        <v>Peoria</v>
      </c>
      <c r="H11" s="2383"/>
      <c r="I11" s="2383"/>
      <c r="J11" s="2383"/>
      <c r="K11" s="2383"/>
      <c r="L11" s="2384"/>
    </row>
    <row r="12" spans="1:29" ht="13.5" customHeight="1" x14ac:dyDescent="0.2">
      <c r="A12" s="2391" t="s">
        <v>1518</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1520</v>
      </c>
      <c r="H13" s="2378"/>
      <c r="I13" s="2394" t="str">
        <f>COVER!T25</f>
        <v>tpeffer@gorenzcpa.com</v>
      </c>
      <c r="J13" s="2395"/>
      <c r="K13" s="2395"/>
      <c r="L13" s="2396"/>
    </row>
    <row r="14" spans="1:29" ht="13.5" customHeight="1" x14ac:dyDescent="0.2">
      <c r="A14" s="2382" t="str">
        <f>COVER!A19</f>
        <v>200 S. Second Street, Suite 12</v>
      </c>
      <c r="B14" s="2383"/>
      <c r="C14" s="2383"/>
      <c r="D14" s="2383"/>
      <c r="E14" s="2383"/>
      <c r="F14" s="2384"/>
      <c r="G14" s="1192" t="s">
        <v>1185</v>
      </c>
      <c r="H14" s="1190"/>
      <c r="I14" s="1190"/>
      <c r="J14" s="1190"/>
      <c r="K14" s="1190"/>
      <c r="L14" s="1191"/>
    </row>
    <row r="15" spans="1:29" ht="13.5" customHeight="1" x14ac:dyDescent="0.2">
      <c r="A15" s="2382" t="str">
        <f>COVER!A21</f>
        <v>Pekin</v>
      </c>
      <c r="B15" s="2383"/>
      <c r="C15" s="2383"/>
      <c r="D15" s="2383"/>
      <c r="E15" s="2383"/>
      <c r="F15" s="2384"/>
      <c r="G15" s="2379" t="str">
        <f>COVER!T15</f>
        <v>Thomas R. Peffer, CPA</v>
      </c>
      <c r="H15" s="2380"/>
      <c r="I15" s="2380"/>
      <c r="J15" s="2380"/>
      <c r="K15" s="2380"/>
      <c r="L15" s="2381"/>
    </row>
    <row r="16" spans="1:29" ht="12.2" customHeight="1" x14ac:dyDescent="0.2">
      <c r="A16" s="2404">
        <f>COVER!A25</f>
        <v>61554</v>
      </c>
      <c r="B16" s="2405"/>
      <c r="C16" s="2405"/>
      <c r="D16" s="2405"/>
      <c r="E16" s="2405"/>
      <c r="F16" s="2406"/>
      <c r="G16" s="2416"/>
      <c r="H16" s="2417"/>
      <c r="I16" s="2417"/>
      <c r="J16" s="2417"/>
      <c r="K16" s="2417"/>
      <c r="L16" s="2418"/>
    </row>
    <row r="17" spans="1:13" ht="12.2" customHeight="1" x14ac:dyDescent="0.2">
      <c r="A17" s="2419"/>
      <c r="B17" s="2405"/>
      <c r="C17" s="2405"/>
      <c r="D17" s="2405"/>
      <c r="E17" s="2405"/>
      <c r="F17" s="2406"/>
      <c r="G17" s="1192" t="s">
        <v>1184</v>
      </c>
      <c r="H17" s="1190"/>
      <c r="I17" s="1190"/>
      <c r="J17" s="1190"/>
      <c r="K17" s="1194" t="s">
        <v>1183</v>
      </c>
      <c r="L17" s="1187"/>
      <c r="M17" s="1180"/>
    </row>
    <row r="18" spans="1:13" ht="12.2" customHeight="1" x14ac:dyDescent="0.2">
      <c r="A18" s="2388"/>
      <c r="B18" s="2389"/>
      <c r="C18" s="2389"/>
      <c r="D18" s="2389"/>
      <c r="E18" s="2389"/>
      <c r="F18" s="2390"/>
      <c r="G18" s="2398" t="str">
        <f>COVER!T21</f>
        <v>309-685-7621</v>
      </c>
      <c r="H18" s="2399"/>
      <c r="I18" s="2399"/>
      <c r="J18" s="2399"/>
      <c r="K18" s="2398" t="str">
        <f>COVER!X21</f>
        <v>309-685-4758</v>
      </c>
      <c r="L18" s="240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0" t="str">
        <f>'Single Audit Cover'!A7</f>
        <v>Tazewell Co Area EFE RDS</v>
      </c>
      <c r="B1" s="2397"/>
      <c r="C1" s="2397"/>
      <c r="D1" s="2397"/>
    </row>
    <row r="2" spans="1:11" s="1209" customFormat="1" ht="12.75" x14ac:dyDescent="0.2">
      <c r="A2" s="2421">
        <f>'Single Audit Cover'!E7</f>
        <v>53000000046</v>
      </c>
      <c r="B2" s="2422"/>
      <c r="C2" s="2422"/>
      <c r="D2" s="2422"/>
    </row>
    <row r="3" spans="1:11" s="1209" customFormat="1" ht="12.75" x14ac:dyDescent="0.2">
      <c r="A3" s="2420" t="s">
        <v>1513</v>
      </c>
      <c r="B3" s="2397"/>
      <c r="C3" s="2397"/>
      <c r="D3" s="239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4" t="str">
        <f>'Single Audit Cover'!A7</f>
        <v>Tazewell Co Area EFE RDS</v>
      </c>
      <c r="B1" s="2424"/>
      <c r="C1" s="2424"/>
      <c r="D1" s="2424"/>
      <c r="E1" s="2424"/>
    </row>
    <row r="2" spans="1:5" x14ac:dyDescent="0.2">
      <c r="A2" s="2425">
        <f>'Single Audit Cover'!E7</f>
        <v>53000000046</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54" t="s">
        <v>1243</v>
      </c>
    </row>
    <row r="10" spans="1:5" x14ac:dyDescent="0.2">
      <c r="A10" s="1255" t="s">
        <v>1242</v>
      </c>
      <c r="B10" s="1256" t="s">
        <v>1241</v>
      </c>
      <c r="C10" s="1256"/>
      <c r="D10" s="1257">
        <f>SUM('Acct Summary 7-8'!C7:K7)</f>
        <v>228845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228845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6"/>
      <c r="B24" s="2426"/>
      <c r="D24" s="1262"/>
    </row>
    <row r="25" spans="1:4" x14ac:dyDescent="0.2">
      <c r="A25" s="2423"/>
      <c r="B25" s="2423"/>
      <c r="D25" s="1262"/>
    </row>
    <row r="26" spans="1:4" x14ac:dyDescent="0.2">
      <c r="A26" s="2423"/>
      <c r="B26" s="2423"/>
      <c r="D26" s="1262"/>
    </row>
    <row r="27" spans="1:4" x14ac:dyDescent="0.2">
      <c r="A27" s="2423"/>
      <c r="B27" s="2423"/>
      <c r="D27" s="1262"/>
    </row>
    <row r="28" spans="1:4" x14ac:dyDescent="0.2">
      <c r="A28" s="2423"/>
      <c r="B28" s="2423"/>
      <c r="D28" s="1262"/>
    </row>
    <row r="29" spans="1:4" x14ac:dyDescent="0.2">
      <c r="A29" s="2423"/>
      <c r="B29" s="2423"/>
      <c r="D29" s="1262"/>
    </row>
    <row r="30" spans="1:4" x14ac:dyDescent="0.2">
      <c r="A30" s="2423"/>
      <c r="B30" s="2423"/>
      <c r="D30" s="1262"/>
    </row>
    <row r="32" spans="1:4" x14ac:dyDescent="0.2">
      <c r="A32" s="1254" t="s">
        <v>1233</v>
      </c>
      <c r="D32" s="1257">
        <f>SUM(D19:D30)</f>
        <v>228845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3"/>
      <c r="B40" s="2423"/>
      <c r="D40" s="1262"/>
    </row>
    <row r="41" spans="1:4" x14ac:dyDescent="0.2">
      <c r="A41" s="2423"/>
      <c r="B41" s="2423"/>
      <c r="D41" s="1265"/>
    </row>
    <row r="42" spans="1:4" x14ac:dyDescent="0.2">
      <c r="A42" s="2423"/>
      <c r="B42" s="2423"/>
      <c r="D42" s="1265"/>
    </row>
    <row r="43" spans="1:4" x14ac:dyDescent="0.2">
      <c r="A43" s="2423"/>
      <c r="B43" s="2423"/>
      <c r="D43" s="1265"/>
    </row>
    <row r="44" spans="1:4" x14ac:dyDescent="0.2">
      <c r="A44" s="2423"/>
      <c r="B44" s="2423"/>
      <c r="D44" s="1265"/>
    </row>
    <row r="45" spans="1:4" x14ac:dyDescent="0.2">
      <c r="A45" s="2423"/>
      <c r="B45" s="2423"/>
      <c r="D45" s="1265"/>
    </row>
    <row r="47" spans="1:4" x14ac:dyDescent="0.2">
      <c r="B47" s="1266" t="s">
        <v>1227</v>
      </c>
      <c r="C47" s="1266"/>
      <c r="D47" s="1267">
        <f>SUM(D35:D45)</f>
        <v>0</v>
      </c>
    </row>
    <row r="49" spans="2:4" x14ac:dyDescent="0.2">
      <c r="B49" s="1266" t="s">
        <v>1226</v>
      </c>
      <c r="C49" s="1266"/>
      <c r="D49" s="1267">
        <f>D32-D47</f>
        <v>228845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7" t="str">
        <f>'Single Audit Cover'!A7</f>
        <v>Tazewell Co Area EFE RDS</v>
      </c>
      <c r="C1" s="2428"/>
      <c r="D1" s="2428"/>
      <c r="E1" s="2428"/>
      <c r="F1" s="2428"/>
      <c r="G1" s="2428"/>
      <c r="H1" s="2428"/>
      <c r="I1" s="2428"/>
      <c r="J1" s="2428"/>
      <c r="K1" s="2428"/>
      <c r="L1" s="2428"/>
      <c r="M1" s="2428"/>
    </row>
    <row r="2" spans="2:14" ht="15" x14ac:dyDescent="0.2">
      <c r="B2" s="2429">
        <f>'Single Audit Cover'!E7</f>
        <v>53000000046</v>
      </c>
      <c r="C2" s="2429"/>
      <c r="D2" s="2429"/>
      <c r="E2" s="2429"/>
      <c r="F2" s="2429"/>
      <c r="G2" s="2429"/>
      <c r="H2" s="2429"/>
      <c r="I2" s="2429"/>
      <c r="J2" s="2429"/>
      <c r="K2" s="2429"/>
      <c r="L2" s="2429"/>
      <c r="M2" s="2429"/>
      <c r="N2" s="1296"/>
    </row>
    <row r="3" spans="2:14" ht="15" x14ac:dyDescent="0.2">
      <c r="B3" s="2430" t="s">
        <v>1219</v>
      </c>
      <c r="C3" s="2430"/>
      <c r="D3" s="2430"/>
      <c r="E3" s="2430"/>
      <c r="F3" s="2430"/>
      <c r="G3" s="2430"/>
      <c r="H3" s="2430"/>
      <c r="I3" s="2430"/>
      <c r="J3" s="2430"/>
      <c r="K3" s="2430"/>
      <c r="L3" s="2430"/>
      <c r="M3" s="2430"/>
      <c r="N3" s="1296"/>
    </row>
    <row r="4" spans="2:14" ht="15" x14ac:dyDescent="0.2">
      <c r="B4" s="2431" t="str">
        <f>'Single Audit Cover'!A4</f>
        <v>Year Ending June 30, 2019</v>
      </c>
      <c r="C4" s="2431"/>
      <c r="D4" s="2431"/>
      <c r="E4" s="2431"/>
      <c r="F4" s="2431"/>
      <c r="G4" s="2431"/>
      <c r="H4" s="2431"/>
      <c r="I4" s="2431"/>
      <c r="J4" s="2431"/>
      <c r="K4" s="2431"/>
      <c r="L4" s="2431"/>
      <c r="M4" s="2431"/>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Tazewell Co Area EFE RDS</v>
      </c>
      <c r="B1" s="2441"/>
      <c r="C1" s="2441"/>
      <c r="D1" s="2441"/>
      <c r="E1" s="2441"/>
      <c r="F1" s="2441"/>
    </row>
    <row r="2" spans="1:7" ht="13.5" customHeight="1" x14ac:dyDescent="0.2">
      <c r="A2" s="2429">
        <f>'Single Audit Cover'!E7</f>
        <v>53000000046</v>
      </c>
      <c r="B2" s="2429"/>
      <c r="C2" s="2429"/>
      <c r="D2" s="2429"/>
      <c r="E2" s="2429"/>
      <c r="F2" s="2429"/>
      <c r="G2" s="1269"/>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0" t="s">
        <v>1728</v>
      </c>
      <c r="C6" s="317"/>
      <c r="D6" s="317"/>
    </row>
    <row r="7" spans="1:7" ht="60.95" customHeight="1" x14ac:dyDescent="0.2">
      <c r="A7" s="2440" t="s">
        <v>1729</v>
      </c>
      <c r="B7" s="2440"/>
      <c r="C7" s="2440"/>
      <c r="D7" s="2440"/>
      <c r="E7" s="2440"/>
      <c r="F7" s="2440"/>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0" t="s">
        <v>1731</v>
      </c>
      <c r="B13" s="2440"/>
      <c r="C13" s="2440"/>
      <c r="D13" s="2440"/>
      <c r="E13" s="2440"/>
      <c r="F13" s="2440"/>
    </row>
    <row r="14" spans="1:7" ht="9.75" customHeight="1" x14ac:dyDescent="0.2">
      <c r="C14" s="1254"/>
      <c r="D14" s="1254"/>
    </row>
    <row r="15" spans="1:7" ht="13.5" customHeight="1" x14ac:dyDescent="0.2">
      <c r="C15" s="1843" t="s">
        <v>1270</v>
      </c>
      <c r="D15" s="2438" t="s">
        <v>1269</v>
      </c>
      <c r="E15" s="2438"/>
      <c r="F15" s="2438"/>
    </row>
    <row r="16" spans="1:7" ht="13.5" customHeight="1" x14ac:dyDescent="0.2">
      <c r="A16" s="1276"/>
      <c r="B16" s="1270" t="s">
        <v>1268</v>
      </c>
      <c r="C16" s="1843" t="s">
        <v>1267</v>
      </c>
      <c r="D16" s="2439" t="s">
        <v>1588</v>
      </c>
      <c r="E16" s="2439"/>
      <c r="F16" s="2439"/>
    </row>
    <row r="17" spans="1:6" ht="20.45" customHeight="1" x14ac:dyDescent="0.2">
      <c r="A17" s="1277"/>
      <c r="B17" s="1278"/>
      <c r="C17" s="1279"/>
      <c r="D17" s="2433"/>
      <c r="E17" s="2433"/>
      <c r="F17" s="2433"/>
    </row>
    <row r="18" spans="1:6" ht="20.65" customHeight="1" x14ac:dyDescent="0.2">
      <c r="A18" s="1277"/>
      <c r="B18" s="1278"/>
      <c r="C18" s="1279"/>
      <c r="D18" s="2433"/>
      <c r="E18" s="2433"/>
      <c r="F18" s="2433"/>
    </row>
    <row r="19" spans="1:6" ht="20.65" customHeight="1" x14ac:dyDescent="0.2">
      <c r="A19" s="1277"/>
      <c r="B19" s="1278"/>
      <c r="C19" s="1279"/>
      <c r="D19" s="2433"/>
      <c r="E19" s="2433"/>
      <c r="F19" s="2433"/>
    </row>
    <row r="20" spans="1:6" ht="20.65" customHeight="1" x14ac:dyDescent="0.2">
      <c r="A20" s="1277"/>
      <c r="B20" s="1278"/>
      <c r="C20" s="1279"/>
      <c r="D20" s="2433"/>
      <c r="E20" s="2433"/>
      <c r="F20" s="2433"/>
    </row>
    <row r="21" spans="1:6" ht="20.65" customHeight="1" x14ac:dyDescent="0.2">
      <c r="A21" s="1277"/>
      <c r="B21" s="1278"/>
      <c r="C21" s="1279"/>
      <c r="D21" s="2433"/>
      <c r="E21" s="2433"/>
      <c r="F21" s="2433"/>
    </row>
    <row r="22" spans="1:6" ht="20.65" customHeight="1" x14ac:dyDescent="0.2">
      <c r="A22" s="1277"/>
      <c r="B22" s="1278"/>
      <c r="C22" s="1279"/>
      <c r="D22" s="2433"/>
      <c r="E22" s="2433"/>
      <c r="F22" s="2433"/>
    </row>
    <row r="23" spans="1:6" ht="20.65" customHeight="1" x14ac:dyDescent="0.2">
      <c r="A23" s="1277"/>
      <c r="B23" s="1278"/>
      <c r="C23" s="1279"/>
      <c r="D23" s="2433"/>
      <c r="E23" s="2433"/>
      <c r="F23" s="2433"/>
    </row>
    <row r="24" spans="1:6" ht="20.65" customHeight="1" x14ac:dyDescent="0.2">
      <c r="A24" s="1277"/>
      <c r="B24" s="1278"/>
      <c r="C24" s="1279"/>
      <c r="D24" s="2433"/>
      <c r="E24" s="2433"/>
      <c r="F24" s="2433"/>
    </row>
    <row r="25" spans="1:6" ht="20.65" customHeight="1" x14ac:dyDescent="0.2">
      <c r="A25" s="1277"/>
      <c r="B25" s="1278"/>
      <c r="C25" s="1279"/>
      <c r="D25" s="2433"/>
      <c r="E25" s="2433"/>
      <c r="F25" s="2433"/>
    </row>
    <row r="26" spans="1:6" ht="20.65" customHeight="1" x14ac:dyDescent="0.2">
      <c r="A26" s="1277"/>
      <c r="B26" s="1278"/>
      <c r="C26" s="1279"/>
      <c r="D26" s="2433"/>
      <c r="E26" s="2433"/>
      <c r="F26" s="2433"/>
    </row>
    <row r="27" spans="1:6" ht="20.65" customHeight="1" x14ac:dyDescent="0.2">
      <c r="A27" s="1277"/>
      <c r="B27" s="1278"/>
      <c r="C27" s="1279"/>
      <c r="D27" s="2433"/>
      <c r="E27" s="2433"/>
      <c r="F27" s="2433"/>
    </row>
    <row r="28" spans="1:6" ht="20.65" customHeight="1" x14ac:dyDescent="0.2">
      <c r="A28" s="1277"/>
      <c r="B28" s="1278"/>
      <c r="C28" s="1279"/>
      <c r="D28" s="2433"/>
      <c r="E28" s="2433"/>
      <c r="F28" s="2433"/>
    </row>
    <row r="29" spans="1:6" ht="20.65" customHeight="1" x14ac:dyDescent="0.2">
      <c r="A29" s="1277"/>
      <c r="B29" s="1278"/>
      <c r="C29" s="1279"/>
      <c r="D29" s="2433"/>
      <c r="E29" s="2433"/>
      <c r="F29" s="2433"/>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4" t="s">
        <v>1732</v>
      </c>
      <c r="B32" s="2434"/>
      <c r="C32" s="2434"/>
      <c r="D32" s="2434"/>
      <c r="E32" s="2434"/>
      <c r="F32" s="2434"/>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5">
        <f>+C33+C34</f>
        <v>0</v>
      </c>
      <c r="F34" s="2436"/>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37" t="s">
        <v>1590</v>
      </c>
      <c r="C49" s="2437"/>
      <c r="D49" s="2437"/>
      <c r="E49" s="1393"/>
    </row>
    <row r="50" spans="1:5" s="1294" customFormat="1" ht="3.75" customHeight="1" x14ac:dyDescent="0.2">
      <c r="A50" s="1293"/>
      <c r="B50" s="1842"/>
      <c r="C50" s="1842"/>
      <c r="D50" s="1842"/>
      <c r="E50" s="1393"/>
    </row>
    <row r="51" spans="1:5" s="1294" customFormat="1" ht="20.25" customHeight="1" x14ac:dyDescent="0.2">
      <c r="A51" s="1295">
        <v>6</v>
      </c>
      <c r="B51" s="2432" t="s">
        <v>1551</v>
      </c>
      <c r="C51" s="2432"/>
      <c r="D51" s="2432"/>
    </row>
    <row r="52" spans="1:5" ht="14.25" customHeight="1" x14ac:dyDescent="0.2">
      <c r="A52" s="1295"/>
      <c r="B52" s="2432"/>
      <c r="C52" s="2432"/>
      <c r="D52" s="243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2072</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t="s">
        <v>2086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Tazewell Co Area EFE RDS</v>
      </c>
      <c r="C1" s="2456"/>
      <c r="D1" s="2456"/>
      <c r="E1" s="2456"/>
      <c r="F1" s="2456"/>
      <c r="G1" s="2456"/>
      <c r="H1" s="2456"/>
      <c r="I1" s="2456"/>
      <c r="J1" s="1403"/>
    </row>
    <row r="2" spans="2:10" s="317" customFormat="1" ht="12.75" customHeight="1" x14ac:dyDescent="0.2">
      <c r="B2" s="2457">
        <f>'Single Audit Cover'!E7</f>
        <v>53000000046</v>
      </c>
      <c r="C2" s="2458"/>
      <c r="D2" s="2458"/>
      <c r="E2" s="2458"/>
      <c r="F2" s="2458"/>
      <c r="G2" s="2458"/>
      <c r="H2" s="2458"/>
      <c r="I2" s="2458"/>
      <c r="J2" s="1403"/>
    </row>
    <row r="3" spans="2:10" s="317" customFormat="1" ht="12.75" customHeight="1" x14ac:dyDescent="0.2">
      <c r="B3" s="2459" t="s">
        <v>1285</v>
      </c>
      <c r="C3" s="2460"/>
      <c r="D3" s="2460"/>
      <c r="E3" s="2460"/>
      <c r="F3" s="2460"/>
      <c r="G3" s="2460"/>
      <c r="H3" s="2460"/>
      <c r="I3" s="2460"/>
      <c r="J3" s="1404"/>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9" t="s">
        <v>1284</v>
      </c>
      <c r="C7" s="2460"/>
      <c r="D7" s="2460"/>
      <c r="E7" s="2460"/>
      <c r="F7" s="2460"/>
      <c r="G7" s="2460"/>
      <c r="H7" s="2460"/>
      <c r="I7" s="2460"/>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1"/>
      <c r="D11" s="2461"/>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2"/>
      <c r="E29" s="2462"/>
      <c r="F29" s="2462"/>
      <c r="G29" s="2462"/>
      <c r="H29" s="2462"/>
      <c r="I29" s="2462"/>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3" t="s">
        <v>1751</v>
      </c>
      <c r="D37" s="2464"/>
      <c r="E37" s="2464"/>
      <c r="F37" s="2465"/>
      <c r="G37" s="2463" t="s">
        <v>1592</v>
      </c>
      <c r="H37" s="2464"/>
      <c r="I37" s="2465"/>
    </row>
    <row r="38" spans="2:9" ht="16.5" customHeight="1" x14ac:dyDescent="0.2">
      <c r="B38" s="1425"/>
      <c r="C38" s="2451"/>
      <c r="D38" s="2452"/>
      <c r="E38" s="2452"/>
      <c r="F38" s="2453"/>
      <c r="G38" s="2466"/>
      <c r="H38" s="2467"/>
      <c r="I38" s="2468"/>
    </row>
    <row r="39" spans="2:9" ht="16.5" customHeight="1" x14ac:dyDescent="0.2">
      <c r="B39" s="1425"/>
      <c r="C39" s="2451"/>
      <c r="D39" s="2452"/>
      <c r="E39" s="2452"/>
      <c r="F39" s="2453"/>
      <c r="G39" s="2454"/>
      <c r="H39" s="2454"/>
      <c r="I39" s="2454"/>
    </row>
    <row r="40" spans="2:9" ht="16.5" customHeight="1" x14ac:dyDescent="0.2">
      <c r="B40" s="1425"/>
      <c r="C40" s="2451"/>
      <c r="D40" s="2452"/>
      <c r="E40" s="2452"/>
      <c r="F40" s="2453"/>
      <c r="G40" s="2454"/>
      <c r="H40" s="2454"/>
      <c r="I40" s="2454"/>
    </row>
    <row r="41" spans="2:9" ht="16.5" customHeight="1" x14ac:dyDescent="0.2">
      <c r="B41" s="1425"/>
      <c r="C41" s="2451"/>
      <c r="D41" s="2452"/>
      <c r="E41" s="2452"/>
      <c r="F41" s="2453"/>
      <c r="G41" s="2454"/>
      <c r="H41" s="2454"/>
      <c r="I41" s="2454"/>
    </row>
    <row r="42" spans="2:9" ht="16.5" customHeight="1" x14ac:dyDescent="0.2">
      <c r="B42" s="1425"/>
      <c r="C42" s="2451"/>
      <c r="D42" s="2452"/>
      <c r="E42" s="2452"/>
      <c r="F42" s="2453"/>
      <c r="G42" s="2454"/>
      <c r="H42" s="2454"/>
      <c r="I42" s="2454"/>
    </row>
    <row r="43" spans="2:9" ht="16.5" customHeight="1" x14ac:dyDescent="0.2">
      <c r="B43" s="1425"/>
      <c r="C43" s="2444" t="s">
        <v>1593</v>
      </c>
      <c r="D43" s="2445"/>
      <c r="E43" s="2445"/>
      <c r="F43" s="2446"/>
      <c r="G43" s="2447">
        <f>SUM(G38:I42)</f>
        <v>0</v>
      </c>
      <c r="H43" s="2447"/>
      <c r="I43" s="2447"/>
    </row>
    <row r="44" spans="2:9" ht="12.75" customHeight="1" x14ac:dyDescent="0.2"/>
    <row r="45" spans="2:9" ht="12.75" customHeight="1" x14ac:dyDescent="0.2">
      <c r="B45" s="1416" t="s">
        <v>1841</v>
      </c>
      <c r="D45" s="2448">
        <v>0</v>
      </c>
      <c r="E45" s="244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0"/>
      <c r="F49" s="2450"/>
      <c r="G49" s="245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Tazewell Co Area EFE RDS</v>
      </c>
      <c r="C1" s="2455"/>
      <c r="D1" s="2455"/>
      <c r="E1" s="2455"/>
      <c r="F1" s="2455"/>
      <c r="G1" s="2455"/>
      <c r="H1" s="2455"/>
      <c r="I1" s="2455"/>
      <c r="J1" s="2455"/>
      <c r="K1" s="2455"/>
      <c r="L1" s="1368"/>
      <c r="M1" s="1368"/>
    </row>
    <row r="2" spans="1:13" ht="12" customHeight="1" x14ac:dyDescent="0.2">
      <c r="B2" s="2457">
        <f>'Single Audit Cover'!E7</f>
        <v>53000000046</v>
      </c>
      <c r="C2" s="2457"/>
      <c r="D2" s="2457"/>
      <c r="E2" s="2457"/>
      <c r="F2" s="2457"/>
      <c r="G2" s="2457"/>
      <c r="H2" s="2457"/>
      <c r="I2" s="2457"/>
      <c r="J2" s="2457"/>
      <c r="K2" s="2457"/>
      <c r="L2" s="1369"/>
      <c r="M2" s="1370"/>
    </row>
    <row r="3" spans="1:13" ht="10.35" customHeight="1" x14ac:dyDescent="0.2">
      <c r="B3" s="2471" t="s">
        <v>1285</v>
      </c>
      <c r="C3" s="2471"/>
      <c r="D3" s="2471"/>
      <c r="E3" s="2471"/>
      <c r="F3" s="2471"/>
      <c r="G3" s="2471"/>
      <c r="H3" s="2471"/>
      <c r="I3" s="2471"/>
      <c r="J3" s="2471"/>
      <c r="K3" s="2471"/>
      <c r="L3" s="1371"/>
      <c r="M3" s="1371"/>
    </row>
    <row r="4" spans="1:13" ht="14.25" customHeight="1" x14ac:dyDescent="0.2">
      <c r="B4" s="2472" t="str">
        <f>'Single Audit Cover'!A4</f>
        <v>Year Ending June 30, 2019</v>
      </c>
      <c r="C4" s="2472"/>
      <c r="D4" s="2472"/>
      <c r="E4" s="2472"/>
      <c r="F4" s="2472"/>
      <c r="G4" s="2472"/>
      <c r="H4" s="2472"/>
      <c r="I4" s="2472"/>
      <c r="J4" s="2472"/>
      <c r="K4" s="2472"/>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2" t="s">
        <v>1296</v>
      </c>
      <c r="C7" s="2472"/>
      <c r="D7" s="2473"/>
      <c r="E7" s="2473"/>
      <c r="F7" s="2473"/>
      <c r="G7" s="2473"/>
      <c r="H7" s="2473"/>
      <c r="I7" s="2473"/>
      <c r="J7" s="2473"/>
      <c r="K7" s="247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0"/>
      <c r="C14" s="2470"/>
      <c r="D14" s="2470"/>
      <c r="E14" s="2470"/>
      <c r="F14" s="2470"/>
      <c r="G14" s="2470"/>
      <c r="H14" s="2470"/>
      <c r="I14" s="2470"/>
      <c r="J14" s="2470"/>
      <c r="K14" s="2470"/>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0"/>
      <c r="C17" s="2470"/>
      <c r="D17" s="2470"/>
      <c r="E17" s="2470"/>
      <c r="F17" s="2470"/>
      <c r="G17" s="2470"/>
      <c r="H17" s="2470"/>
      <c r="I17" s="2470"/>
      <c r="J17" s="2470"/>
      <c r="K17" s="2470"/>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4"/>
      <c r="C20" s="2474"/>
      <c r="D20" s="2470"/>
      <c r="E20" s="2470"/>
      <c r="F20" s="2470"/>
      <c r="G20" s="2470"/>
      <c r="H20" s="2470"/>
      <c r="I20" s="2470"/>
      <c r="J20" s="2470"/>
      <c r="K20" s="2470"/>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0"/>
      <c r="C23" s="2470"/>
      <c r="D23" s="2470"/>
      <c r="E23" s="2470"/>
      <c r="F23" s="2470"/>
      <c r="G23" s="2470"/>
      <c r="H23" s="2470"/>
      <c r="I23" s="2470"/>
      <c r="J23" s="2470"/>
      <c r="K23" s="2470"/>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0"/>
      <c r="C26" s="2470"/>
      <c r="D26" s="2470"/>
      <c r="E26" s="2470"/>
      <c r="F26" s="2470"/>
      <c r="G26" s="2470"/>
      <c r="H26" s="2470"/>
      <c r="I26" s="2470"/>
      <c r="J26" s="2470"/>
      <c r="K26" s="2470"/>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9"/>
      <c r="C29" s="2469"/>
      <c r="D29" s="2470"/>
      <c r="E29" s="2470"/>
      <c r="F29" s="2470"/>
      <c r="G29" s="2470"/>
      <c r="H29" s="2470"/>
      <c r="I29" s="2470"/>
      <c r="J29" s="2470"/>
      <c r="K29" s="247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9"/>
      <c r="C32" s="2469"/>
      <c r="D32" s="2470"/>
      <c r="E32" s="2470"/>
      <c r="F32" s="2470"/>
      <c r="G32" s="2470"/>
      <c r="H32" s="2470"/>
      <c r="I32" s="2470"/>
      <c r="J32" s="2470"/>
      <c r="K32" s="2470"/>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Tazewell Co Area EFE RDS</v>
      </c>
      <c r="C1" s="2478"/>
      <c r="D1" s="2478"/>
      <c r="E1" s="2478"/>
      <c r="F1" s="2478"/>
      <c r="G1" s="2478"/>
      <c r="H1" s="2478"/>
      <c r="I1" s="2478"/>
      <c r="J1" s="2478"/>
      <c r="K1" s="2478"/>
      <c r="L1" s="1446"/>
    </row>
    <row r="2" spans="1:12" ht="12.75" customHeight="1" x14ac:dyDescent="0.2">
      <c r="B2" s="2479">
        <f>'Single Audit Cover'!E7</f>
        <v>53000000046</v>
      </c>
      <c r="C2" s="2479"/>
      <c r="D2" s="2479"/>
      <c r="E2" s="2479"/>
      <c r="F2" s="2479"/>
      <c r="G2" s="2479"/>
      <c r="H2" s="2479"/>
      <c r="I2" s="2479"/>
      <c r="J2" s="2479"/>
      <c r="K2" s="2479"/>
      <c r="L2" s="1447"/>
    </row>
    <row r="3" spans="1:12" ht="12.75" customHeight="1" x14ac:dyDescent="0.2">
      <c r="B3" s="2471" t="s">
        <v>1285</v>
      </c>
      <c r="C3" s="2471"/>
      <c r="D3" s="2471"/>
      <c r="E3" s="2471"/>
      <c r="F3" s="2471"/>
      <c r="G3" s="2471"/>
      <c r="H3" s="2471"/>
      <c r="I3" s="2471"/>
      <c r="J3" s="2471"/>
      <c r="K3" s="2471"/>
      <c r="L3" s="1371"/>
    </row>
    <row r="4" spans="1:12" ht="12.75" customHeight="1" x14ac:dyDescent="0.2">
      <c r="B4" s="2471" t="str">
        <f>'Single Audit Cover'!A4</f>
        <v>Year Ending June 30, 2019</v>
      </c>
      <c r="C4" s="2471"/>
      <c r="D4" s="2471"/>
      <c r="E4" s="2471"/>
      <c r="F4" s="2471"/>
      <c r="G4" s="2471"/>
      <c r="H4" s="2471"/>
      <c r="I4" s="2471"/>
      <c r="J4" s="2471"/>
      <c r="K4" s="2471"/>
      <c r="L4" s="1371"/>
    </row>
    <row r="5" spans="1:12" ht="5.25" customHeight="1" x14ac:dyDescent="0.2">
      <c r="B5" s="1254" t="s">
        <v>1169</v>
      </c>
      <c r="C5" s="1254"/>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2"/>
      <c r="G12" s="2462"/>
      <c r="H12" s="2462"/>
      <c r="I12" s="2462"/>
      <c r="J12" s="2462"/>
      <c r="K12" s="2462"/>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5"/>
      <c r="E14" s="2475"/>
      <c r="F14" s="2475"/>
      <c r="H14" s="1456" t="s">
        <v>1303</v>
      </c>
      <c r="I14" s="2476"/>
      <c r="J14" s="2476"/>
      <c r="K14" s="2476"/>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6"/>
      <c r="E16" s="2476"/>
      <c r="F16" s="2476"/>
      <c r="G16" s="2476"/>
      <c r="H16" s="2476"/>
      <c r="I16" s="2476"/>
      <c r="J16" s="2476"/>
      <c r="K16" s="2476"/>
      <c r="L16" s="322"/>
    </row>
    <row r="17" spans="2:12" ht="13.5" customHeight="1" x14ac:dyDescent="0.2">
      <c r="B17" s="1381" t="s">
        <v>1301</v>
      </c>
      <c r="C17" s="1381"/>
      <c r="D17" s="2477"/>
      <c r="E17" s="2477"/>
      <c r="F17" s="2477"/>
      <c r="G17" s="2477"/>
      <c r="H17" s="2477"/>
      <c r="I17" s="2477"/>
      <c r="J17" s="2477"/>
      <c r="K17" s="2477"/>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0"/>
      <c r="C20" s="2470"/>
      <c r="D20" s="2470"/>
      <c r="E20" s="2470"/>
      <c r="F20" s="2470"/>
      <c r="G20" s="2470"/>
      <c r="H20" s="2470"/>
      <c r="I20" s="2470"/>
      <c r="J20" s="2470"/>
      <c r="K20" s="247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5" t="str">
        <f>'Single Audit Cover'!A7</f>
        <v>Tazewell Co Area EFE RDS</v>
      </c>
      <c r="C1" s="2455"/>
      <c r="D1" s="2455"/>
      <c r="E1" s="1466"/>
    </row>
    <row r="2" spans="2:5" s="1276" customFormat="1" ht="12.75" customHeight="1" x14ac:dyDescent="0.2">
      <c r="B2" s="2457">
        <f>'Single Audit Cover'!E7</f>
        <v>53000000046</v>
      </c>
      <c r="C2" s="2457"/>
      <c r="D2" s="2457"/>
      <c r="E2" s="1467"/>
    </row>
    <row r="3" spans="2:5" ht="12.75" customHeight="1" x14ac:dyDescent="0.2">
      <c r="B3" s="2471" t="s">
        <v>1766</v>
      </c>
      <c r="C3" s="2471"/>
      <c r="D3" s="2471"/>
      <c r="E3" s="1268"/>
    </row>
    <row r="4" spans="2:5" s="1276" customFormat="1" ht="12.75" customHeight="1" x14ac:dyDescent="0.2">
      <c r="B4" s="2481" t="str">
        <f>'Single Audit Cover'!A4</f>
        <v>Year Ending June 30, 2019</v>
      </c>
      <c r="C4" s="2481"/>
      <c r="D4" s="2481"/>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2085</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909336</v>
      </c>
      <c r="E16" s="356"/>
      <c r="F16" s="1730">
        <f>SUM('Acct Summary 7-8'!C17,'Acct Summary 7-8'!D17,'Acct Summary 7-8'!F17)</f>
        <v>929528</v>
      </c>
      <c r="G16" s="356"/>
      <c r="H16" s="1730">
        <f>SUM(D16-F16)</f>
        <v>-20192</v>
      </c>
      <c r="I16" s="222"/>
      <c r="J16" s="1730">
        <f>SUM('Acct Summary 7-8'!C81,'Acct Summary 7-8'!D81,'Acct Summary 7-8'!F81,'Acct Summary 7-8'!I81)</f>
        <v>194751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Tazewell Co Area EFE RDS</v>
      </c>
      <c r="E7" s="391"/>
      <c r="G7" s="252"/>
      <c r="H7" s="387"/>
      <c r="I7" s="387"/>
      <c r="J7" s="387"/>
      <c r="K7" s="387"/>
      <c r="L7" s="329"/>
      <c r="M7" s="329"/>
      <c r="N7" s="329"/>
      <c r="O7" s="329"/>
      <c r="P7" s="329"/>
    </row>
    <row r="8" spans="1:18" ht="12.75" x14ac:dyDescent="0.2">
      <c r="A8" s="329"/>
      <c r="B8" s="329"/>
      <c r="C8" s="389" t="s">
        <v>1125</v>
      </c>
      <c r="D8" s="392">
        <f>COVER!A13</f>
        <v>53000000046</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194751</v>
      </c>
      <c r="I12" s="404"/>
      <c r="J12" s="404"/>
      <c r="K12" s="405">
        <f>TRUNC((H12/H13*100000),5)/100000</f>
        <v>0.21416836019999999</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909336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929528</v>
      </c>
      <c r="I17" s="404"/>
      <c r="J17" s="416"/>
      <c r="K17" s="405">
        <f>TRUNC((H17/H18*100000),5)/100000</f>
        <v>1.0222052134000001</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909336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5.1415115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194751</v>
      </c>
      <c r="I24" s="422"/>
      <c r="J24" s="422"/>
      <c r="K24" s="423">
        <f>TRUNC(((H24/H25*100000)/100000),2)</f>
        <v>75.42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2582.0222199999998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6"/>
      <c r="D3" s="1557"/>
      <c r="E3" s="1557"/>
      <c r="F3" s="1557"/>
      <c r="G3" s="1557"/>
      <c r="H3" s="1557"/>
      <c r="I3" s="1557"/>
      <c r="J3" s="1557"/>
      <c r="K3" s="1557"/>
      <c r="L3" s="1557"/>
      <c r="M3" s="1558"/>
      <c r="N3" s="1559"/>
    </row>
    <row r="4" spans="1:14" ht="13.5" customHeight="1" x14ac:dyDescent="0.2">
      <c r="A4" s="463" t="s">
        <v>1651</v>
      </c>
      <c r="B4" s="464"/>
      <c r="C4" s="465">
        <v>194751</v>
      </c>
      <c r="D4" s="465">
        <v>0</v>
      </c>
      <c r="E4" s="465">
        <v>0</v>
      </c>
      <c r="F4" s="465">
        <v>0</v>
      </c>
      <c r="G4" s="465">
        <v>0</v>
      </c>
      <c r="H4" s="465">
        <v>0</v>
      </c>
      <c r="I4" s="465">
        <v>0</v>
      </c>
      <c r="J4" s="465">
        <v>0</v>
      </c>
      <c r="K4" s="465">
        <v>0</v>
      </c>
      <c r="L4" s="465">
        <v>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194751</v>
      </c>
      <c r="D13" s="1734">
        <f t="shared" ref="D13:L13" si="0">SUM(D4:D12)</f>
        <v>0</v>
      </c>
      <c r="E13" s="1734">
        <f t="shared" si="0"/>
        <v>0</v>
      </c>
      <c r="F13" s="1734">
        <f t="shared" si="0"/>
        <v>0</v>
      </c>
      <c r="G13" s="1734">
        <f t="shared" si="0"/>
        <v>0</v>
      </c>
      <c r="H13" s="1734">
        <f t="shared" si="0"/>
        <v>0</v>
      </c>
      <c r="I13" s="1734">
        <f t="shared" si="0"/>
        <v>0</v>
      </c>
      <c r="J13" s="1734">
        <f t="shared" si="0"/>
        <v>0</v>
      </c>
      <c r="K13" s="1734">
        <f t="shared" si="0"/>
        <v>0</v>
      </c>
      <c r="L13" s="1734">
        <f t="shared" si="0"/>
        <v>0</v>
      </c>
      <c r="M13" s="468"/>
      <c r="N13" s="469"/>
    </row>
    <row r="14" spans="1:14" ht="18" customHeight="1" thickTop="1" x14ac:dyDescent="0.2">
      <c r="A14" s="2105" t="s">
        <v>147</v>
      </c>
      <c r="B14" s="2106"/>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0</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957180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957180</v>
      </c>
      <c r="N23" s="1685">
        <f>SUM(N21:N22)</f>
        <v>0</v>
      </c>
    </row>
    <row r="24" spans="1:14" ht="18" customHeight="1" thickTop="1" x14ac:dyDescent="0.2">
      <c r="A24" s="2107" t="s">
        <v>598</v>
      </c>
      <c r="B24" s="2108"/>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0</v>
      </c>
      <c r="M34" s="468"/>
      <c r="N34" s="478"/>
    </row>
    <row r="35" spans="1:14" ht="18" customHeight="1" thickTop="1" x14ac:dyDescent="0.2">
      <c r="A35" s="2109" t="s">
        <v>529</v>
      </c>
      <c r="B35" s="2110"/>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42060</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152691</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957180</v>
      </c>
      <c r="N40" s="494"/>
    </row>
    <row r="41" spans="1:14" ht="13.5" customHeight="1" thickBot="1" x14ac:dyDescent="0.25">
      <c r="A41" s="1733" t="s">
        <v>655</v>
      </c>
      <c r="B41" s="1703"/>
      <c r="C41" s="1685">
        <f>(SUM(C34,C37,C38,C39))</f>
        <v>194751</v>
      </c>
      <c r="D41" s="1685">
        <f t="shared" ref="D41:L41" si="2">SUM(D34,D37,D38:D39)</f>
        <v>0</v>
      </c>
      <c r="E41" s="1685">
        <f t="shared" si="2"/>
        <v>0</v>
      </c>
      <c r="F41" s="1685">
        <f t="shared" si="2"/>
        <v>0</v>
      </c>
      <c r="G41" s="1685">
        <f t="shared" si="2"/>
        <v>0</v>
      </c>
      <c r="H41" s="1685">
        <f t="shared" si="2"/>
        <v>0</v>
      </c>
      <c r="I41" s="1685">
        <f t="shared" si="2"/>
        <v>0</v>
      </c>
      <c r="J41" s="1685">
        <f t="shared" si="2"/>
        <v>0</v>
      </c>
      <c r="K41" s="1685">
        <f t="shared" si="2"/>
        <v>0</v>
      </c>
      <c r="L41" s="1685">
        <f t="shared" si="2"/>
        <v>0</v>
      </c>
      <c r="M41" s="1685">
        <f>SUM(M40)</f>
        <v>957180</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9"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1" t="s">
        <v>1175</v>
      </c>
      <c r="B3" s="2132"/>
      <c r="C3" s="1570"/>
      <c r="D3" s="1571"/>
      <c r="E3" s="1571"/>
      <c r="F3" s="1571"/>
      <c r="G3" s="1571"/>
      <c r="H3" s="1571"/>
      <c r="I3" s="1571"/>
      <c r="J3" s="1571"/>
      <c r="K3" s="1572"/>
      <c r="L3" s="503"/>
    </row>
    <row r="4" spans="1:13" ht="15.75" customHeight="1" x14ac:dyDescent="0.2">
      <c r="A4" s="1925" t="s">
        <v>1499</v>
      </c>
      <c r="B4" s="1926">
        <v>1000</v>
      </c>
      <c r="C4" s="1739">
        <f>'Revenues 9-14'!C109</f>
        <v>129</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467471</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212891</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228845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909336</v>
      </c>
      <c r="D8" s="1685">
        <f t="shared" ref="D8:K8" si="0">SUM(D4:D7)</f>
        <v>0</v>
      </c>
      <c r="E8" s="1685">
        <f t="shared" si="0"/>
        <v>0</v>
      </c>
      <c r="F8" s="1685">
        <f t="shared" si="0"/>
        <v>0</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0</v>
      </c>
      <c r="D9" s="513"/>
      <c r="E9" s="479"/>
      <c r="F9" s="479"/>
      <c r="G9" s="514"/>
      <c r="H9" s="479"/>
      <c r="I9" s="506" t="s">
        <v>1169</v>
      </c>
      <c r="J9" s="476"/>
      <c r="K9" s="479"/>
      <c r="L9" s="347"/>
    </row>
    <row r="10" spans="1:13" s="516" customFormat="1" ht="13.5" thickBot="1" x14ac:dyDescent="0.25">
      <c r="A10" s="1733" t="s">
        <v>1173</v>
      </c>
      <c r="B10" s="1706"/>
      <c r="C10" s="1685">
        <f>SUM(C8:C9)</f>
        <v>909336</v>
      </c>
      <c r="D10" s="1685">
        <f t="shared" ref="D10:K10" si="1">SUM(D8:D9)</f>
        <v>0</v>
      </c>
      <c r="E10" s="1685">
        <f t="shared" si="1"/>
        <v>0</v>
      </c>
      <c r="F10" s="1685">
        <f t="shared" si="1"/>
        <v>0</v>
      </c>
      <c r="G10" s="1685">
        <f t="shared" si="1"/>
        <v>0</v>
      </c>
      <c r="H10" s="1685">
        <f t="shared" si="1"/>
        <v>0</v>
      </c>
      <c r="I10" s="1685">
        <f t="shared" si="1"/>
        <v>0</v>
      </c>
      <c r="J10" s="1685">
        <f t="shared" si="1"/>
        <v>0</v>
      </c>
      <c r="K10" s="1685">
        <f t="shared" si="1"/>
        <v>0</v>
      </c>
      <c r="L10" s="515"/>
    </row>
    <row r="11" spans="1:13" s="516" customFormat="1" ht="16.7" customHeight="1" thickTop="1" x14ac:dyDescent="0.2">
      <c r="A11" s="2105" t="s">
        <v>1176</v>
      </c>
      <c r="B11" s="2106"/>
      <c r="C11" s="1567"/>
      <c r="D11" s="1568"/>
      <c r="E11" s="1568"/>
      <c r="F11" s="1568"/>
      <c r="G11" s="1568"/>
      <c r="H11" s="1568"/>
      <c r="I11" s="1568"/>
      <c r="J11" s="1568"/>
      <c r="K11" s="1569"/>
      <c r="L11" s="515"/>
    </row>
    <row r="12" spans="1:13" ht="15.75" customHeight="1" x14ac:dyDescent="0.2">
      <c r="A12" s="1573" t="s">
        <v>456</v>
      </c>
      <c r="B12" s="1575">
        <v>1000</v>
      </c>
      <c r="C12" s="1739">
        <f>'Expenditures 15-22'!K33</f>
        <v>273093</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171084</v>
      </c>
      <c r="D13" s="1740">
        <f>'Expenditures 15-22'!K129</f>
        <v>0</v>
      </c>
      <c r="E13" s="469" t="s">
        <v>1169</v>
      </c>
      <c r="F13" s="1740">
        <f>'Expenditures 15-22'!K184</f>
        <v>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485351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929528</v>
      </c>
      <c r="D17" s="1685">
        <f t="shared" si="2"/>
        <v>0</v>
      </c>
      <c r="E17" s="1685">
        <f t="shared" si="2"/>
        <v>0</v>
      </c>
      <c r="F17" s="1685">
        <f t="shared" si="2"/>
        <v>0</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929528</v>
      </c>
      <c r="D19" s="1685">
        <f t="shared" si="4"/>
        <v>0</v>
      </c>
      <c r="E19" s="1685">
        <f t="shared" si="4"/>
        <v>0</v>
      </c>
      <c r="F19" s="1685">
        <f t="shared" si="4"/>
        <v>0</v>
      </c>
      <c r="G19" s="1685">
        <f t="shared" si="4"/>
        <v>0</v>
      </c>
      <c r="H19" s="1685">
        <f t="shared" si="4"/>
        <v>0</v>
      </c>
      <c r="I19" s="468"/>
      <c r="J19" s="1685">
        <f>SUM(J17:J18)</f>
        <v>0</v>
      </c>
      <c r="K19" s="1685">
        <f>SUM(K17:K18)</f>
        <v>0</v>
      </c>
      <c r="L19" s="347"/>
    </row>
    <row r="20" spans="1:12" ht="16.5" thickTop="1" thickBot="1" x14ac:dyDescent="0.25">
      <c r="A20" s="2121" t="s">
        <v>1655</v>
      </c>
      <c r="B20" s="2122"/>
      <c r="C20" s="1743">
        <f>C8-C17</f>
        <v>-20192</v>
      </c>
      <c r="D20" s="1743">
        <f t="shared" ref="D20:K20" si="5">D8-D17</f>
        <v>0</v>
      </c>
      <c r="E20" s="1743">
        <f t="shared" si="5"/>
        <v>0</v>
      </c>
      <c r="F20" s="1743">
        <f t="shared" si="5"/>
        <v>0</v>
      </c>
      <c r="G20" s="1743">
        <f t="shared" si="5"/>
        <v>0</v>
      </c>
      <c r="H20" s="1743">
        <f t="shared" si="5"/>
        <v>0</v>
      </c>
      <c r="I20" s="1743">
        <f t="shared" si="5"/>
        <v>0</v>
      </c>
      <c r="J20" s="1743">
        <f t="shared" si="5"/>
        <v>0</v>
      </c>
      <c r="K20" s="1743">
        <f t="shared" si="5"/>
        <v>0</v>
      </c>
      <c r="L20" s="347"/>
    </row>
    <row r="21" spans="1:12" ht="16.7" customHeight="1" thickTop="1" x14ac:dyDescent="0.2">
      <c r="A21" s="2133" t="s">
        <v>595</v>
      </c>
      <c r="B21" s="2134"/>
      <c r="C21" s="1567"/>
      <c r="D21" s="1568"/>
      <c r="E21" s="1568"/>
      <c r="F21" s="1568"/>
      <c r="G21" s="1568"/>
      <c r="H21" s="1568"/>
      <c r="I21" s="1568"/>
      <c r="J21" s="1568"/>
      <c r="K21" s="1569"/>
      <c r="L21" s="521"/>
    </row>
    <row r="22" spans="1:12" ht="15.75" customHeight="1" collapsed="1" x14ac:dyDescent="0.2">
      <c r="A22" s="2129" t="s">
        <v>596</v>
      </c>
      <c r="B22" s="2130"/>
      <c r="C22" s="475"/>
      <c r="D22" s="475"/>
      <c r="E22" s="475"/>
      <c r="F22" s="475"/>
      <c r="G22" s="475"/>
      <c r="H22" s="475"/>
      <c r="I22" s="475"/>
      <c r="J22" s="475"/>
      <c r="K22" s="475"/>
      <c r="L22" s="347"/>
    </row>
    <row r="23" spans="1:12" s="483" customFormat="1" ht="15.75" customHeight="1" x14ac:dyDescent="0.2">
      <c r="A23" s="2125" t="s">
        <v>293</v>
      </c>
      <c r="B23" s="2126"/>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7" t="s">
        <v>981</v>
      </c>
      <c r="B32" s="2128"/>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5" t="s">
        <v>374</v>
      </c>
      <c r="B44" s="2136"/>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9" t="s">
        <v>108</v>
      </c>
      <c r="B45" s="2130"/>
      <c r="C45" s="525"/>
      <c r="D45" s="525"/>
      <c r="E45" s="525"/>
      <c r="F45" s="525"/>
      <c r="G45" s="525"/>
      <c r="H45" s="525"/>
      <c r="I45" s="525"/>
      <c r="J45" s="525"/>
      <c r="K45" s="525"/>
      <c r="L45" s="347"/>
    </row>
    <row r="46" spans="1:12" s="483" customFormat="1" ht="15.75" customHeight="1" x14ac:dyDescent="0.2">
      <c r="A46" s="2137" t="s">
        <v>109</v>
      </c>
      <c r="B46" s="2138"/>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1" t="s">
        <v>440</v>
      </c>
      <c r="B76" s="2112"/>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3" t="s">
        <v>1177</v>
      </c>
      <c r="B77" s="2114"/>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17" t="s">
        <v>597</v>
      </c>
      <c r="B78" s="2118"/>
      <c r="C78" s="1699">
        <f t="shared" ref="C78:K78" si="9">C20+C77</f>
        <v>-20192</v>
      </c>
      <c r="D78" s="1699">
        <f t="shared" si="9"/>
        <v>0</v>
      </c>
      <c r="E78" s="1699">
        <f t="shared" si="9"/>
        <v>0</v>
      </c>
      <c r="F78" s="1699">
        <f t="shared" si="9"/>
        <v>0</v>
      </c>
      <c r="G78" s="1699">
        <f t="shared" si="9"/>
        <v>0</v>
      </c>
      <c r="H78" s="1699">
        <f t="shared" si="9"/>
        <v>0</v>
      </c>
      <c r="I78" s="1699">
        <f t="shared" si="9"/>
        <v>0</v>
      </c>
      <c r="J78" s="1699">
        <f t="shared" si="9"/>
        <v>0</v>
      </c>
      <c r="K78" s="1699">
        <f t="shared" si="9"/>
        <v>0</v>
      </c>
      <c r="L78" s="530"/>
    </row>
    <row r="79" spans="1:12" ht="13.5" thickTop="1" x14ac:dyDescent="0.2">
      <c r="A79" s="1491" t="s">
        <v>1949</v>
      </c>
      <c r="B79" s="531"/>
      <c r="C79" s="476">
        <v>214943</v>
      </c>
      <c r="D79" s="476">
        <v>0</v>
      </c>
      <c r="E79" s="476">
        <v>0</v>
      </c>
      <c r="F79" s="476">
        <v>0</v>
      </c>
      <c r="G79" s="476">
        <v>0</v>
      </c>
      <c r="H79" s="476">
        <v>0</v>
      </c>
      <c r="I79" s="476">
        <v>0</v>
      </c>
      <c r="J79" s="476">
        <v>0</v>
      </c>
      <c r="K79" s="476">
        <v>0</v>
      </c>
      <c r="L79" s="347"/>
    </row>
    <row r="80" spans="1:12" x14ac:dyDescent="0.2">
      <c r="A80" s="2123" t="s">
        <v>1795</v>
      </c>
      <c r="B80" s="2124"/>
      <c r="C80" s="467">
        <v>0</v>
      </c>
      <c r="D80" s="467">
        <v>0</v>
      </c>
      <c r="E80" s="467">
        <v>0</v>
      </c>
      <c r="F80" s="467">
        <v>0</v>
      </c>
      <c r="G80" s="467">
        <v>0</v>
      </c>
      <c r="H80" s="467">
        <v>0</v>
      </c>
      <c r="I80" s="467">
        <v>0</v>
      </c>
      <c r="J80" s="467">
        <v>0</v>
      </c>
      <c r="K80" s="467">
        <v>0</v>
      </c>
      <c r="L80" s="347"/>
    </row>
    <row r="81" spans="1:12" ht="13.5" thickBot="1" x14ac:dyDescent="0.25">
      <c r="A81" s="2115" t="s">
        <v>1950</v>
      </c>
      <c r="B81" s="2116"/>
      <c r="C81" s="1685">
        <f>(SUM(C78:C80))</f>
        <v>194751</v>
      </c>
      <c r="D81" s="1685">
        <f>SUM(D78:D80)</f>
        <v>0</v>
      </c>
      <c r="E81" s="1685">
        <f t="shared" ref="E81:K81" si="10">SUM(E78:E80)</f>
        <v>0</v>
      </c>
      <c r="F81" s="1685">
        <f t="shared" si="10"/>
        <v>0</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-20192</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-0.10368111075167778</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4" activePane="bottomLeft" state="frozen"/>
      <selection activeCell="A3" sqref="A3:B3"/>
      <selection pane="bottomLeft" activeCell="C65" sqref="C6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129</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129</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0</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129</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467471</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467471</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212891</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212891</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39" t="s">
        <v>398</v>
      </c>
      <c r="B169" s="2140"/>
      <c r="C169" s="1719">
        <f t="shared" ref="C169:K169" si="6">SUM(C132,C141,C145,C146:C150,C155,C156:C167,C168)</f>
        <v>212891</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212891</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1" t="s">
        <v>1492</v>
      </c>
      <c r="B172" s="2142"/>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5" t="s">
        <v>1665</v>
      </c>
      <c r="B175" s="2146"/>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9" t="s">
        <v>1664</v>
      </c>
      <c r="B176" s="2150"/>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7" t="s">
        <v>785</v>
      </c>
      <c r="B181" s="2148"/>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3" t="s">
        <v>1803</v>
      </c>
      <c r="B182" s="2144"/>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228845</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228845</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228845</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228845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909336</v>
      </c>
      <c r="D268" s="1712">
        <f t="shared" si="12"/>
        <v>0</v>
      </c>
      <c r="E268" s="1712">
        <f t="shared" si="12"/>
        <v>0</v>
      </c>
      <c r="F268" s="1712">
        <f t="shared" si="12"/>
        <v>0</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 sqref="A3:B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9"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7" t="s">
        <v>297</v>
      </c>
      <c r="B3" s="2158"/>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0</v>
      </c>
      <c r="F8" s="466">
        <v>0</v>
      </c>
      <c r="G8" s="466">
        <v>0</v>
      </c>
      <c r="H8" s="466">
        <v>0</v>
      </c>
      <c r="I8" s="467">
        <v>0</v>
      </c>
      <c r="J8" s="467">
        <v>0</v>
      </c>
      <c r="K8" s="1668">
        <f t="shared" si="0"/>
        <v>0</v>
      </c>
      <c r="L8" s="471">
        <v>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8431</v>
      </c>
      <c r="F13" s="466">
        <v>147239</v>
      </c>
      <c r="G13" s="466">
        <v>117423</v>
      </c>
      <c r="H13" s="466">
        <v>0</v>
      </c>
      <c r="I13" s="467">
        <v>0</v>
      </c>
      <c r="J13" s="467">
        <v>0</v>
      </c>
      <c r="K13" s="1668">
        <f t="shared" si="0"/>
        <v>273093</v>
      </c>
      <c r="L13" s="471">
        <v>265490</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0</v>
      </c>
      <c r="D33" s="1667">
        <f t="shared" ref="D33:L33" si="1">SUM(D5:D32)</f>
        <v>0</v>
      </c>
      <c r="E33" s="1667">
        <f t="shared" si="1"/>
        <v>8431</v>
      </c>
      <c r="F33" s="1667">
        <f t="shared" si="1"/>
        <v>147239</v>
      </c>
      <c r="G33" s="1667">
        <f t="shared" si="1"/>
        <v>117423</v>
      </c>
      <c r="H33" s="1667">
        <f t="shared" si="1"/>
        <v>0</v>
      </c>
      <c r="I33" s="1667">
        <f t="shared" si="1"/>
        <v>0</v>
      </c>
      <c r="J33" s="1667">
        <f t="shared" si="1"/>
        <v>0</v>
      </c>
      <c r="K33" s="1667">
        <f t="shared" si="1"/>
        <v>273093</v>
      </c>
      <c r="L33" s="1667">
        <f t="shared" si="1"/>
        <v>265490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2694</v>
      </c>
      <c r="F37" s="466">
        <v>9560</v>
      </c>
      <c r="G37" s="466">
        <v>0</v>
      </c>
      <c r="H37" s="466">
        <v>0</v>
      </c>
      <c r="I37" s="467">
        <v>0</v>
      </c>
      <c r="J37" s="467">
        <v>0</v>
      </c>
      <c r="K37" s="1668">
        <f t="shared" si="2"/>
        <v>12254</v>
      </c>
      <c r="L37" s="466">
        <v>6981</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2694</v>
      </c>
      <c r="F42" s="1667">
        <f t="shared" si="3"/>
        <v>9560</v>
      </c>
      <c r="G42" s="1667">
        <f t="shared" si="3"/>
        <v>0</v>
      </c>
      <c r="H42" s="1667">
        <f t="shared" si="3"/>
        <v>0</v>
      </c>
      <c r="I42" s="1667">
        <f t="shared" si="3"/>
        <v>0</v>
      </c>
      <c r="J42" s="1667">
        <f t="shared" si="3"/>
        <v>0</v>
      </c>
      <c r="K42" s="1667">
        <f t="shared" si="3"/>
        <v>12254</v>
      </c>
      <c r="L42" s="1667">
        <f t="shared" si="3"/>
        <v>6981</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53556</v>
      </c>
      <c r="D44" s="479">
        <v>12771</v>
      </c>
      <c r="E44" s="479">
        <v>7789</v>
      </c>
      <c r="F44" s="479">
        <v>543</v>
      </c>
      <c r="G44" s="479">
        <v>0</v>
      </c>
      <c r="H44" s="479">
        <v>0</v>
      </c>
      <c r="I44" s="467">
        <v>0</v>
      </c>
      <c r="J44" s="467">
        <v>0</v>
      </c>
      <c r="K44" s="1669">
        <f>SUM(C44:J44)</f>
        <v>74659</v>
      </c>
      <c r="L44" s="479">
        <v>73516</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53556</v>
      </c>
      <c r="D47" s="1667">
        <f t="shared" ref="D47:K47" si="4">SUM(D44:D46)</f>
        <v>12771</v>
      </c>
      <c r="E47" s="1667">
        <f t="shared" si="4"/>
        <v>7789</v>
      </c>
      <c r="F47" s="1667">
        <f t="shared" si="4"/>
        <v>543</v>
      </c>
      <c r="G47" s="1667">
        <f t="shared" si="4"/>
        <v>0</v>
      </c>
      <c r="H47" s="1667">
        <f t="shared" si="4"/>
        <v>0</v>
      </c>
      <c r="I47" s="1667">
        <f t="shared" si="4"/>
        <v>0</v>
      </c>
      <c r="J47" s="1667">
        <f t="shared" si="4"/>
        <v>0</v>
      </c>
      <c r="K47" s="1667">
        <f t="shared" si="4"/>
        <v>74659</v>
      </c>
      <c r="L47" s="1667">
        <f>SUM(L44:L46)</f>
        <v>73516</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2521</v>
      </c>
      <c r="F49" s="479">
        <v>99</v>
      </c>
      <c r="G49" s="479">
        <v>0</v>
      </c>
      <c r="H49" s="479">
        <v>0</v>
      </c>
      <c r="I49" s="467">
        <v>0</v>
      </c>
      <c r="J49" s="467">
        <v>0</v>
      </c>
      <c r="K49" s="1669">
        <f>SUM(C49:J49)</f>
        <v>2620</v>
      </c>
      <c r="L49" s="479">
        <v>2605</v>
      </c>
    </row>
    <row r="50" spans="1:14" x14ac:dyDescent="0.2">
      <c r="A50" s="1501" t="s">
        <v>818</v>
      </c>
      <c r="B50" s="611">
        <v>2320</v>
      </c>
      <c r="C50" s="467">
        <v>0</v>
      </c>
      <c r="D50" s="466">
        <v>0</v>
      </c>
      <c r="E50" s="466">
        <v>0</v>
      </c>
      <c r="F50" s="466">
        <v>0</v>
      </c>
      <c r="G50" s="466">
        <v>0</v>
      </c>
      <c r="H50" s="466">
        <v>0</v>
      </c>
      <c r="I50" s="467">
        <v>0</v>
      </c>
      <c r="J50" s="467">
        <v>0</v>
      </c>
      <c r="K50" s="1669">
        <f>SUM(C50:J50)</f>
        <v>0</v>
      </c>
      <c r="L50" s="466">
        <v>0</v>
      </c>
    </row>
    <row r="51" spans="1:14" x14ac:dyDescent="0.2">
      <c r="A51" s="1501" t="s">
        <v>42</v>
      </c>
      <c r="B51" s="611">
        <v>2330</v>
      </c>
      <c r="C51" s="466">
        <v>49253</v>
      </c>
      <c r="D51" s="466">
        <v>5987</v>
      </c>
      <c r="E51" s="466">
        <v>24660</v>
      </c>
      <c r="F51" s="466">
        <v>1651</v>
      </c>
      <c r="G51" s="466">
        <v>0</v>
      </c>
      <c r="H51" s="466">
        <v>0</v>
      </c>
      <c r="I51" s="467">
        <v>0</v>
      </c>
      <c r="J51" s="467">
        <v>0</v>
      </c>
      <c r="K51" s="1669">
        <f>SUM(C51:J51)</f>
        <v>81551</v>
      </c>
      <c r="L51" s="466">
        <v>81435</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49253</v>
      </c>
      <c r="D53" s="1667">
        <f t="shared" ref="D53:L53" si="5">SUM(D49:D52)</f>
        <v>5987</v>
      </c>
      <c r="E53" s="1667">
        <f t="shared" si="5"/>
        <v>27181</v>
      </c>
      <c r="F53" s="1667">
        <f t="shared" si="5"/>
        <v>1750</v>
      </c>
      <c r="G53" s="1667">
        <f t="shared" si="5"/>
        <v>0</v>
      </c>
      <c r="H53" s="1667">
        <f t="shared" si="5"/>
        <v>0</v>
      </c>
      <c r="I53" s="1667">
        <f t="shared" si="5"/>
        <v>0</v>
      </c>
      <c r="J53" s="1667">
        <f t="shared" si="5"/>
        <v>0</v>
      </c>
      <c r="K53" s="1667">
        <f t="shared" si="5"/>
        <v>84171</v>
      </c>
      <c r="L53" s="1667">
        <f t="shared" si="5"/>
        <v>84040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0</v>
      </c>
      <c r="F63" s="466">
        <v>0</v>
      </c>
      <c r="G63" s="466">
        <v>0</v>
      </c>
      <c r="H63" s="466">
        <v>0</v>
      </c>
      <c r="I63" s="467">
        <v>0</v>
      </c>
      <c r="J63" s="467">
        <v>0</v>
      </c>
      <c r="K63" s="1669">
        <f t="shared" si="7"/>
        <v>0</v>
      </c>
      <c r="L63" s="466">
        <v>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0</v>
      </c>
      <c r="D65" s="1667">
        <f t="shared" ref="D65:L65" si="8">SUM(D59:D64)</f>
        <v>0</v>
      </c>
      <c r="E65" s="1667">
        <f t="shared" si="8"/>
        <v>0</v>
      </c>
      <c r="F65" s="1667">
        <f t="shared" si="8"/>
        <v>0</v>
      </c>
      <c r="G65" s="1667">
        <f t="shared" si="8"/>
        <v>0</v>
      </c>
      <c r="H65" s="1667">
        <f t="shared" si="8"/>
        <v>0</v>
      </c>
      <c r="I65" s="1667">
        <f t="shared" si="8"/>
        <v>0</v>
      </c>
      <c r="J65" s="1667">
        <f t="shared" si="8"/>
        <v>0</v>
      </c>
      <c r="K65" s="1667">
        <f t="shared" si="8"/>
        <v>0</v>
      </c>
      <c r="L65" s="1667">
        <f t="shared" si="8"/>
        <v>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102809</v>
      </c>
      <c r="D74" s="1674">
        <f t="shared" ref="D74:K74" si="10">SUM(D42,D47,D53,D57,D65,D72,D73)</f>
        <v>18758</v>
      </c>
      <c r="E74" s="1674">
        <f t="shared" si="10"/>
        <v>37664</v>
      </c>
      <c r="F74" s="1674">
        <f t="shared" si="10"/>
        <v>11853</v>
      </c>
      <c r="G74" s="1674">
        <f t="shared" si="10"/>
        <v>0</v>
      </c>
      <c r="H74" s="1674">
        <f t="shared" si="10"/>
        <v>0</v>
      </c>
      <c r="I74" s="1674">
        <f t="shared" si="10"/>
        <v>0</v>
      </c>
      <c r="J74" s="1674">
        <f t="shared" si="10"/>
        <v>0</v>
      </c>
      <c r="K74" s="1674">
        <f t="shared" si="10"/>
        <v>171084</v>
      </c>
      <c r="L74" s="1674">
        <f>SUM(L42,L47,L53,L57,L65,L72,L73)</f>
        <v>164537</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17380</v>
      </c>
      <c r="F78" s="613"/>
      <c r="G78" s="613"/>
      <c r="H78" s="631">
        <v>0</v>
      </c>
      <c r="I78" s="475"/>
      <c r="J78" s="475"/>
      <c r="K78" s="1668">
        <f t="shared" ref="K78:K83" si="11">SUM(C78:J78)</f>
        <v>17380</v>
      </c>
      <c r="L78" s="479">
        <v>13560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500</v>
      </c>
      <c r="F81" s="613"/>
      <c r="G81" s="613"/>
      <c r="H81" s="466">
        <v>467471</v>
      </c>
      <c r="I81" s="475"/>
      <c r="J81" s="475"/>
      <c r="K81" s="1668">
        <f t="shared" si="11"/>
        <v>467971</v>
      </c>
      <c r="L81" s="466">
        <v>352411</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17880</v>
      </c>
      <c r="F84" s="613"/>
      <c r="G84" s="613"/>
      <c r="H84" s="1667">
        <f>SUM(H78:H83)</f>
        <v>467471</v>
      </c>
      <c r="I84" s="475"/>
      <c r="J84" s="475"/>
      <c r="K84" s="1667">
        <f>SUM(K78:K83)</f>
        <v>485351</v>
      </c>
      <c r="L84" s="1667">
        <f>SUM(L78:L83)</f>
        <v>365971</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17880</v>
      </c>
      <c r="F102" s="613"/>
      <c r="G102" s="613"/>
      <c r="H102" s="1674">
        <f>SUM(H84,H92,H100,H101)</f>
        <v>467471</v>
      </c>
      <c r="I102" s="475"/>
      <c r="J102" s="475"/>
      <c r="K102" s="1674">
        <f>SUM(K84,K92,K100,K101)</f>
        <v>485351</v>
      </c>
      <c r="L102" s="1674">
        <f>SUM(L84,L92,L100,L101)</f>
        <v>365971</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102809</v>
      </c>
      <c r="D114" s="1667">
        <f t="shared" ref="D114:K114" si="13">SUM(D33,D74,D75,D102,D112,D113)</f>
        <v>18758</v>
      </c>
      <c r="E114" s="1667">
        <f t="shared" si="13"/>
        <v>63975</v>
      </c>
      <c r="F114" s="1667">
        <f t="shared" si="13"/>
        <v>159092</v>
      </c>
      <c r="G114" s="1667">
        <f t="shared" si="13"/>
        <v>117423</v>
      </c>
      <c r="H114" s="1667">
        <f>SUM(H33,H74,H75,H102,H112,H113)</f>
        <v>467471</v>
      </c>
      <c r="I114" s="1667">
        <f t="shared" si="13"/>
        <v>0</v>
      </c>
      <c r="J114" s="1667">
        <f t="shared" si="13"/>
        <v>0</v>
      </c>
      <c r="K114" s="1667">
        <f t="shared" si="13"/>
        <v>929528</v>
      </c>
      <c r="L114" s="1667">
        <f>SUM(L33,L74,L75,L102,L112,L113)</f>
        <v>795998</v>
      </c>
    </row>
    <row r="115" spans="1:14" ht="13.5" thickTop="1" x14ac:dyDescent="0.2">
      <c r="A115" s="2176" t="s">
        <v>996</v>
      </c>
      <c r="B115" s="2177"/>
      <c r="C115" s="615"/>
      <c r="D115" s="615"/>
      <c r="E115" s="615"/>
      <c r="F115" s="615"/>
      <c r="G115" s="615"/>
      <c r="H115" s="615"/>
      <c r="I115" s="615"/>
      <c r="J115" s="615"/>
      <c r="K115" s="1681">
        <f>'Revenues 9-14'!C268-'Expenditures 15-22'!K114</f>
        <v>-20192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4" t="s">
        <v>296</v>
      </c>
      <c r="B117" s="2155"/>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6" t="s">
        <v>620</v>
      </c>
      <c r="B151" s="2148"/>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169" t="s">
        <v>1178</v>
      </c>
      <c r="B152" s="2170"/>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4" t="s">
        <v>621</v>
      </c>
      <c r="B154" s="2156"/>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76" t="s">
        <v>996</v>
      </c>
      <c r="B175" s="2177"/>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176" t="s">
        <v>996</v>
      </c>
      <c r="B211" s="2177"/>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1" t="s">
        <v>965</v>
      </c>
      <c r="B213" s="2172"/>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7" t="s">
        <v>505</v>
      </c>
      <c r="B295" s="2168"/>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176" t="s">
        <v>996</v>
      </c>
      <c r="B296" s="2177"/>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59" t="s">
        <v>143</v>
      </c>
      <c r="B298" s="2153"/>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4" t="s">
        <v>277</v>
      </c>
      <c r="B312" s="2165"/>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0" t="s">
        <v>996</v>
      </c>
      <c r="B313" s="2161"/>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3" t="s">
        <v>149</v>
      </c>
      <c r="B315" s="2174"/>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5" t="s">
        <v>898</v>
      </c>
      <c r="B317" s="2174"/>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62" t="s">
        <v>996</v>
      </c>
      <c r="B343" s="2163"/>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2" t="s">
        <v>966</v>
      </c>
      <c r="B345" s="2153"/>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6" t="s">
        <v>996</v>
      </c>
      <c r="B368" s="2177"/>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infopath/2007/PartnerControls"/>
    <ds:schemaRef ds:uri="4d435f69-8686-490b-bd6d-b153bf22ab50"/>
    <ds:schemaRef ds:uri="http://schemas.openxmlformats.org/package/2006/metadata/core-properties"/>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2019-09-24T13:56:38Z</cp:lastPrinted>
  <dcterms:created xsi:type="dcterms:W3CDTF">2003-10-29T19:06:34Z</dcterms:created>
  <dcterms:modified xsi:type="dcterms:W3CDTF">2019-12-23T15:22:59Z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