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9210" yWindow="1950" windowWidth="22080" windowHeight="127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3" i="179" l="1"/>
  <c r="L19" i="179"/>
  <c r="L18" i="179"/>
  <c r="L14" i="179"/>
  <c r="L23" i="183" l="1"/>
  <c r="L20" i="183"/>
  <c r="L19" i="183"/>
  <c r="L16" i="183"/>
  <c r="L14" i="183"/>
  <c r="L13"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13" i="179"/>
  <c r="L12"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G39" i="108" s="1"/>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I24" i="12"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H33" i="118"/>
  <c r="D11" i="37"/>
  <c r="D22" i="37"/>
  <c r="J22" i="37"/>
  <c r="L22" i="37"/>
  <c r="D24" i="37"/>
  <c r="B4270" i="106" s="1"/>
  <c r="D4270" i="106" s="1"/>
  <c r="L5" i="11"/>
  <c r="B2056" i="106" s="1"/>
  <c r="D2056" i="106" s="1"/>
  <c r="D17" i="7"/>
  <c r="B4104" i="106" s="1"/>
  <c r="D4104" i="106" s="1"/>
  <c r="F19" i="7" l="1"/>
  <c r="B1807" i="106" s="1"/>
  <c r="D1807" i="106" s="1"/>
  <c r="F44" i="34"/>
  <c r="E29" i="108"/>
  <c r="K76" i="4"/>
  <c r="B3586" i="106" s="1"/>
  <c r="D3586" i="106" s="1"/>
  <c r="L13" i="11"/>
  <c r="B2060" i="106" s="1"/>
  <c r="D2060" i="106" s="1"/>
  <c r="F68" i="34"/>
  <c r="G35" i="108"/>
  <c r="H342" i="29"/>
  <c r="H112" i="29"/>
  <c r="B7018" i="106" s="1"/>
  <c r="D7018" i="106" s="1"/>
  <c r="B2805" i="106"/>
  <c r="D2805" i="106" s="1"/>
  <c r="H28" i="118"/>
  <c r="G14" i="4"/>
  <c r="B2609" i="106" s="1"/>
  <c r="D2609" i="106" s="1"/>
  <c r="F72" i="34"/>
  <c r="F46" i="34"/>
  <c r="E35" i="108"/>
  <c r="G29" i="108"/>
  <c r="B7235" i="106"/>
  <c r="D7235" i="106" s="1"/>
  <c r="J77" i="4"/>
  <c r="B6262" i="106" s="1"/>
  <c r="D6262" i="106" s="1"/>
  <c r="D9" i="7"/>
  <c r="B1767" i="106" s="1"/>
  <c r="D1767" i="106" s="1"/>
  <c r="C342" i="29"/>
  <c r="B7216" i="106" s="1"/>
  <c r="D7216" i="106" s="1"/>
  <c r="H365" i="29"/>
  <c r="B7242" i="106" s="1"/>
  <c r="D7242" i="106" s="1"/>
  <c r="F77" i="4"/>
  <c r="B3255" i="106" s="1"/>
  <c r="D3255" i="106" s="1"/>
  <c r="B1996" i="106"/>
  <c r="D1996" i="106" s="1"/>
  <c r="I26" i="12"/>
  <c r="B7741" i="106" s="1"/>
  <c r="D7741" i="106" s="1"/>
  <c r="J41" i="3"/>
  <c r="K184" i="29"/>
  <c r="F13" i="4" s="1"/>
  <c r="B2596" i="106" s="1"/>
  <c r="D2596" i="106" s="1"/>
  <c r="G210" i="29"/>
  <c r="K41" i="3"/>
  <c r="L15" i="11"/>
  <c r="B3459" i="106" s="1"/>
  <c r="D3459" i="106" s="1"/>
  <c r="B1990" i="106"/>
  <c r="D1990" i="106" s="1"/>
  <c r="C129" i="29"/>
  <c r="C151" i="29" s="1"/>
  <c r="B1226" i="106" s="1"/>
  <c r="D1226" i="106" s="1"/>
  <c r="L367" i="29"/>
  <c r="D7245" i="106"/>
  <c r="C352" i="29"/>
  <c r="C367" i="29" s="1"/>
  <c r="B3622" i="106" s="1"/>
  <c r="D3622" i="106" s="1"/>
  <c r="B1308" i="106"/>
  <c r="D1308" i="106" s="1"/>
  <c r="E174" i="29"/>
  <c r="B1309" i="106" s="1"/>
  <c r="D1309" i="106" s="1"/>
  <c r="K28" i="118"/>
  <c r="O27" i="118" s="1"/>
  <c r="O29" i="118" s="1"/>
  <c r="L342" i="29"/>
  <c r="B3254" i="106"/>
  <c r="D3254" i="106" s="1"/>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J16" i="4" l="1"/>
  <c r="B6226" i="106" s="1"/>
  <c r="D6226" i="106" s="1"/>
  <c r="D7250" i="106"/>
  <c r="B3621" i="106"/>
  <c r="D3621" i="106" s="1"/>
  <c r="B1266" i="106"/>
  <c r="D1266" i="106" s="1"/>
  <c r="K365" i="29"/>
  <c r="D7254" i="106"/>
  <c r="D7252" i="106"/>
  <c r="B1381" i="106"/>
  <c r="D1381" i="106" s="1"/>
  <c r="D7256" i="106"/>
  <c r="D7251" i="106"/>
  <c r="G170" i="5"/>
  <c r="L114" i="29"/>
  <c r="L16" i="11"/>
  <c r="B2061" i="106" s="1"/>
  <c r="D2061" i="106" s="1"/>
  <c r="C114" i="29"/>
  <c r="B757" i="106" s="1"/>
  <c r="D757" i="106" s="1"/>
  <c r="F174" i="34"/>
  <c r="D44" i="36"/>
  <c r="D7253" i="106"/>
  <c r="K342" i="29"/>
  <c r="F13" i="34" s="1"/>
  <c r="B3568" i="106"/>
  <c r="D3568" i="106" s="1"/>
  <c r="D52" i="36"/>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78" i="106" l="1"/>
  <c r="D5778" i="106" s="1"/>
  <c r="G6" i="4"/>
  <c r="B2604" i="106" s="1"/>
  <c r="D260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<sst xmlns="http://schemas.openxmlformats.org/spreadsheetml/2006/main" count="5187" uniqueCount="2143">
  <si>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</si>
  <si>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</si>
  <si>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</si>
  <si>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</si>
  <si>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</si>
  <si>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</si>
  <si>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</si>
  <si>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</si>
  <si>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</si>
  <si>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</si>
  <si>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</si>
  <si>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</si>
  <si>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</si>
  <si>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</si>
  <si>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</si>
  <si>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</si>
  <si>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</si>
  <si>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</si>
  <si>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</si>
  <si>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</si>
  <si>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</si>
  <si>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</si>
  <si>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</si>
  <si>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</si>
  <si>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</si>
  <si>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</si>
  <si>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</si>
  <si>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</si>
  <si>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</si>
  <si>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</si>
  <si>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</si>
  <si>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</si>
  <si>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</si>
  <si>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</si>
  <si>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</si>
  <si>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</si>
  <si>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</si>
  <si>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</si>
  <si>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</si>
  <si>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</si>
  <si>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</si>
  <si>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</si>
  <si>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</si>
  <si>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</si>
  <si>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</si>
  <si>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</si>
  <si>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</si>
  <si>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</si>
  <si>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</si>
  <si>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</si>
  <si>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</si>
  <si>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</si>
  <si>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</si>
  <si>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</si>
  <si>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</si>
  <si>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</si>
  <si>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</si>
  <si>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</si>
  <si>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</si>
  <si>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</si>
  <si>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</si>
  <si>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</si>
  <si>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</si>
  <si>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</si>
  <si>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</si>
  <si>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</si>
  <si>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</si>
  <si>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</si>
  <si>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</si>
  <si>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</si>
  <si>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</si>
  <si>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</si>
  <si>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</si>
  <si>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</si>
  <si>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</si>
  <si>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</si>
  <si>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</si>
  <si>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</si>
  <si>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</si>
  <si>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</si>
  <si>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</si>
  <si>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</si>
  <si>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</si>
  <si>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</si>
  <si>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</si>
  <si>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</si>
  <si>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</si>
  <si>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</si>
  <si>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</si>
  <si>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</si>
  <si>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</si>
  <si>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</si>
  <si>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</si>
  <si>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</si>
  <si>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</si>
  <si>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</si>
  <si>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</si>
  <si>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</si>
  <si>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</si>
  <si>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</si>
  <si>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</si>
  <si>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</si>
  <si>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</si>
  <si>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</si>
  <si>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</si>
  <si>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</si>
  <si>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</si>
  <si>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</si>
  <si>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</si>
  <si>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</si>
  <si>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</si>
  <si>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</si>
  <si>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</si>
  <si>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</si>
  <si>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</si>
  <si>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</si>
  <si>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</si>
  <si>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</si>
  <si>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</si>
  <si>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</si>
  <si>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</si>
  <si>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</si>
  <si>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</si>
  <si>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</si>
  <si>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</si>
  <si>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</si>
  <si>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</si>
  <si>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</si>
  <si>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</si>
  <si>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</si>
  <si>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</si>
  <si>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</si>
  <si>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</si>
  <si>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</si>
  <si>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</si>
  <si>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</si>
  <si>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</si>
  <si>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</si>
  <si>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</si>
  <si>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</si>
  <si>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</si>
  <si>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</si>
  <si>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</si>
  <si>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</si>
  <si>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</si>
  <si>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</si>
  <si>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</si>
  <si>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</si>
  <si>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</si>
  <si>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</si>
  <si>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</si>
  <si>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</si>
  <si>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</si>
  <si>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</si>
  <si>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</si>
  <si>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</si>
  <si>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</si>
  <si>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</si>
  <si>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</si>
  <si>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</si>
  <si>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</si>
  <si>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</si>
  <si>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</si>
  <si>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</si>
  <si>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</si>
  <si>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</si>
  <si>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</si>
  <si>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</si>
  <si>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</si>
  <si>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</si>
  <si>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</si>
  <si>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</si>
  <si>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</si>
  <si>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</si>
  <si>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</si>
  <si>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</si>
  <si>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</si>
  <si>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</si>
  <si>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</si>
  <si>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</si>
  <si>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</si>
  <si>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</si>
  <si>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</si>
  <si>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</si>
  <si>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</si>
  <si>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</si>
  <si>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</si>
  <si>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</si>
  <si>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</si>
  <si>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</si>
  <si>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</si>
  <si>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</si>
  <si>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</si>
  <si>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</si>
  <si>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</si>
  <si>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</si>
  <si>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</si>
  <si>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</si>
  <si>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</si>
  <si>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</si>
  <si>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</si>
  <si>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</si>
  <si>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</si>
  <si>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</si>
  <si>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</si>
  <si>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</si>
  <si>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</si>
  <si>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</si>
  <si>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</si>
  <si>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</si>
  <si>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</si>
  <si>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</si>
  <si>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</si>
  <si>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</si>
  <si>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</si>
  <si>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</si>
  <si>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</si>
  <si>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</si>
  <si>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</si>
  <si>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</si>
  <si>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</si>
  <si>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</si>
  <si>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</si>
  <si>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</si>
  <si>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</si>
  <si>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</si>
  <si>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</si>
  <si>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</si>
  <si>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</si>
  <si>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</si>
  <si>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</si>
  <si>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</si>
  <si>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</si>
  <si>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</si>
  <si>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</si>
  <si>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</si>
  <si>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</si>
  <si>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</si>
  <si>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</si>
  <si>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</si>
  <si>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</si>
  <si>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</si>
  <si>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</si>
  <si>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</si>
  <si>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</si>
  <si>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</si>
  <si>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</si>
  <si>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</si>
  <si>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</si>
  <si>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</si>
  <si>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</si>
  <si>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</si>
  <si>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</si>
  <si>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</si>
  <si>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</si>
  <si>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</si>
  <si>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</si>
  <si>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</si>
  <si>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</si>
  <si>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</si>
  <si>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</si>
  <si>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</si>
  <si>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</si>
  <si>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</si>
  <si>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</si>
  <si>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</si>
  <si>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</si>
  <si>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</si>
  <si>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</si>
  <si>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</si>
  <si>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</si>
  <si>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</si>
  <si>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</si>
  <si>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</si>
  <si>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</si>
  <si>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</si>
  <si>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</si>
  <si>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</si>
  <si>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</si>
  <si>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</si>
  <si>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</si>
  <si>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</si>
  <si>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</si>
  <si>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</si>
  <si>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</si>
  <si>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</si>
  <si>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</si>
  <si>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</si>
  <si>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</si>
  <si>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</si>
  <si>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</si>
  <si>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</si>
  <si>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</si>
  <si>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</si>
  <si>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</si>
  <si>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</si>
  <si>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</si>
  <si>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</si>
  <si>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</si>
  <si>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</si>
  <si>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</si>
  <si>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</si>
  <si>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</si>
  <si>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</si>
  <si>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</si>
  <si>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</si>
  <si>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</si>
  <si>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</si>
  <si>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</si>
  <si>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</si>
  <si>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</si>
  <si>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</si>
  <si>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</si>
  <si>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</si>
  <si>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</si>
  <si>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</si>
  <si>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</si>
  <si>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</si>
  <si>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</si>
  <si>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</si>
  <si>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</si>
  <si>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</si>
  <si>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</si>
  <si>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</si>
  <si>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</si>
  <si>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</si>
  <si>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</si>
  <si>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</si>
  <si>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</si>
  <si>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</si>
  <si>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</si>
  <si>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</si>
  <si>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</si>
  <si>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</si>
  <si>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</si>
  <si>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</si>
  <si>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</si>
  <si>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</si>
  <si>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</si>
  <si>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</si>
  <si>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</si>
  <si>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</si>
  <si>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</si>
  <si>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</si>
  <si>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</si>
  <si>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</si>
  <si>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</si>
  <si>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</si>
  <si>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</si>
  <si>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</si>
  <si>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</si>
  <si>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</si>
  <si>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</si>
  <si>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</si>
  <si>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</si>
  <si>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</si>
  <si>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</si>
  <si>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</si>
  <si>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</si>
  <si>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</si>
  <si>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</si>
  <si>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</si>
  <si>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</si>
  <si>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</si>
  <si>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</si>
  <si>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</si>
  <si>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</si>
  <si>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</si>
  <si>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</si>
  <si>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</si>
  <si>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</si>
  <si>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</si>
  <si>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</si>
  <si>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</si>
  <si>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</si>
  <si>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</si>
  <si>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</si>
  <si>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</si>
  <si>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</si>
  <si>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</si>
  <si>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</si>
  <si>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</si>
  <si>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</si>
  <si>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</si>
  <si>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</si>
  <si>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</si>
  <si>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</si>
  <si>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</si>
  <si>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</si>
  <si>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</si>
  <si>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</si>
  <si>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</si>
  <si>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</si>
  <si>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</si>
  <si>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</si>
  <si>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</si>
  <si>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</si>
  <si>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</si>
  <si>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</si>
  <si>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</si>
  <si>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</si>
  <si>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</si>
  <si>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</si>
  <si>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</si>
  <si>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</si>
  <si>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</si>
  <si>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</si>
  <si>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</si>
  <si>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</si>
  <si>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</si>
  <si>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</si>
  <si>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</si>
  <si>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</si>
  <si>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</si>
  <si>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</si>
  <si>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</si>
  <si>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</si>
  <si>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</si>
  <si>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</si>
  <si>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</si>
  <si>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</si>
  <si>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</si>
  <si>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</si>
  <si>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</si>
  <si>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</si>
  <si>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</si>
  <si>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</si>
  <si>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</si>
  <si>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</si>
  <si>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</si>
  <si>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</si>
  <si>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</si>
  <si>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</si>
  <si>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</si>
  <si>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</si>
  <si>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</si>
  <si>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</si>
  <si>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</si>
  <si>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</si>
  <si>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</si>
  <si>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</si>
  <si>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</si>
  <si>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</si>
  <si>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</si>
  <si>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</si>
  <si>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</si>
  <si>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</si>
  <si>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</si>
  <si>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</si>
  <si>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</si>
  <si>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</si>
  <si>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</si>
  <si>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</si>
  <si>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</si>
  <si>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</si>
  <si>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</si>
  <si>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</si>
  <si>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</si>
  <si>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</si>
  <si>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</si>
  <si>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</si>
  <si>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</si>
  <si>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</si>
  <si>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</si>
  <si>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</si>
  <si>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</si>
  <si>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</si>
  <si>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</si>
  <si>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</si>
  <si>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</si>
  <si>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</si>
  <si>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</si>
  <si>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</si>
  <si>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</si>
  <si>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</si>
  <si>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</si>
  <si>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</si>
  <si>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</si>
  <si>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</si>
  <si>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</si>
  <si>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</si>
  <si>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</si>
  <si>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</si>
  <si>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</si>
  <si>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</si>
  <si>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</si>
  <si>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</si>
  <si>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</si>
  <si>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</si>
  <si>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</si>
  <si>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</si>
  <si>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</si>
  <si>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</si>
  <si>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</si>
  <si>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</si>
  <si>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</si>
  <si>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</si>
  <si>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</si>
  <si>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</si>
  <si>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</si>
  <si>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</si>
  <si>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</si>
  <si>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</si>
  <si>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</si>
  <si>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</si>
  <si>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</si>
  <si>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</si>
  <si>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</si>
  <si>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</si>
  <si>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</si>
  <si>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</si>
  <si>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</si>
  <si>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</si>
  <si>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</si>
  <si>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</si>
  <si>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</si>
  <si>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</si>
  <si>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</si>
  <si>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</si>
  <si>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</si>
  <si>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</si>
  <si>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</si>
  <si>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</si>
  <si>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</si>
  <si>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</si>
  <si>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</si>
  <si>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</si>
  <si>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</si>
  <si>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</si>
  <si>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</si>
  <si>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</si>
  <si>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</si>
  <si>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</si>
  <si>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</si>
  <si>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</si>
  <si>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</si>
  <si>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</si>
  <si>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</si>
  <si>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</si>
  <si>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</si>
  <si>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</si>
  <si>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</si>
  <si>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</si>
  <si>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</si>
  <si>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</si>
  <si>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</si>
  <si>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</si>
  <si>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</si>
  <si>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</si>
  <si>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</si>
  <si>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</si>
  <si>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</si>
  <si>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</si>
  <si>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</si>
  <si>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</si>
  <si>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</si>
  <si>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</si>
  <si>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</si>
  <si>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</si>
  <si>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</si>
  <si>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</si>
  <si>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</si>
  <si>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</si>
  <si>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</si>
  <si>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</si>
  <si>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</si>
  <si>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</si>
  <si>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</si>
  <si>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</si>
  <si>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</si>
  <si>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</si>
  <si>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</si>
  <si>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</si>
  <si>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</si>
  <si>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</si>
  <si>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</si>
  <si>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</si>
  <si>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</si>
  <si>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</si>
  <si>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</si>
  <si>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</si>
  <si>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</si>
  <si>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</si>
  <si>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</si>
  <si>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</si>
  <si>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</si>
  <si>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</si>
  <si>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</si>
  <si>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</si>
  <si>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</si>
  <si>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</si>
  <si>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</si>
  <si>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</si>
  <si>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</si>
  <si>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</si>
  <si>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</si>
  <si>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</si>
  <si>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</si>
  <si>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</si>
  <si>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</si>
  <si>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</si>
  <si>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</si>
  <si>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</si>
  <si>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</si>
  <si>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</si>
  <si>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</si>
  <si>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</si>
  <si>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</si>
  <si>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</si>
  <si>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</si>
  <si>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</si>
  <si>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</si>
  <si>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</si>
  <si>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</si>
  <si>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</si>
  <si>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</si>
  <si>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</si>
  <si>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</si>
  <si>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</si>
  <si>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</si>
  <si>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</si>
  <si>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</si>
  <si>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</si>
  <si>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</si>
  <si>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</si>
  <si>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</si>
  <si>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</si>
  <si>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</si>
  <si>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</si>
  <si>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</si>
  <si>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</si>
  <si>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</si>
  <si>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</si>
  <si>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</si>
  <si>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</si>
  <si>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</si>
  <si>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</si>
  <si>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</si>
  <si>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</si>
  <si>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</si>
  <si>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</si>
  <si>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</si>
  <si>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</si>
  <si>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</si>
  <si>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</si>
  <si>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</si>
  <si>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</si>
  <si>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</si>
  <si>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</si>
  <si>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</si>
  <si>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</si>
  <si>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</si>
  <si>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</si>
  <si>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</si>
  <si>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</si>
  <si>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</si>
  <si>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</si>
  <si>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</si>
  <si>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</si>
  <si>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</si>
  <si>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</si>
  <si>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</si>
  <si>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</si>
  <si>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</si>
  <si>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</si>
  <si>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</si>
  <si>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</si>
  <si>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</si>
  <si>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</si>
  <si>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</si>
  <si>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</si>
  <si>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</si>
  <si>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</si>
  <si>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</si>
  <si>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</si>
  <si>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</si>
  <si>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</si>
  <si>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</si>
  <si>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</si>
  <si>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</si>
  <si>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</si>
  <si>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</si>
  <si>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</si>
  <si>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</si>
  <si>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</si>
  <si>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</si>
  <si>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</si>
  <si>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</si>
  <si>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</si>
  <si>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</si>
  <si>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</si>
  <si>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</si>
  <si>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</si>
  <si>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</si>
  <si>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</si>
  <si>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</si>
  <si>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</si>
  <si>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</si>
  <si>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</si>
  <si>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</si>
  <si>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</si>
  <si>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</si>
  <si>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</si>
  <si>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</si>
  <si>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</si>
  <si>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</si>
  <si>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</si>
  <si>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</si>
  <si>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</si>
  <si>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</si>
  <si>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</si>
  <si>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</si>
  <si>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</si>
  <si>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</si>
  <si>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</si>
  <si>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</si>
  <si>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</si>
  <si>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</si>
  <si>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</si>
  <si>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</si>
  <si>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</si>
  <si>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</si>
  <si>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</si>
  <si>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</si>
  <si>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</si>
  <si>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</si>
  <si>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</si>
  <si>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</si>
  <si>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</si>
  <si>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</si>
  <si>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</si>
  <si>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</si>
  <si>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</si>
  <si>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</si>
  <si>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</si>
  <si>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</si>
  <si>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</si>
  <si>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</si>
  <si>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</si>
  <si>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</si>
  <si>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</si>
  <si>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</si>
  <si>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</si>
  <si>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</si>
  <si>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</si>
  <si>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</si>
  <si>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</si>
  <si>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</si>
  <si>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</si>
  <si>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</si>
  <si>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</si>
  <si>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</si>
  <si>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</si>
  <si>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</si>
  <si>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</si>
  <si>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</si>
  <si>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</si>
  <si>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</si>
  <si>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</si>
  <si>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</si>
  <si>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</si>
  <si>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</si>
  <si>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</si>
  <si>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</si>
  <si>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</si>
  <si>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</si>
  <si>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</si>
  <si>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</si>
  <si>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</si>
  <si>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</si>
  <si>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</si>
  <si>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</si>
  <si>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</si>
  <si>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</si>
  <si>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</si>
  <si>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</si>
  <si>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</si>
  <si>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</si>
  <si>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</si>
  <si>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</si>
  <si>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</si>
  <si>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</si>
  <si>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</si>
  <si>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</si>
  <si>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</si>
  <si>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</si>
  <si>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</si>
  <si>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</si>
  <si>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</si>
  <si>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</si>
  <si>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</si>
  <si>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</si>
  <si>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</si>
  <si>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</si>
  <si>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</si>
  <si>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</si>
  <si>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</si>
  <si>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</si>
  <si>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</si>
  <si>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</si>
  <si>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</si>
  <si>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</si>
  <si>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</si>
  <si>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</si>
  <si>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</si>
  <si>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</si>
  <si>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</si>
  <si>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</si>
  <si>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</si>
  <si>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</si>
  <si>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</si>
  <si>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</si>
  <si>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</si>
  <si>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</si>
  <si>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</si>
  <si>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</si>
  <si>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</si>
  <si>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</si>
  <si>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</si>
  <si>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</si>
  <si>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</si>
  <si>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</si>
  <si>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</si>
  <si>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</si>
  <si>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</si>
  <si>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</si>
  <si>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</si>
  <si>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</si>
  <si>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</si>
  <si>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</si>
  <si>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</si>
  <si>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</si>
  <si>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</si>
  <si>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</si>
  <si>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</si>
  <si>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</si>
  <si>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</si>
  <si>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</si>
  <si>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</si>
  <si>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</si>
  <si>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</si>
  <si>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</si>
  <si>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</si>
  <si>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</si>
  <si>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</si>
  <si>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</si>
  <si>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</si>
  <si>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</si>
  <si>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</si>
  <si>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</si>
  <si>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</si>
  <si>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</si>
  <si>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</si>
  <si>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</si>
  <si>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</si>
  <si>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</si>
  <si>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</si>
  <si>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</si>
  <si>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</si>
  <si>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</si>
  <si>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</si>
  <si>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</si>
  <si>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</si>
  <si>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</si>
  <si>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</si>
  <si>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</si>
  <si>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</si>
  <si>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</si>
  <si>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</si>
  <si>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</si>
  <si>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</si>
  <si>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</si>
  <si>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</si>
  <si>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</si>
  <si>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</si>
  <si>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</si>
  <si>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</si>
  <si>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</si>
  <si>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</si>
  <si>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</si>
  <si>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</si>
  <si>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</si>
  <si>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</si>
  <si>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</si>
  <si>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</si>
  <si>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</si>
  <si>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</si>
  <si>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</si>
  <si>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</si>
  <si>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</si>
  <si>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</si>
  <si>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</si>
  <si>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</si>
  <si>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</si>
  <si>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</si>
  <si>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</si>
  <si>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</si>
  <si>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</si>
  <si>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</si>
  <si>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</si>
  <si>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</si>
  <si>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</si>
  <si>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</si>
  <si>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</si>
  <si>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</si>
  <si>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</si>
  <si>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</si>
  <si>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</si>
  <si>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</si>
  <si>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</si>
  <si>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</si>
  <si>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</si>
  <si>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</si>
  <si>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</si>
  <si>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</si>
  <si>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</si>
  <si>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</si>
  <si>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</si>
  <si>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</si>
  <si>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</si>
  <si>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</si>
  <si>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</si>
  <si>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</si>
  <si>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</si>
  <si>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</si>
  <si>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</si>
  <si>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</si>
  <si>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</si>
  <si>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</si>
  <si>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</si>
  <si>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</si>
  <si>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</si>
  <si>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</si>
  <si>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</si>
  <si>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</si>
  <si>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</si>
  <si>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</si>
  <si>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</si>
  <si>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</si>
  <si>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</si>
  <si>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</si>
  <si>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</si>
  <si>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</si>
  <si>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</si>
  <si>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</si>
  <si>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</si>
  <si>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</si>
  <si>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</si>
  <si>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</si>
  <si>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</si>
  <si>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</si>
  <si>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</si>
  <si>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</si>
  <si>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</si>
  <si>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</si>
  <si>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</si>
  <si>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</si>
  <si>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</si>
  <si>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</si>
  <si>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</si>
  <si>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</si>
  <si>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</si>
  <si>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</si>
  <si>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</si>
  <si>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</si>
  <si>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</si>
  <si>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</si>
  <si>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</si>
  <si>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</si>
  <si>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</si>
  <si>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</si>
  <si>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</si>
  <si>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</si>
  <si>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</si>
  <si>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</si>
  <si>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</si>
  <si>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</si>
  <si>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</si>
  <si>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</si>
  <si>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</si>
  <si>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</si>
  <si>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</si>
  <si>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</si>
  <si>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</si>
  <si>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</si>
  <si>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</si>
  <si>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</si>
  <si>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</si>
  <si>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</si>
  <si>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</si>
  <si>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</si>
  <si>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</si>
  <si>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</si>
  <si>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</si>
  <si>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</si>
  <si>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</si>
  <si>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</si>
  <si>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</si>
  <si>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</si>
  <si>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</si>
  <si>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</si>
  <si>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</si>
  <si>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</si>
  <si>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</si>
  <si>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</si>
  <si>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</si>
  <si>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</si>
  <si>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</si>
  <si>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</si>
  <si>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</si>
  <si>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</si>
  <si>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</si>
  <si>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</si>
  <si>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</si>
  <si>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</si>
  <si>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</si>
  <si>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</si>
  <si>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</si>
  <si>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</si>
  <si>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</si>
  <si>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</si>
  <si>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</si>
  <si>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</si>
  <si>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</si>
  <si>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</si>
  <si>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</si>
  <si>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</si>
  <si>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</si>
  <si>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</si>
  <si>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</si>
  <si>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</si>
  <si>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</si>
  <si>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</si>
  <si>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</si>
  <si>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</si>
  <si>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</si>
  <si>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</si>
  <si>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</si>
  <si>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</si>
  <si>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</si>
  <si>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</si>
  <si>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</si>
  <si>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</si>
  <si>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</si>
  <si>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</si>
  <si>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</si>
  <si>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</si>
  <si>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</si>
  <si>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</si>
  <si>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</si>
  <si>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</si>
  <si>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</si>
  <si>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</si>
  <si>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</si>
  <si>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</si>
  <si>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</si>
  <si>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</si>
  <si>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</si>
  <si>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</si>
  <si>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</si>
  <si>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</si>
  <si>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</si>
  <si>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</si>
  <si>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</si>
  <si>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</si>
  <si>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</si>
  <si>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</si>
  <si>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</si>
  <si>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</si>
  <si>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</si>
  <si>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</si>
  <si>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</si>
  <si>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</si>
  <si>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</si>
  <si>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</si>
  <si>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</si>
  <si>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</si>
  <si>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</si>
  <si>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</si>
  <si>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</si>
  <si>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</si>
  <si>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</si>
  <si>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</si>
  <si>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</si>
  <si>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</si>
  <si>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</si>
  <si>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</si>
  <si>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</si>
  <si>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</si>
  <si>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</si>
  <si>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</si>
  <si>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</si>
  <si>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</si>
  <si>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</si>
  <si>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</si>
  <si>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</si>
  <si>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</si>
  <si>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</si>
  <si>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</si>
  <si>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</si>
  <si>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</si>
  <si>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</si>
  <si>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</si>
  <si>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</si>
  <si>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</si>
  <si>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</si>
  <si>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</si>
  <si>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</si>
  <si>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</si>
  <si>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</si>
  <si>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</si>
  <si>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</si>
  <si>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</si>
  <si>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</si>
  <si>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</si>
  <si>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</si>
  <si>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</si>
  <si>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</si>
  <si>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</si>
  <si>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</si>
  <si>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</si>
  <si>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</si>
  <si>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</si>
  <si>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</si>
  <si>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</si>
  <si>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</si>
  <si>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</si>
  <si>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</si>
  <si>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</si>
  <si>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</si>
  <si>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</si>
  <si>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</si>
  <si>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</si>
  <si>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</si>
  <si>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</si>
  <si>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</si>
  <si>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</si>
  <si>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</si>
  <si>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</si>
  <si>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</si>
  <si>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</si>
  <si>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</si>
  <si>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</si>
  <si>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</si>
  <si>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</si>
  <si>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</si>
  <si>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</si>
  <si>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</si>
  <si>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</si>
  <si>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</si>
  <si>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</si>
  <si>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</si>
  <si>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</si>
  <si>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</si>
  <si>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</si>
  <si>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</si>
  <si>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</si>
  <si>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</si>
  <si>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</si>
  <si>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</si>
  <si>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</si>
  <si>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</si>
  <si>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</si>
  <si>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</si>
  <si>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</si>
  <si>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</si>
  <si>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</si>
  <si>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</si>
  <si>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</si>
  <si>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</si>
  <si>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</si>
  <si>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</si>
  <si>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</si>
  <si>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</si>
  <si>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</si>
  <si>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</si>
  <si>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</si>
  <si>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</si>
  <si>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</si>
  <si>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</si>
  <si>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</si>
  <si>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</si>
  <si>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</si>
  <si>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</si>
  <si>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</si>
  <si>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</si>
  <si>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</si>
  <si>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</si>
  <si>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</si>
  <si>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</si>
  <si>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</si>
  <si>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</si>
  <si>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</si>
  <si>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</si>
  <si>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</si>
  <si>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</si>
  <si>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</si>
  <si>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</si>
  <si>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</si>
  <si>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</si>
  <si>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</si>
  <si>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</si>
  <si>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</si>
  <si>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</si>
  <si>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</si>
  <si>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</si>
  <si>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</si>
  <si>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</si>
  <si>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</si>
  <si>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</si>
  <si>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</si>
  <si>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</si>
  <si>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</si>
  <si>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</si>
  <si>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</si>
  <si>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</si>
  <si>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</si>
  <si>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</si>
  <si>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</si>
  <si>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</si>
  <si>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</si>
  <si>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</si>
  <si>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</si>
  <si>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</si>
  <si>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</si>
  <si>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</si>
  <si>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</si>
  <si>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</si>
  <si>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</si>
  <si>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</si>
  <si>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</si>
  <si>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</si>
  <si>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</si>
  <si>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</si>
  <si>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</si>
  <si>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</si>
  <si>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</si>
  <si>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</si>
  <si>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</si>
  <si>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</si>
  <si>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</si>
  <si>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</si>
  <si>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</si>
  <si>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</si>
  <si>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</si>
  <si>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</si>
  <si>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</si>
  <si>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</si>
  <si>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</si>
  <si>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</si>
  <si>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</si>
  <si>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</si>
  <si>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</si>
  <si>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</si>
  <si>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</si>
  <si>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</si>
  <si>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</si>
  <si>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</si>
  <si>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</si>
  <si>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</si>
  <si>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</si>
  <si>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</si>
  <si>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</si>
  <si>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</si>
  <si>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</si>
  <si>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</si>
  <si>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</si>
  <si>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</si>
  <si>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</si>
  <si>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</si>
  <si>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</si>
  <si>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</si>
  <si>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</si>
  <si>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</si>
  <si>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</si>
  <si>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</si>
  <si>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</si>
  <si>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</si>
  <si>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</si>
  <si>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</si>
  <si>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</si>
  <si>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</si>
  <si>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</si>
  <si>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</si>
  <si>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</si>
  <si>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</si>
  <si>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</si>
  <si>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</si>
  <si>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</si>
  <si>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</si>
  <si>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</si>
  <si>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</si>
  <si>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</si>
  <si>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</si>
  <si>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</si>
  <si>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</si>
  <si>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</si>
  <si>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</si>
  <si>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</si>
  <si>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</si>
  <si>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</si>
  <si>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</si>
  <si>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</si>
  <si>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</si>
  <si>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</si>
  <si>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</si>
  <si>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</si>
  <si>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</si>
  <si>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</si>
  <si>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</si>
  <si>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</si>
  <si>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</si>
  <si>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</si>
  <si>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</si>
  <si>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</si>
  <si>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</si>
  <si>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</si>
  <si>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</si>
  <si>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</si>
  <si>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</si>
  <si>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</si>
  <si>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</si>
  <si>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</si>
  <si>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</si>
  <si>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</si>
  <si>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</si>
  <si>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</si>
  <si>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</si>
  <si>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</si>
  <si>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</si>
  <si>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</si>
  <si>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</si>
  <si>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</si>
  <si>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</si>
  <si>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</si>
  <si>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</si>
  <si>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</si>
  <si>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</si>
  <si>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</si>
  <si>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</si>
  <si>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</si>
  <si>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</si>
  <si>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</si>
  <si>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</si>
  <si>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</si>
  <si>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</si>
  <si>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</si>
  <si>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</si>
  <si>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</si>
  <si>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</si>
  <si>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</si>
  <si>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</si>
  <si>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</si>
  <si>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</si>
  <si>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</si>
  <si>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</si>
  <si>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</si>
  <si>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</si>
  <si>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</si>
  <si>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</si>
  <si>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</si>
  <si>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</si>
  <si>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</si>
  <si>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</si>
  <si>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</si>
  <si>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</si>
  <si>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</si>
  <si>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</si>
  <si>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</si>
  <si>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</si>
  <si>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</si>
  <si>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</si>
  <si>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</si>
  <si>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</si>
  <si>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</si>
  <si>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</si>
  <si>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</si>
  <si>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</si>
  <si>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</si>
  <si>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</si>
  <si>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</si>
  <si>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</si>
  <si>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</si>
  <si>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</si>
  <si>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</si>
  <si>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</si>
  <si>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</si>
  <si>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</si>
  <si>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</si>
  <si>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</si>
  <si>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</si>
  <si>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</si>
  <si>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</si>
  <si>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</si>
  <si>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</si>
  <si>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</si>
  <si>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</si>
  <si>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</si>
  <si>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</si>
  <si>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</si>
  <si>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</si>
  <si>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</si>
  <si>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</si>
  <si>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</si>
  <si>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</si>
  <si>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</si>
  <si>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</si>
  <si>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</si>
  <si>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</si>
  <si>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</si>
  <si>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</si>
  <si>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</si>
  <si>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</si>
  <si>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</si>
  <si>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</si>
  <si>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</si>
  <si>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</si>
  <si>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</si>
  <si>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</si>
  <si>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</si>
  <si>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</si>
  <si>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</si>
  <si>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</si>
  <si>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</si>
  <si>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</si>
  <si>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</si>
  <si>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</si>
  <si>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</si>
  <si>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</si>
  <si>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</si>
  <si>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</si>
  <si>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</si>
  <si>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</si>
  <si>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</si>
  <si>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</si>
  <si>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</si>
  <si>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</si>
  <si>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</si>
  <si>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</si>
  <si>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</si>
  <si>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</si>
  <si>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</si>
  <si>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</si>
  <si>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</si>
  <si>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</si>
  <si>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</si>
  <si>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</si>
  <si>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</si>
  <si>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</si>
  <si>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</si>
  <si>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</si>
  <si>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</si>
  <si>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</si>
  <si>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</si>
  <si>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</si>
  <si>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</si>
  <si>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</si>
  <si>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</si>
  <si>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</si>
  <si>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</si>
  <si>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</si>
  <si>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</si>
  <si>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</si>
  <si>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</si>
  <si>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</si>
  <si>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</si>
  <si>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</si>
  <si>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</si>
  <si>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</si>
  <si>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</si>
  <si>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</si>
  <si>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</si>
  <si>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</si>
  <si>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</si>
  <si>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</si>
  <si>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</si>
  <si>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</si>
  <si>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</si>
  <si>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</si>
  <si>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</si>
  <si>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</si>
  <si>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</si>
  <si>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</si>
  <si>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</si>
  <si>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</si>
  <si>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</si>
  <si>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</si>
  <si>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</si>
  <si>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</si>
  <si>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</si>
  <si>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</si>
  <si>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</si>
  <si>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</si>
  <si>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</si>
  <si>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</si>
  <si>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</si>
  <si>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</si>
  <si>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</si>
  <si>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</si>
  <si>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</si>
  <si>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</si>
  <si>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</si>
  <si>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</si>
  <si>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</si>
  <si>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</si>
  <si>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</si>
  <si>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</si>
  <si>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</si>
  <si>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</si>
  <si>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</si>
  <si>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</si>
  <si>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</si>
  <si>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</si>
  <si>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</si>
  <si>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</si>
  <si>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</si>
  <si>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</si>
  <si>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</si>
  <si>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</si>
  <si>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</si>
  <si>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</si>
  <si>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</si>
  <si>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</si>
  <si>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</si>
  <si>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</si>
  <si>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</si>
  <si>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</si>
  <si>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</si>
  <si>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</si>
  <si>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</si>
  <si>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</si>
  <si>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</si>
  <si>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</si>
  <si>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</si>
  <si>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</si>
  <si>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</si>
  <si>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</si>
  <si>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</si>
  <si>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</si>
  <si>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</si>
  <si>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</si>
  <si>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</si>
  <si>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</si>
  <si>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</si>
  <si>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</si>
  <si>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</si>
  <si>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</si>
  <si>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</si>
  <si>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</si>
  <si>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</si>
  <si>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</si>
  <si>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</si>
  <si>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</si>
  <si>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</si>
  <si>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</si>
  <si>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</si>
  <si>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</si>
  <si>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</si>
  <si>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</si>
  <si>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</si>
  <si>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</si>
  <si>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</si>
  <si>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</si>
  <si>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</si>
  <si>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</si>
  <si>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</si>
  <si>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</si>
  <si>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</si>
  <si>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</si>
  <si>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</si>
  <si>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</si>
  <si>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</si>
  <si>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</si>
  <si>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</si>
  <si>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</si>
  <si>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</si>
  <si>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</si>
  <si>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</si>
  <si>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</si>
  <si>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</si>
  <si>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</si>
  <si>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</si>
  <si>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</si>
  <si>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</si>
  <si>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</si>
  <si>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</si>
  <si>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</si>
  <si>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</si>
  <si>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</si>
  <si>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</si>
  <si>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</si>
  <si>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</si>
  <si>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</si>
  <si>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</si>
  <si>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</si>
  <si>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</si>
  <si>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</si>
  <si>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</si>
  <si>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</si>
  <si>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</si>
  <si>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</si>
  <si>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</si>
  <si>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</si>
  <si>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</si>
  <si>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</si>
  <si>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</si>
  <si>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</si>
  <si>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</si>
  <si>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</si>
  <si>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</si>
  <si>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</si>
  <si>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</si>
  <si>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</si>
  <si>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</si>
  <si>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</si>
  <si>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</si>
  <si>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</si>
  <si>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</si>
  <si>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</si>
  <si>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</si>
  <si>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</si>
  <si>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</si>
  <si>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</si>
  <si>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</si>
  <si>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</si>
  <si>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</si>
  <si>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</si>
  <si>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</si>
  <si>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</si>
  <si>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</si>
  <si>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</si>
  <si>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</si>
  <si>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</si>
  <si>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</si>
  <si>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</si>
  <si>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</si>
  <si>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</si>
  <si>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</si>
  <si>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</si>
  <si>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</si>
  <si>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</si>
  <si>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</si>
  <si>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</si>
  <si>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</si>
  <si>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</si>
  <si>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</si>
  <si>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</si>
  <si>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</si>
  <si>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</si>
  <si>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</si>
  <si>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</si>
  <si>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</si>
  <si>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</si>
  <si>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</si>
  <si>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</si>
  <si>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</si>
  <si>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</si>
  <si>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</si>
  <si>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</si>
  <si>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</si>
  <si>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</si>
  <si>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</si>
  <si>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</si>
  <si>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</si>
  <si>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</si>
  <si>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</si>
  <si>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</si>
  <si>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</si>
  <si>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</si>
  <si>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</si>
  <si>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</si>
  <si>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</si>
  <si>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</si>
  <si>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</si>
  <si>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</si>
  <si>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</si>
  <si>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</si>
  <si>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</si>
  <si>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</si>
  <si>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</si>
  <si>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</si>
  <si>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</si>
  <si>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</si>
  <si>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</si>
  <si>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</si>
  <si>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</si>
  <si>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</si>
  <si>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</si>
  <si>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</si>
  <si>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</si>
  <si>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</si>
  <si>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</si>
  <si>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</si>
  <si>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</si>
  <si>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</si>
  <si>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</si>
  <si>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</si>
  <si>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</si>
  <si>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</si>
  <si>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</si>
  <si>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</si>
  <si>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</si>
  <si>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</si>
  <si>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</si>
  <si>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</si>
  <si>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</si>
  <si>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</si>
  <si>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</si>
  <si>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</si>
  <si>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</si>
  <si>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</si>
  <si>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</si>
  <si>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</si>
  <si>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</si>
  <si>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</si>
  <si>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</si>
  <si>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</si>
  <si>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</si>
  <si>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</si>
  <si>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</si>
  <si>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</si>
  <si>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</si>
  <si>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</si>
  <si>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</si>
  <si>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</si>
  <si>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</si>
  <si>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</si>
  <si>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</si>
  <si>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</si>
  <si>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</si>
  <si>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</si>
  <si>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</si>
  <si>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</si>
  <si>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</si>
  <si>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</si>
  <si>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</si>
  <si>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</si>
  <si>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</si>
  <si>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</si>
  <si>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</si>
  <si>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</si>
  <si>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</si>
  <si>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</si>
  <si>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</si>
  <si>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</si>
  <si>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</si>
  <si>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</si>
  <si>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</si>
  <si>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</si>
  <si>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</si>
  <si>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</si>
  <si>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</si>
  <si>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</si>
  <si>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</si>
  <si>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</si>
  <si>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</si>
  <si>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</si>
  <si>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</si>
  <si>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</si>
  <si>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</si>
  <si>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</si>
  <si>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</si>
  <si>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</si>
  <si>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</si>
  <si>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</si>
  <si>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</si>
  <si>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</si>
  <si>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</si>
  <si>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</si>
  <si>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</si>
  <si>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</si>
  <si>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</si>
  <si>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</si>
  <si>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</si>
  <si>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</si>
  <si>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</si>
  <si>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</si>
  <si>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</si>
  <si>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</si>
  <si>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</si>
  <si>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</si>
  <si>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</si>
  <si>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</si>
  <si>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</si>
  <si>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</si>
  <si>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</si>
  <si>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</si>
  <si>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</si>
  <si>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</si>
  <si>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</si>
  <si>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</si>
  <si>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</si>
  <si>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</si>
  <si>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</si>
  <si>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</si>
  <si>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</si>
  <si>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</si>
  <si>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</si>
  <si>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</si>
  <si>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</si>
  <si>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</si>
  <si>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</si>
  <si>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</si>
  <si>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</si>
  <si>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</si>
  <si>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</si>
  <si>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</si>
  <si>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</si>
  <si>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</si>
  <si>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</si>
  <si>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</si>
  <si>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</si>
  <si>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</si>
  <si>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</si>
  <si>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</si>
  <si>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</si>
  <si>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</si>
  <si>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</si>
  <si>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</si>
  <si>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</si>
  <si>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</si>
  <si>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</si>
  <si>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</si>
  <si>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</si>
  <si>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</si>
  <si>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</si>
  <si>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</si>
  <si>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</si>
  <si>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</si>
  <si>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</si>
  <si>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</si>
  <si>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</si>
  <si>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</si>
  <si>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</si>
  <si>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</si>
  <si>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</si>
  <si>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</si>
  <si>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</si>
  <si>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</si>
  <si>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</si>
  <si>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</si>
  <si>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</si>
  <si>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</si>
  <si>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</si>
  <si>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</si>
  <si>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</si>
  <si>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</si>
  <si>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</si>
  <si>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</si>
  <si>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</si>
  <si>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</si>
  <si>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</si>
  <si>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</si>
  <si>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</si>
  <si>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</si>
  <si>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</si>
  <si>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</si>
  <si>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</si>
  <si>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</si>
  <si>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</si>
  <si>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</si>
  <si>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</si>
  <si>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</si>
  <si>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</si>
  <si>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</si>
  <si>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</si>
  <si>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</si>
  <si>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</si>
  <si>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</si>
  <si>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</si>
  <si>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</si>
  <si>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</si>
  <si>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</si>
  <si>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</si>
  <si>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</si>
  <si>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</si>
  <si>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</si>
  <si>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</si>
  <si>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</si>
  <si>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</si>
  <si>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</si>
  <si>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</si>
  <si>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</si>
  <si>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</si>
  <si>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</si>
  <si>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</si>
  <si>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</si>
  <si>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</si>
  <si>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</si>
  <si>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</si>
  <si>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</si>
  <si>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</si>
  <si>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</si>
  <si>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</si>
  <si>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</si>
  <si>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</si>
  <si>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</si>
  <si>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</si>
  <si>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</si>
  <si>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</si>
  <si>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</si>
  <si>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</si>
  <si>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</si>
  <si>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</si>
  <si>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</si>
  <si>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</si>
  <si>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</si>
  <si>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</si>
  <si>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</si>
  <si>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</si>
  <si>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</si>
  <si>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</si>
  <si>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</si>
  <si>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</si>
  <si>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</si>
  <si>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</si>
  <si>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</si>
  <si>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</si>
  <si>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</si>
  <si>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</si>
  <si>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</si>
  <si>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</si>
  <si>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</si>
  <si>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</si>
  <si>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</si>
  <si>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</si>
  <si>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</si>
  <si>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</si>
  <si>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</si>
  <si>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</si>
  <si>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</si>
  <si>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</si>
  <si>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</si>
  <si>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</si>
  <si>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</si>
  <si>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</si>
  <si>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</si>
  <si>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</si>
  <si>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</si>
  <si>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</si>
  <si>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</si>
  <si>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</si>
  <si>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</si>
  <si>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</si>
  <si>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</si>
  <si>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</si>
  <si>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</si>
  <si>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</si>
  <si>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</si>
  <si>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</si>
  <si>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</si>
  <si>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</si>
  <si>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</si>
  <si>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</si>
  <si>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</si>
  <si>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</si>
  <si>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</si>
  <si>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</si>
  <si>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</si>
  <si>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</si>
  <si>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</si>
  <si>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</si>
  <si>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</si>
  <si>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</si>
  <si>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</si>
  <si>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</si>
  <si>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</si>
  <si>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</si>
  <si>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</si>
  <si>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</si>
  <si>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</si>
  <si>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</si>
  <si>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</si>
  <si>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</si>
  <si>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</si>
  <si>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</si>
  <si>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</si>
  <si>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</si>
  <si>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</si>
  <si>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</si>
  <si>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</si>
  <si>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</si>
  <si>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</si>
  <si>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</si>
  <si>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</si>
  <si>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</si>
  <si>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</si>
  <si>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</si>
  <si>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</si>
  <si>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</si>
  <si>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</si>
  <si>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</si>
  <si>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</si>
  <si>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</si>
  <si>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</si>
  <si>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</si>
  <si>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</si>
  <si>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</si>
  <si>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</si>
  <si>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</si>
  <si>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</si>
  <si>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</si>
  <si>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</si>
  <si>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</si>
  <si>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</si>
  <si>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</si>
  <si>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</si>
  <si>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</si>
  <si>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</si>
  <si>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</si>
  <si>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</si>
  <si>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</si>
  <si>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</si>
  <si>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</si>
  <si>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</si>
  <si>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</si>
  <si>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</si>
  <si>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</si>
  <si>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</si>
  <si>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</si>
  <si>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</si>
  <si>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</si>
  <si>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</si>
  <si>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</si>
  <si>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</si>
  <si>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</si>
  <si>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</si>
  <si>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</si>
  <si>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</si>
  <si>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</si>
  <si>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</si>
  <si>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</si>
  <si>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</si>
  <si>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</si>
  <si>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</si>
  <si>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</si>
  <si>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</si>
  <si>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</si>
  <si>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</si>
  <si>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</si>
  <si>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</si>
  <si>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</si>
  <si>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</si>
  <si>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</si>
  <si>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</si>
  <si>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</si>
  <si>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</si>
  <si>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</si>
  <si>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</si>
  <si>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</si>
  <si>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</si>
  <si>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</si>
  <si>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</si>
  <si>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</si>
  <si>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</si>
  <si>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</si>
  <si>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</si>
  <si>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</si>
  <si>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</si>
  <si>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</si>
  <si>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</si>
  <si>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Pehlman and Dold, P.C.</t>
  </si>
  <si>
    <t>100 North Amos Avenue</t>
  </si>
  <si>
    <t>Springfield</t>
  </si>
  <si>
    <t>IL</t>
  </si>
  <si>
    <t>(217) 787-0563</t>
  </si>
  <si>
    <t>(217) 787-9266</t>
  </si>
  <si>
    <t>060-004845</t>
  </si>
  <si>
    <t>x</t>
  </si>
  <si>
    <t>Dorinda L Fitzgerald</t>
  </si>
  <si>
    <t>Capital Area Career Center</t>
  </si>
  <si>
    <t>2201 Toronto Road</t>
  </si>
  <si>
    <t>Springfield, IL</t>
  </si>
  <si>
    <t>Jodi Ferriell, Director</t>
  </si>
  <si>
    <t>jferriell@caccschool.org</t>
  </si>
  <si>
    <t>(217) 529-5431</t>
  </si>
  <si>
    <t>(217) 529-7614</t>
  </si>
  <si>
    <t>2003 Debt Certificate (paid out of Education Fund)</t>
  </si>
  <si>
    <t>TRS Employer Share of NPL</t>
  </si>
  <si>
    <t>IMRF Employer Share of NPL</t>
  </si>
  <si>
    <t>THIS Employer Share of NPL</t>
  </si>
  <si>
    <t>Debt Certificate</t>
  </si>
  <si>
    <t>Pension Obligations</t>
  </si>
  <si>
    <t>OPEB Obligations</t>
  </si>
  <si>
    <t>Prairie State Insurance Cooperative</t>
  </si>
  <si>
    <t>The Computer Department</t>
  </si>
  <si>
    <t>University of Spa &amp; Cosmetology</t>
  </si>
  <si>
    <t>ED-CTE Programs-Purchased Services</t>
  </si>
  <si>
    <t>ED-Oper &amp; Maint of Plant Services-Purchased Services</t>
  </si>
  <si>
    <t>10-2540-300</t>
  </si>
  <si>
    <t>10-1400-300</t>
  </si>
  <si>
    <t>Education Fund - A/c 1999 - Insurance Receivable $9,311, Credit Card Rewards $1,765, Misc Refunds and Reimbursements $1,280</t>
  </si>
  <si>
    <t>Education Fund - A/c 3999 - IL Community College Board - Licensed Practial Nursing Grant $347,000</t>
  </si>
  <si>
    <t>Education Fund - A/c 4999 - WIA Skilled Trades Essentials Grant $2,234</t>
  </si>
  <si>
    <t>Capital Projects Fund - A/c 1993 - Student Parking Fees $9,236</t>
  </si>
  <si>
    <t>Education Fund - A/c 8990 - Principal payment of Debt Certificate $100,000</t>
  </si>
  <si>
    <t>Error #8 - Debt Certificate principal payments posted to account 8990</t>
  </si>
  <si>
    <t>Error #8 - Changes in Net Pension Liabilities and Net OPEB Liability per GASB 68 and GASB 75 reports</t>
  </si>
  <si>
    <t>US Department of Education - Student Financial Aid Cluster:</t>
  </si>
  <si>
    <t>Federal Direct Student Loans (FDSL)  (M)</t>
  </si>
  <si>
    <t>Federal PELL Grant Programs  (M)</t>
  </si>
  <si>
    <t>n/a</t>
  </si>
  <si>
    <t>TOTAL US DEPARTMENT OF EDUCATION-STUDENT FINANCIAL AID CLUSTER</t>
  </si>
  <si>
    <t>US Department of Education-Passed Through from One LEA to Another:</t>
  </si>
  <si>
    <t>Regional Office of Career and Technical Education:</t>
  </si>
  <si>
    <t>Basic Grants to State-V.W. Carl D. Perkins</t>
  </si>
  <si>
    <t>84.048A</t>
  </si>
  <si>
    <t>TOTAL US DEPT OF EDUCATION PASSED THROUGH FROM ONE LEA TO ANOTHER-CFDA #84.048A</t>
  </si>
  <si>
    <t>US Department of Health and Human Services passed through the IL Department of</t>
  </si>
  <si>
    <t>Commerce &amp; Economic Opportunity:</t>
  </si>
  <si>
    <t>Community Services Block Grant</t>
  </si>
  <si>
    <t>OF COMMERCE &amp; ECONOMIC OPPORTUNITY-</t>
  </si>
  <si>
    <t>CFDA #93.569</t>
  </si>
  <si>
    <t>TOTAL US DEPARTMENT OF HEALTH AND HUMAN SERVICES PASSED THROUGH THE IL DEPARTMENT</t>
  </si>
  <si>
    <t>US Department of Labor passed through the IL Department of Commerce and Economic</t>
  </si>
  <si>
    <t>Opportunity:</t>
  </si>
  <si>
    <t>WIOA Adult Programs</t>
  </si>
  <si>
    <t>WIOA Youth Activities</t>
  </si>
  <si>
    <t>YTH-1901</t>
  </si>
  <si>
    <t>TOTAL US DEPARTMENT OF LABOR PASSED THROUGH THE IL DEPARTMENT OF COMMERCE</t>
  </si>
  <si>
    <t>AND ECONOMIC OPPORTUNITY</t>
  </si>
  <si>
    <t>US Department of Veteran Affairs:</t>
  </si>
  <si>
    <t>Post 9/11-Veterans Education Assistance</t>
  </si>
  <si>
    <t>TOTAL US DEPARTMENT OF VETERANS ASSISTANCE-CFDA #64.028</t>
  </si>
  <si>
    <t>TOTAL FEDERAL FUNDING</t>
  </si>
  <si>
    <t>FDSL-Flow Through Funding (See Federal Note #1)</t>
  </si>
  <si>
    <t>PELL-Flow Through Funding (See Federal Note #1)</t>
  </si>
  <si>
    <t>WIOA-Flow Through Funding (See Federal Note #1)</t>
  </si>
  <si>
    <t>Post 9/11 Veterans Educ Assist-Flow Through Funding (See Fedl Note #1)</t>
  </si>
  <si>
    <t>Community Service Block Grant-Flow Through Funding (See Fedl Note #1)</t>
  </si>
  <si>
    <t>The accompanying Schedule of Expenditures of Federal Awards includes the federal grant activity of Capital Area Career Center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</si>
  <si>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Capital Area Career Center provided federal awards to subrecipients as follows:</t>
  </si>
  <si>
    <t>Not applicable - No payments to subrecipients</t>
  </si>
  <si>
    <r>
      <t xml:space="preserve">The following amounts were expended in the form of non-cash assistance by Capital Area Career Center and </t>
    </r>
    <r>
      <rPr>
        <b/>
        <sz val="9"/>
        <rFont val="Calibri"/>
        <family val="2"/>
        <scheme val="minor"/>
      </rPr>
      <t>should be</t>
    </r>
    <r>
      <rPr>
        <sz val="9"/>
        <rFont val="Calibri"/>
        <family val="2"/>
        <scheme val="minor"/>
      </rPr>
      <t xml:space="preserve"> included in the Schedule of Expenditures of Federal Awards - Not Applicable - no non-cash awards received:</t>
    </r>
  </si>
  <si>
    <t>Unmodified</t>
  </si>
  <si>
    <t>Student Financial Aid Cluster</t>
  </si>
  <si>
    <t>Federal PELL Grant Programs</t>
  </si>
  <si>
    <t>Federal Direct Student Loans</t>
  </si>
  <si>
    <t>N/a</t>
  </si>
  <si>
    <t>None</t>
  </si>
  <si>
    <t xml:space="preserve">Sangamon                        </t>
  </si>
  <si>
    <t xml:space="preserve">Pehlman and Dold, P.C.                 </t>
  </si>
  <si>
    <t>PDF in Opinion Page with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</si>
</sst>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56" fillId="0" borderId="69" xfId="3" applyFont="1" applyBorder="1" applyAlignment="1" applyProtection="1">
      <alignment horizontal="left"/>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1752600</xdr:colOff>
          <xdr:row>2</xdr:row>
          <xdr:rowOff>38100</xdr:rowOff>
        </xdr:from>
        <xdr:to>
          <xdr:col>1</xdr:col>
          <xdr:colOff>2667000</xdr:colOff>
          <xdr:row>6</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5" t="s">
        <v>405</v>
      </c>
      <c r="J1" s="2016"/>
      <c r="K1" s="2016"/>
      <c r="L1" s="2016"/>
      <c r="M1" s="2016"/>
      <c r="N1" s="2016"/>
      <c r="O1" s="2016"/>
      <c r="P1" s="2016"/>
      <c r="Q1" s="2016"/>
      <c r="R1" s="2016"/>
      <c r="S1" s="2016"/>
    </row>
    <row r="2" spans="1:28" ht="12" customHeight="1" x14ac:dyDescent="0.2">
      <c r="A2" s="47" t="s">
        <v>1990</v>
      </c>
      <c r="D2" s="48"/>
      <c r="I2" s="2017" t="s">
        <v>979</v>
      </c>
      <c r="J2" s="2016"/>
      <c r="K2" s="2016"/>
      <c r="L2" s="2016"/>
      <c r="M2" s="2016"/>
      <c r="N2" s="2016"/>
      <c r="O2" s="2016"/>
      <c r="P2" s="2016"/>
      <c r="Q2" s="2016"/>
      <c r="R2" s="2016"/>
      <c r="S2" s="2016"/>
    </row>
    <row r="3" spans="1:28" ht="12" customHeight="1" x14ac:dyDescent="0.2">
      <c r="A3" s="155" t="s">
        <v>1942</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c r="C5" s="26" t="s">
        <v>910</v>
      </c>
      <c r="D5" s="84"/>
      <c r="E5" s="84"/>
      <c r="H5" s="38"/>
      <c r="I5" s="2024" t="s">
        <v>680</v>
      </c>
      <c r="J5" s="1969"/>
      <c r="K5" s="1969"/>
      <c r="L5" s="1969"/>
      <c r="M5" s="1969"/>
      <c r="N5" s="1969"/>
      <c r="O5" s="1969"/>
      <c r="P5" s="1969"/>
      <c r="Q5" s="1969"/>
      <c r="R5" s="1969"/>
      <c r="S5" s="1969"/>
    </row>
    <row r="6" spans="1:28" ht="14.1" customHeight="1" x14ac:dyDescent="0.2">
      <c r="B6" s="104" t="s">
        <v>2068</v>
      </c>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t="s">
        <v>2068</v>
      </c>
      <c r="P12" s="100" t="s">
        <v>202</v>
      </c>
      <c r="Q12" s="74"/>
      <c r="R12" s="30"/>
      <c r="S12" s="30"/>
      <c r="T12" s="85" t="s">
        <v>265</v>
      </c>
      <c r="U12" s="51"/>
      <c r="V12" s="51"/>
      <c r="W12" s="51"/>
      <c r="X12" s="51"/>
      <c r="Y12" s="45"/>
      <c r="Z12" s="45"/>
      <c r="AA12" s="46"/>
    </row>
    <row r="13" spans="1:28" ht="13.5" customHeight="1" x14ac:dyDescent="0.2">
      <c r="A13" s="1985">
        <v>51084790040</v>
      </c>
      <c r="B13" s="1986"/>
      <c r="C13" s="1986"/>
      <c r="D13" s="1986"/>
      <c r="E13" s="1986"/>
      <c r="F13" s="1986"/>
      <c r="G13" s="1986"/>
      <c r="H13" s="1987"/>
      <c r="I13" s="31"/>
      <c r="J13" s="30"/>
      <c r="K13" s="28"/>
      <c r="L13" s="30"/>
      <c r="M13" s="30"/>
      <c r="N13" s="30"/>
      <c r="O13" s="30"/>
      <c r="P13" s="30"/>
      <c r="Q13" s="30"/>
      <c r="R13" s="30"/>
      <c r="S13" s="30"/>
      <c r="T13" s="1990" t="s">
        <v>2141</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2140</v>
      </c>
      <c r="B15" s="1988"/>
      <c r="C15" s="1988"/>
      <c r="D15" s="1988"/>
      <c r="E15" s="1988"/>
      <c r="F15" s="1988"/>
      <c r="G15" s="1988"/>
      <c r="H15" s="1989"/>
      <c r="T15" s="1951" t="s">
        <v>2069</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2070</v>
      </c>
      <c r="B17" s="2013"/>
      <c r="C17" s="2013"/>
      <c r="D17" s="2013"/>
      <c r="E17" s="2013"/>
      <c r="F17" s="2013"/>
      <c r="G17" s="2013"/>
      <c r="H17" s="2014"/>
      <c r="T17" s="2000" t="s">
        <v>2062</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2071</v>
      </c>
      <c r="B19" s="1984"/>
      <c r="C19" s="1984"/>
      <c r="D19" s="1984"/>
      <c r="E19" s="1984"/>
      <c r="F19" s="1984"/>
      <c r="G19" s="1984"/>
      <c r="H19" s="1982"/>
      <c r="I19" s="30"/>
      <c r="J19" s="99"/>
      <c r="K19" s="40"/>
      <c r="L19" s="38"/>
      <c r="M19" s="112" t="s">
        <v>315</v>
      </c>
      <c r="P19" s="27"/>
      <c r="Q19" s="27"/>
      <c r="R19" s="27"/>
      <c r="S19" s="31"/>
      <c r="T19" s="1983" t="s">
        <v>2063</v>
      </c>
      <c r="U19" s="1981"/>
      <c r="V19" s="1981"/>
      <c r="W19" s="1982"/>
      <c r="X19" s="1998" t="s">
        <v>2064</v>
      </c>
      <c r="Y19" s="1999"/>
      <c r="Z19" s="1996">
        <v>62702</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2072</v>
      </c>
      <c r="B21" s="1981"/>
      <c r="C21" s="1981"/>
      <c r="D21" s="1981"/>
      <c r="E21" s="1981"/>
      <c r="F21" s="1981"/>
      <c r="G21" s="1981"/>
      <c r="H21" s="1982"/>
      <c r="I21" s="2006" t="s">
        <v>678</v>
      </c>
      <c r="J21" s="1969"/>
      <c r="K21" s="1969"/>
      <c r="L21" s="1969"/>
      <c r="M21" s="1969"/>
      <c r="N21" s="1969"/>
      <c r="O21" s="1969"/>
      <c r="P21" s="1969"/>
      <c r="Q21" s="1969"/>
      <c r="R21" s="1969"/>
      <c r="S21" s="1970"/>
      <c r="T21" s="1948" t="s">
        <v>2065</v>
      </c>
      <c r="U21" s="1949"/>
      <c r="V21" s="1949"/>
      <c r="W21" s="1949"/>
      <c r="X21" s="1962" t="s">
        <v>2066</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c r="B23" s="2004"/>
      <c r="C23" s="2004"/>
      <c r="D23" s="2004"/>
      <c r="E23" s="2004"/>
      <c r="F23" s="2004"/>
      <c r="G23" s="2004"/>
      <c r="H23" s="2005"/>
      <c r="T23" s="1943" t="s">
        <v>2067</v>
      </c>
      <c r="U23" s="1944"/>
      <c r="V23" s="1944"/>
      <c r="W23" s="1944"/>
      <c r="X23" s="1959">
        <v>43831</v>
      </c>
      <c r="Y23" s="1960"/>
      <c r="Z23" s="1960"/>
      <c r="AA23" s="1961"/>
    </row>
    <row r="24" spans="1:27" ht="14.1" customHeight="1" x14ac:dyDescent="0.2">
      <c r="A24" s="88" t="s">
        <v>677</v>
      </c>
      <c r="B24" s="49"/>
      <c r="C24" s="49"/>
      <c r="D24" s="49"/>
      <c r="E24" s="49"/>
      <c r="F24" s="49"/>
      <c r="G24" s="49"/>
      <c r="H24" s="61"/>
      <c r="J24" s="2045" t="str">
        <f>IF(B5="x",IF(AUDITCHECK!D29="AFR form Incomplete.","",IF(AUDITCHECK!D29="Deficit reduction plan is required.","School District must complete a deficit reduction plan in the 2019-2020 Budget",)),"")</f>
        <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62712</v>
      </c>
      <c r="B25" s="1981"/>
      <c r="C25" s="1981"/>
      <c r="D25" s="1981"/>
      <c r="E25" s="1981"/>
      <c r="F25" s="1981"/>
      <c r="G25" s="1981"/>
      <c r="H25" s="1982"/>
      <c r="I25" s="113"/>
      <c r="J25" s="2047"/>
      <c r="K25" s="2047"/>
      <c r="L25" s="2047"/>
      <c r="M25" s="2047"/>
      <c r="N25" s="2047"/>
      <c r="O25" s="2047"/>
      <c r="P25" s="2047"/>
      <c r="Q25" s="2047"/>
      <c r="R25" s="2047"/>
      <c r="S25" s="2048"/>
      <c r="T25" s="1940"/>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2068</v>
      </c>
      <c r="F29" s="141" t="s">
        <v>1316</v>
      </c>
      <c r="G29" s="114"/>
      <c r="I29" s="54"/>
      <c r="J29" s="148" t="s">
        <v>2068</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2068</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2073</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2074</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2075</v>
      </c>
      <c r="B42" s="2030"/>
      <c r="C42" s="2031"/>
      <c r="D42" s="2044" t="s">
        <v>2076</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D1" sqref="D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v>43738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1468</v>
      </c>
      <c r="G88" s="276"/>
      <c r="H88" s="276"/>
      <c r="I88" s="276"/>
      <c r="J88" s="277">
        <f>SUM(E88:I88)</f>
        <v>1468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1468</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2061</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2142</v>
      </c>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5353213</v>
      </c>
      <c r="E16" s="356"/>
      <c r="F16" s="1733">
        <f>SUM('Acct Summary 7-8'!C17,'Acct Summary 7-8'!D17,'Acct Summary 7-8'!F17)</f>
        <v>5048597</v>
      </c>
      <c r="G16" s="356"/>
      <c r="H16" s="1733">
        <f>SUM(D16-F16)</f>
        <v>304616</v>
      </c>
      <c r="I16" s="222"/>
      <c r="J16" s="1733">
        <f>SUM('Acct Summary 7-8'!C81,'Acct Summary 7-8'!D81,'Acct Summary 7-8'!F81,'Acct Summary 7-8'!I81)</f>
        <v>3153971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1734482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Capital Area Career Center</v>
      </c>
      <c r="E7" s="391"/>
      <c r="G7" s="252"/>
      <c r="H7" s="387"/>
      <c r="I7" s="387"/>
      <c r="J7" s="387"/>
      <c r="K7" s="387"/>
      <c r="L7" s="329"/>
      <c r="M7" s="329"/>
      <c r="N7" s="329"/>
      <c r="O7" s="329"/>
      <c r="P7" s="329"/>
    </row>
    <row r="8" spans="1:18" ht="12.75" x14ac:dyDescent="0.2">
      <c r="A8" s="329"/>
      <c r="B8" s="329"/>
      <c r="C8" s="389" t="s">
        <v>1125</v>
      </c>
      <c r="D8" s="392">
        <f>COVER!A13</f>
        <v>51084790040</v>
      </c>
      <c r="E8" s="393"/>
      <c r="G8" s="329"/>
      <c r="H8" s="329"/>
      <c r="I8" s="329"/>
      <c r="J8" s="329"/>
      <c r="K8" s="329"/>
      <c r="L8" s="329"/>
      <c r="M8" s="329"/>
      <c r="N8" s="329"/>
      <c r="O8" s="329"/>
      <c r="P8" s="329"/>
    </row>
    <row r="9" spans="1:18" ht="12.75" x14ac:dyDescent="0.2">
      <c r="A9" s="329"/>
      <c r="B9" s="329"/>
      <c r="C9" s="389" t="s">
        <v>713</v>
      </c>
      <c r="D9" s="394" t="str">
        <f>COVER!A15</f>
        <v xml:space="preserve">Sangamon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3153971</v>
      </c>
      <c r="I12" s="404"/>
      <c r="J12" s="404"/>
      <c r="K12" s="405">
        <f>TRUNC((H12/H13*100000),5)/100000</f>
        <v>0.58917345519999997</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5353213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5048597</v>
      </c>
      <c r="I17" s="404"/>
      <c r="J17" s="416"/>
      <c r="K17" s="405">
        <f>TRUNC((H17/H18*100000),5)/100000</f>
        <v>0.94309660380000004</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5353213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2952711</v>
      </c>
      <c r="I24" s="422"/>
      <c r="J24" s="422"/>
      <c r="K24" s="423">
        <f>TRUNC(((H24/H25*100000)/100000),2)</f>
        <v>210.54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14023.88056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1734482</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2952711</v>
      </c>
      <c r="D4" s="466"/>
      <c r="E4" s="466"/>
      <c r="F4" s="466"/>
      <c r="G4" s="466"/>
      <c r="H4" s="466">
        <v>43942</v>
      </c>
      <c r="I4" s="466"/>
      <c r="J4" s="467"/>
      <c r="K4" s="466"/>
      <c r="L4" s="466">
        <v>23466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460006</v>
      </c>
      <c r="D8" s="467"/>
      <c r="E8" s="467"/>
      <c r="F8" s="467"/>
      <c r="G8" s="478"/>
      <c r="H8" s="467"/>
      <c r="I8" s="474"/>
      <c r="J8" s="474"/>
      <c r="K8" s="479"/>
      <c r="L8" s="480"/>
      <c r="M8" s="468"/>
      <c r="N8" s="469"/>
    </row>
    <row r="9" spans="1:14" ht="13.5" customHeight="1" x14ac:dyDescent="0.2">
      <c r="A9" s="473" t="s">
        <v>270</v>
      </c>
      <c r="B9" s="470">
        <v>160</v>
      </c>
      <c r="C9" s="476">
        <v>13407</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9984</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3436108</v>
      </c>
      <c r="D13" s="1737">
        <f t="shared" ref="D13:L13" si="0">SUM(D4:D12)</f>
        <v>0</v>
      </c>
      <c r="E13" s="1737">
        <f t="shared" si="0"/>
        <v>0</v>
      </c>
      <c r="F13" s="1737">
        <f t="shared" si="0"/>
        <v>0</v>
      </c>
      <c r="G13" s="1737">
        <f t="shared" si="0"/>
        <v>0</v>
      </c>
      <c r="H13" s="1737">
        <f t="shared" si="0"/>
        <v>43942</v>
      </c>
      <c r="I13" s="1737">
        <f t="shared" si="0"/>
        <v>0</v>
      </c>
      <c r="J13" s="1737">
        <f t="shared" si="0"/>
        <v>0</v>
      </c>
      <c r="K13" s="1737">
        <f t="shared" si="0"/>
        <v>0</v>
      </c>
      <c r="L13" s="1737">
        <f t="shared" si="0"/>
        <v>23466</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300000</v>
      </c>
      <c r="N16" s="484"/>
    </row>
    <row r="17" spans="1:14" s="485" customFormat="1" ht="12.75" customHeight="1" x14ac:dyDescent="0.2">
      <c r="A17" s="482" t="s">
        <v>1403</v>
      </c>
      <c r="B17" s="483">
        <v>230</v>
      </c>
      <c r="C17" s="477"/>
      <c r="D17" s="477"/>
      <c r="E17" s="477"/>
      <c r="F17" s="477"/>
      <c r="G17" s="477"/>
      <c r="H17" s="477"/>
      <c r="I17" s="477"/>
      <c r="J17" s="477"/>
      <c r="K17" s="477"/>
      <c r="L17" s="477"/>
      <c r="M17" s="467">
        <v>11044929</v>
      </c>
      <c r="N17" s="484"/>
    </row>
    <row r="18" spans="1:14" s="485" customFormat="1" ht="12.75" customHeight="1" x14ac:dyDescent="0.2">
      <c r="A18" s="482" t="s">
        <v>1404</v>
      </c>
      <c r="B18" s="483">
        <v>240</v>
      </c>
      <c r="C18" s="477"/>
      <c r="D18" s="477"/>
      <c r="E18" s="477"/>
      <c r="F18" s="477"/>
      <c r="G18" s="477"/>
      <c r="H18" s="477"/>
      <c r="I18" s="477"/>
      <c r="J18" s="477"/>
      <c r="K18" s="477"/>
      <c r="L18" s="477"/>
      <c r="M18" s="467">
        <v>588573</v>
      </c>
      <c r="N18" s="484"/>
    </row>
    <row r="19" spans="1:14" s="485" customFormat="1" ht="12.75" customHeight="1" x14ac:dyDescent="0.2">
      <c r="A19" s="482" t="s">
        <v>1405</v>
      </c>
      <c r="B19" s="483">
        <v>250</v>
      </c>
      <c r="C19" s="477"/>
      <c r="D19" s="477"/>
      <c r="E19" s="477"/>
      <c r="F19" s="477"/>
      <c r="G19" s="477"/>
      <c r="H19" s="477"/>
      <c r="I19" s="477"/>
      <c r="J19" s="477"/>
      <c r="K19" s="477"/>
      <c r="L19" s="477"/>
      <c r="M19" s="467">
        <v>1494530</v>
      </c>
      <c r="N19" s="484"/>
    </row>
    <row r="20" spans="1:14" s="485" customFormat="1" ht="12.75" customHeight="1" x14ac:dyDescent="0.2">
      <c r="A20" s="482" t="s">
        <v>1406</v>
      </c>
      <c r="B20" s="483">
        <v>260</v>
      </c>
      <c r="C20" s="477"/>
      <c r="D20" s="477"/>
      <c r="E20" s="477"/>
      <c r="F20" s="477"/>
      <c r="G20" s="477"/>
      <c r="H20" s="477"/>
      <c r="I20" s="477"/>
      <c r="J20" s="477"/>
      <c r="K20" s="477"/>
      <c r="L20" s="477"/>
      <c r="M20" s="467">
        <v>21024</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1734482</v>
      </c>
    </row>
    <row r="23" spans="1:14" ht="13.5" customHeight="1" thickBot="1" x14ac:dyDescent="0.25">
      <c r="A23" s="1736" t="s">
        <v>643</v>
      </c>
      <c r="B23" s="1741"/>
      <c r="C23" s="468"/>
      <c r="D23" s="468"/>
      <c r="E23" s="468"/>
      <c r="F23" s="468"/>
      <c r="G23" s="468"/>
      <c r="H23" s="468"/>
      <c r="I23" s="468"/>
      <c r="J23" s="468"/>
      <c r="K23" s="468"/>
      <c r="L23" s="468"/>
      <c r="M23" s="1688">
        <f>SUM(M15:M22)</f>
        <v>13449056</v>
      </c>
      <c r="N23" s="1688">
        <f>SUM(N21:N22)</f>
        <v>1734482</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v>974</v>
      </c>
      <c r="D26" s="467"/>
      <c r="E26" s="467"/>
      <c r="F26" s="467"/>
      <c r="G26" s="467"/>
      <c r="H26" s="467"/>
      <c r="I26" s="467"/>
      <c r="J26" s="474"/>
      <c r="K26" s="467"/>
      <c r="L26" s="468"/>
      <c r="M26" s="468"/>
      <c r="N26" s="468"/>
    </row>
    <row r="27" spans="1:14" ht="13.5" customHeight="1" x14ac:dyDescent="0.2">
      <c r="A27" s="473" t="s">
        <v>647</v>
      </c>
      <c r="B27" s="470">
        <v>430</v>
      </c>
      <c r="C27" s="467">
        <v>134929</v>
      </c>
      <c r="D27" s="467"/>
      <c r="E27" s="467"/>
      <c r="F27" s="467"/>
      <c r="G27" s="467"/>
      <c r="H27" s="467">
        <v>18499</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139196</v>
      </c>
      <c r="D30" s="474"/>
      <c r="E30" s="467"/>
      <c r="F30" s="467"/>
      <c r="G30" s="467"/>
      <c r="H30" s="467"/>
      <c r="I30" s="467"/>
      <c r="J30" s="467"/>
      <c r="K30" s="478"/>
      <c r="L30" s="468"/>
      <c r="M30" s="468"/>
      <c r="N30" s="468"/>
    </row>
    <row r="31" spans="1:14" ht="13.5" customHeight="1" x14ac:dyDescent="0.2">
      <c r="A31" s="473" t="s">
        <v>651</v>
      </c>
      <c r="B31" s="470">
        <v>480</v>
      </c>
      <c r="C31" s="466">
        <v>7038</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23466</v>
      </c>
      <c r="M33" s="468"/>
      <c r="N33" s="469"/>
    </row>
    <row r="34" spans="1:14" ht="13.5" customHeight="1" thickBot="1" x14ac:dyDescent="0.25">
      <c r="A34" s="1738" t="s">
        <v>654</v>
      </c>
      <c r="B34" s="1739"/>
      <c r="C34" s="1740">
        <f>SUM(C25:C33)</f>
        <v>282137</v>
      </c>
      <c r="D34" s="1740">
        <f t="shared" ref="D34:K34" si="1">SUM(D25:D33)</f>
        <v>0</v>
      </c>
      <c r="E34" s="1740">
        <f t="shared" si="1"/>
        <v>0</v>
      </c>
      <c r="F34" s="1740">
        <f t="shared" si="1"/>
        <v>0</v>
      </c>
      <c r="G34" s="1740">
        <f t="shared" si="1"/>
        <v>0</v>
      </c>
      <c r="H34" s="1740">
        <f t="shared" si="1"/>
        <v>18499</v>
      </c>
      <c r="I34" s="1740">
        <f t="shared" si="1"/>
        <v>0</v>
      </c>
      <c r="J34" s="1740">
        <f t="shared" si="1"/>
        <v>0</v>
      </c>
      <c r="K34" s="1740">
        <f t="shared" si="1"/>
        <v>0</v>
      </c>
      <c r="L34" s="1721">
        <f>SUM(L33)</f>
        <v>23466</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1734482</v>
      </c>
    </row>
    <row r="37" spans="1:14" ht="13.5" thickBot="1" x14ac:dyDescent="0.25">
      <c r="A37" s="1736" t="s">
        <v>653</v>
      </c>
      <c r="B37" s="1741"/>
      <c r="C37" s="477"/>
      <c r="D37" s="477"/>
      <c r="E37" s="477"/>
      <c r="F37" s="477"/>
      <c r="G37" s="477"/>
      <c r="H37" s="477"/>
      <c r="I37" s="477"/>
      <c r="J37" s="477"/>
      <c r="K37" s="477"/>
      <c r="L37" s="480"/>
      <c r="M37" s="468"/>
      <c r="N37" s="1688">
        <f>SUM(N36:N36)</f>
        <v>1734482</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3153971</v>
      </c>
      <c r="D39" s="466"/>
      <c r="E39" s="466"/>
      <c r="F39" s="466"/>
      <c r="G39" s="466"/>
      <c r="H39" s="466">
        <v>25443</v>
      </c>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13449056</v>
      </c>
      <c r="N40" s="497"/>
    </row>
    <row r="41" spans="1:14" ht="13.5" customHeight="1" thickBot="1" x14ac:dyDescent="0.25">
      <c r="A41" s="1736" t="s">
        <v>655</v>
      </c>
      <c r="B41" s="1706"/>
      <c r="C41" s="1688">
        <f>(SUM(C34,C37,C38,C39))</f>
        <v>3436108</v>
      </c>
      <c r="D41" s="1688">
        <f t="shared" ref="D41:L41" si="2">SUM(D34,D37,D38:D39)</f>
        <v>0</v>
      </c>
      <c r="E41" s="1688">
        <f t="shared" si="2"/>
        <v>0</v>
      </c>
      <c r="F41" s="1688">
        <f t="shared" si="2"/>
        <v>0</v>
      </c>
      <c r="G41" s="1688">
        <f t="shared" si="2"/>
        <v>0</v>
      </c>
      <c r="H41" s="1688">
        <f t="shared" si="2"/>
        <v>43942</v>
      </c>
      <c r="I41" s="1688">
        <f t="shared" si="2"/>
        <v>0</v>
      </c>
      <c r="J41" s="1688">
        <f t="shared" si="2"/>
        <v>0</v>
      </c>
      <c r="K41" s="1688">
        <f t="shared" si="2"/>
        <v>0</v>
      </c>
      <c r="L41" s="1688">
        <f t="shared" si="2"/>
        <v>23466</v>
      </c>
      <c r="M41" s="1688">
        <f>SUM(M40)</f>
        <v>13449056</v>
      </c>
      <c r="N41" s="1688">
        <f>SUM(N37)</f>
        <v>1734482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4364313</v>
      </c>
      <c r="D4" s="1742">
        <f>'Revenues 9-14'!D109</f>
        <v>0</v>
      </c>
      <c r="E4" s="1742">
        <f>'Revenues 9-14'!E109</f>
        <v>0</v>
      </c>
      <c r="F4" s="1742">
        <f>'Revenues 9-14'!F109</f>
        <v>0</v>
      </c>
      <c r="G4" s="1742">
        <f>'Revenues 9-14'!G109</f>
        <v>0</v>
      </c>
      <c r="H4" s="1742">
        <f>'Revenues 9-14'!H109</f>
        <v>9237</v>
      </c>
      <c r="I4" s="1742">
        <f>'Revenues 9-14'!I109</f>
        <v>0</v>
      </c>
      <c r="J4" s="1742">
        <f>'Revenues 9-14'!J109</f>
        <v>0</v>
      </c>
      <c r="K4" s="1742">
        <f>'Revenues 9-14'!K109</f>
        <v>0</v>
      </c>
      <c r="L4" s="347"/>
    </row>
    <row r="5" spans="1:13" ht="15.75" customHeight="1" x14ac:dyDescent="0.2">
      <c r="A5" s="1576" t="s">
        <v>1500</v>
      </c>
      <c r="B5" s="1577">
        <v>2000</v>
      </c>
      <c r="C5" s="1743">
        <f>'Revenues 9-14'!C114</f>
        <v>620387</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366279</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2234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5353213</v>
      </c>
      <c r="D8" s="1688">
        <f t="shared" ref="D8:K8" si="0">SUM(D4:D7)</f>
        <v>0</v>
      </c>
      <c r="E8" s="1688">
        <f t="shared" si="0"/>
        <v>0</v>
      </c>
      <c r="F8" s="1688">
        <f t="shared" si="0"/>
        <v>0</v>
      </c>
      <c r="G8" s="1688">
        <f t="shared" si="0"/>
        <v>0</v>
      </c>
      <c r="H8" s="1688">
        <f t="shared" si="0"/>
        <v>9237</v>
      </c>
      <c r="I8" s="1688">
        <f t="shared" si="0"/>
        <v>0</v>
      </c>
      <c r="J8" s="1688">
        <f t="shared" si="0"/>
        <v>0</v>
      </c>
      <c r="K8" s="1688">
        <f t="shared" si="0"/>
        <v>0</v>
      </c>
      <c r="L8" s="347"/>
    </row>
    <row r="9" spans="1:13" ht="15.75" thickTop="1" x14ac:dyDescent="0.2">
      <c r="A9" s="514" t="s">
        <v>1653</v>
      </c>
      <c r="B9" s="515">
        <v>3998</v>
      </c>
      <c r="C9" s="481">
        <v>995153</v>
      </c>
      <c r="D9" s="516"/>
      <c r="E9" s="481"/>
      <c r="F9" s="481"/>
      <c r="G9" s="517"/>
      <c r="H9" s="481"/>
      <c r="I9" s="509" t="s">
        <v>1169</v>
      </c>
      <c r="J9" s="478"/>
      <c r="K9" s="481"/>
      <c r="L9" s="347"/>
    </row>
    <row r="10" spans="1:13" s="519" customFormat="1" ht="13.5" thickBot="1" x14ac:dyDescent="0.25">
      <c r="A10" s="1736" t="s">
        <v>1173</v>
      </c>
      <c r="B10" s="1709"/>
      <c r="C10" s="1688">
        <f>SUM(C8:C9)</f>
        <v>6348366</v>
      </c>
      <c r="D10" s="1688">
        <f t="shared" ref="D10:K10" si="1">SUM(D8:D9)</f>
        <v>0</v>
      </c>
      <c r="E10" s="1688">
        <f t="shared" si="1"/>
        <v>0</v>
      </c>
      <c r="F10" s="1688">
        <f t="shared" si="1"/>
        <v>0</v>
      </c>
      <c r="G10" s="1688">
        <f t="shared" si="1"/>
        <v>0</v>
      </c>
      <c r="H10" s="1688">
        <f t="shared" si="1"/>
        <v>9237</v>
      </c>
      <c r="I10" s="1688">
        <f t="shared" si="1"/>
        <v>0</v>
      </c>
      <c r="J10" s="1688">
        <f t="shared" si="1"/>
        <v>0</v>
      </c>
      <c r="K10" s="1688">
        <f t="shared" si="1"/>
        <v>0</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3381406</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1666816</v>
      </c>
      <c r="D13" s="1743">
        <f>'Expenditures 15-22'!K129</f>
        <v>0</v>
      </c>
      <c r="E13" s="469" t="s">
        <v>1169</v>
      </c>
      <c r="F13" s="1743">
        <f>'Expenditures 15-22'!K184</f>
        <v>0</v>
      </c>
      <c r="G13" s="1743">
        <f>'Expenditures 15-22'!K279</f>
        <v>0</v>
      </c>
      <c r="H13" s="1743">
        <f>'Expenditures 15-22'!K303</f>
        <v>18499</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375</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5048597</v>
      </c>
      <c r="D17" s="1688">
        <f t="shared" si="2"/>
        <v>0</v>
      </c>
      <c r="E17" s="1688">
        <f t="shared" si="2"/>
        <v>0</v>
      </c>
      <c r="F17" s="1688">
        <f t="shared" si="2"/>
        <v>0</v>
      </c>
      <c r="G17" s="1688">
        <f t="shared" si="2"/>
        <v>0</v>
      </c>
      <c r="H17" s="1688">
        <f t="shared" si="2"/>
        <v>18499</v>
      </c>
      <c r="I17" s="468"/>
      <c r="J17" s="1688">
        <f>SUM(J12:J16)</f>
        <v>0</v>
      </c>
      <c r="K17" s="1688">
        <f>SUM(K12:K16)</f>
        <v>0</v>
      </c>
      <c r="L17" s="347"/>
    </row>
    <row r="18" spans="1:12" ht="15" customHeight="1" thickTop="1" x14ac:dyDescent="0.2">
      <c r="A18" s="1744" t="s">
        <v>1654</v>
      </c>
      <c r="B18" s="1745">
        <v>4180</v>
      </c>
      <c r="C18" s="1742">
        <f t="shared" ref="C18:H18" si="3">C9</f>
        <v>995153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6043750</v>
      </c>
      <c r="D19" s="1688">
        <f t="shared" si="4"/>
        <v>0</v>
      </c>
      <c r="E19" s="1688">
        <f t="shared" si="4"/>
        <v>0</v>
      </c>
      <c r="F19" s="1688">
        <f t="shared" si="4"/>
        <v>0</v>
      </c>
      <c r="G19" s="1688">
        <f t="shared" si="4"/>
        <v>0</v>
      </c>
      <c r="H19" s="1688">
        <f t="shared" si="4"/>
        <v>18499</v>
      </c>
      <c r="I19" s="468"/>
      <c r="J19" s="1688">
        <f>SUM(J17:J18)</f>
        <v>0</v>
      </c>
      <c r="K19" s="1688">
        <f>SUM(K17:K18)</f>
        <v>0</v>
      </c>
      <c r="L19" s="347"/>
    </row>
    <row r="20" spans="1:12" ht="16.5" thickTop="1" thickBot="1" x14ac:dyDescent="0.25">
      <c r="A20" s="2125" t="s">
        <v>1655</v>
      </c>
      <c r="B20" s="2126"/>
      <c r="C20" s="1746">
        <f>C8-C17</f>
        <v>304616</v>
      </c>
      <c r="D20" s="1746">
        <f t="shared" ref="D20:K20" si="5">D8-D17</f>
        <v>0</v>
      </c>
      <c r="E20" s="1746">
        <f t="shared" si="5"/>
        <v>0</v>
      </c>
      <c r="F20" s="1746">
        <f t="shared" si="5"/>
        <v>0</v>
      </c>
      <c r="G20" s="1746">
        <f t="shared" si="5"/>
        <v>0</v>
      </c>
      <c r="H20" s="1746">
        <f t="shared" si="5"/>
        <v>-9262</v>
      </c>
      <c r="I20" s="1746">
        <f t="shared" si="5"/>
        <v>0</v>
      </c>
      <c r="J20" s="1746">
        <f t="shared" si="5"/>
        <v>0</v>
      </c>
      <c r="K20" s="1746">
        <f t="shared" si="5"/>
        <v>0</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v>100000</v>
      </c>
      <c r="D75" s="531"/>
      <c r="E75" s="530"/>
      <c r="F75" s="532"/>
      <c r="G75" s="532"/>
      <c r="H75" s="532"/>
      <c r="I75" s="530"/>
      <c r="J75" s="530"/>
      <c r="K75" s="532"/>
      <c r="L75" s="524"/>
    </row>
    <row r="76" spans="1:12" s="485" customFormat="1" ht="14.25" thickTop="1" thickBot="1" x14ac:dyDescent="0.25">
      <c r="A76" s="2115" t="s">
        <v>440</v>
      </c>
      <c r="B76" s="2116"/>
      <c r="C76" s="1703">
        <f t="shared" ref="C76:K76" si="7">SUM(C47:C75)</f>
        <v>100000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-100000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204616</v>
      </c>
      <c r="D78" s="1702">
        <f t="shared" si="9"/>
        <v>0</v>
      </c>
      <c r="E78" s="1702">
        <f t="shared" si="9"/>
        <v>0</v>
      </c>
      <c r="F78" s="1702">
        <f t="shared" si="9"/>
        <v>0</v>
      </c>
      <c r="G78" s="1702">
        <f t="shared" si="9"/>
        <v>0</v>
      </c>
      <c r="H78" s="1702">
        <f t="shared" si="9"/>
        <v>-9262</v>
      </c>
      <c r="I78" s="1702">
        <f t="shared" si="9"/>
        <v>0</v>
      </c>
      <c r="J78" s="1702">
        <f t="shared" si="9"/>
        <v>0</v>
      </c>
      <c r="K78" s="1702">
        <f t="shared" si="9"/>
        <v>0</v>
      </c>
      <c r="L78" s="533"/>
    </row>
    <row r="79" spans="1:12" ht="13.5" thickTop="1" x14ac:dyDescent="0.2">
      <c r="A79" s="1494" t="s">
        <v>1946</v>
      </c>
      <c r="B79" s="534"/>
      <c r="C79" s="478">
        <v>2949355</v>
      </c>
      <c r="D79" s="535"/>
      <c r="E79" s="535"/>
      <c r="F79" s="535"/>
      <c r="G79" s="535"/>
      <c r="H79" s="535">
        <v>34705</v>
      </c>
      <c r="I79" s="535"/>
      <c r="J79" s="535"/>
      <c r="K79" s="535"/>
      <c r="L79" s="347"/>
    </row>
    <row r="80" spans="1:12" x14ac:dyDescent="0.2">
      <c r="A80" s="2127" t="s">
        <v>1792</v>
      </c>
      <c r="B80" s="2128"/>
      <c r="C80" s="467"/>
      <c r="D80" s="467"/>
      <c r="E80" s="467"/>
      <c r="F80" s="467"/>
      <c r="G80" s="467"/>
      <c r="H80" s="467"/>
      <c r="I80" s="467"/>
      <c r="J80" s="467"/>
      <c r="K80" s="467"/>
      <c r="L80" s="347"/>
    </row>
    <row r="81" spans="1:12" ht="13.5" thickBot="1" x14ac:dyDescent="0.25">
      <c r="A81" s="2119" t="s">
        <v>1947</v>
      </c>
      <c r="B81" s="2120"/>
      <c r="C81" s="1688">
        <f>(SUM(C78:C80))</f>
        <v>3153971</v>
      </c>
      <c r="D81" s="1688">
        <f>SUM(D78:D80)</f>
        <v>0</v>
      </c>
      <c r="E81" s="1688">
        <f t="shared" ref="E81:K81" si="10">SUM(E78:E80)</f>
        <v>0</v>
      </c>
      <c r="F81" s="1688">
        <f t="shared" si="10"/>
        <v>0</v>
      </c>
      <c r="G81" s="1688">
        <f t="shared" si="10"/>
        <v>0</v>
      </c>
      <c r="H81" s="1688">
        <f t="shared" si="10"/>
        <v>25443</v>
      </c>
      <c r="I81" s="1688">
        <f t="shared" si="10"/>
        <v>0</v>
      </c>
      <c r="J81" s="1688">
        <f t="shared" si="10"/>
        <v>0</v>
      </c>
      <c r="K81" s="1688">
        <f t="shared" si="10"/>
        <v>0</v>
      </c>
      <c r="L81" s="347"/>
    </row>
    <row r="82" spans="1:12" ht="0.75" customHeight="1" thickTop="1" thickBot="1" x14ac:dyDescent="0.25">
      <c r="A82" s="536" t="s">
        <v>343</v>
      </c>
      <c r="B82" s="537"/>
      <c r="C82" s="538">
        <f>(C81-C79)</f>
        <v>204616</v>
      </c>
      <c r="D82" s="538">
        <f t="shared" ref="D82:K82" si="11">(D81-D79)</f>
        <v>0</v>
      </c>
      <c r="E82" s="538">
        <f t="shared" si="11"/>
        <v>0</v>
      </c>
      <c r="F82" s="538">
        <f t="shared" si="11"/>
        <v>0</v>
      </c>
      <c r="G82" s="538">
        <f t="shared" si="11"/>
        <v>0</v>
      </c>
      <c r="H82" s="538">
        <f t="shared" si="11"/>
        <v>-9262</v>
      </c>
      <c r="I82" s="538">
        <f t="shared" si="11"/>
        <v>0</v>
      </c>
      <c r="J82" s="538">
        <f t="shared" si="11"/>
        <v>0</v>
      </c>
      <c r="K82" s="538">
        <f t="shared" si="11"/>
        <v>0</v>
      </c>
    </row>
    <row r="83" spans="1:12" ht="14.25" hidden="1" thickTop="1" thickBot="1" x14ac:dyDescent="0.25">
      <c r="A83" s="539" t="s">
        <v>344</v>
      </c>
      <c r="B83" s="464"/>
      <c r="C83" s="540">
        <f>C82/C81</f>
        <v>6.4875675775078467E-2</v>
      </c>
      <c r="D83" s="540" t="e">
        <f t="shared" ref="D83:K83" si="12">D82/D81</f>
        <v>#DIV/0!</v>
      </c>
      <c r="E83" s="540" t="e">
        <f t="shared" si="12"/>
        <v>#DIV/0!</v>
      </c>
      <c r="F83" s="540" t="e">
        <f t="shared" si="12"/>
        <v>#DIV/0!</v>
      </c>
      <c r="G83" s="540" t="e">
        <f t="shared" si="12"/>
        <v>#DIV/0!</v>
      </c>
      <c r="H83" s="540">
        <f t="shared" si="12"/>
        <v>-0.36402939904885429</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11" activePane="bottomLeft" state="frozen"/>
      <selection activeCell="A13" sqref="A13:H13"/>
      <selection pane="bottomLeft" activeCell="C112" sqref="C11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1799</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10007</v>
      </c>
      <c r="D28" s="468"/>
      <c r="E28" s="468"/>
      <c r="F28" s="468"/>
      <c r="G28" s="468"/>
      <c r="H28" s="468"/>
      <c r="I28" s="468"/>
      <c r="J28" s="468"/>
      <c r="K28" s="468"/>
    </row>
    <row r="29" spans="1:11" ht="12.75" customHeight="1" x14ac:dyDescent="0.2">
      <c r="A29" s="463" t="s">
        <v>834</v>
      </c>
      <c r="B29" s="470">
        <v>1332</v>
      </c>
      <c r="C29" s="551">
        <v>2377797</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v>1330429</v>
      </c>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3718233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19855</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19855</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74246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74246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309243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309243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v>95753</v>
      </c>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95753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119570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15057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v>9237</v>
      </c>
      <c r="I106" s="521"/>
      <c r="J106" s="467"/>
      <c r="K106" s="467"/>
    </row>
    <row r="107" spans="1:12" ht="12.75" customHeight="1" x14ac:dyDescent="0.2">
      <c r="A107" s="463" t="s">
        <v>78</v>
      </c>
      <c r="B107" s="470">
        <v>1999</v>
      </c>
      <c r="C107" s="551">
        <v>12356</v>
      </c>
      <c r="D107" s="466"/>
      <c r="E107" s="466"/>
      <c r="F107" s="466"/>
      <c r="G107" s="466"/>
      <c r="H107" s="466"/>
      <c r="I107" s="466"/>
      <c r="J107" s="467"/>
      <c r="K107" s="466"/>
    </row>
    <row r="108" spans="1:12" ht="12.75" customHeight="1" thickBot="1" x14ac:dyDescent="0.25">
      <c r="A108" s="1708" t="s">
        <v>487</v>
      </c>
      <c r="B108" s="1712"/>
      <c r="C108" s="1707">
        <f>SUM(C95:C107)</f>
        <v>146983</v>
      </c>
      <c r="D108" s="1707">
        <f t="shared" ref="D108:K108" si="3">SUM(D95:D107)</f>
        <v>0</v>
      </c>
      <c r="E108" s="1707">
        <f t="shared" si="3"/>
        <v>0</v>
      </c>
      <c r="F108" s="1707">
        <f t="shared" si="3"/>
        <v>0</v>
      </c>
      <c r="G108" s="1707">
        <f t="shared" si="3"/>
        <v>0</v>
      </c>
      <c r="H108" s="1707">
        <f t="shared" si="3"/>
        <v>9237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4364313</v>
      </c>
      <c r="D109" s="1715">
        <f t="shared" si="4"/>
        <v>0</v>
      </c>
      <c r="E109" s="1715">
        <f t="shared" si="4"/>
        <v>0</v>
      </c>
      <c r="F109" s="1715">
        <f t="shared" si="4"/>
        <v>0</v>
      </c>
      <c r="G109" s="1715">
        <f t="shared" si="4"/>
        <v>0</v>
      </c>
      <c r="H109" s="1715">
        <f t="shared" si="4"/>
        <v>9237</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460375</v>
      </c>
      <c r="D111" s="481"/>
      <c r="E111" s="561"/>
      <c r="F111" s="481"/>
      <c r="G111" s="481"/>
      <c r="H111" s="561"/>
      <c r="I111" s="468"/>
      <c r="J111" s="468"/>
      <c r="K111" s="468"/>
    </row>
    <row r="112" spans="1:12" ht="12.75" customHeight="1" x14ac:dyDescent="0.2">
      <c r="A112" s="463" t="s">
        <v>824</v>
      </c>
      <c r="B112" s="470">
        <v>2200</v>
      </c>
      <c r="C112" s="551">
        <v>160012</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620387</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13388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13388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5891</v>
      </c>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5891</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347000</v>
      </c>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366279</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366279</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1800</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2234</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2234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2234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5353213</v>
      </c>
      <c r="D268" s="1715">
        <f t="shared" si="12"/>
        <v>0</v>
      </c>
      <c r="E268" s="1715">
        <f t="shared" si="12"/>
        <v>0</v>
      </c>
      <c r="F268" s="1715">
        <f t="shared" si="12"/>
        <v>0</v>
      </c>
      <c r="G268" s="1715">
        <f t="shared" si="12"/>
        <v>0</v>
      </c>
      <c r="H268" s="1715">
        <f t="shared" si="12"/>
        <v>9237</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02" activePane="bottomLeft" state="frozen"/>
      <selection activeCell="A13" sqref="A13:H13"/>
      <selection pane="bottomLeft" activeCell="A13" sqref="A13:H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24411</v>
      </c>
      <c r="D10" s="466">
        <v>3518</v>
      </c>
      <c r="E10" s="466"/>
      <c r="F10" s="466">
        <v>963</v>
      </c>
      <c r="G10" s="466"/>
      <c r="H10" s="466"/>
      <c r="I10" s="467"/>
      <c r="J10" s="467"/>
      <c r="K10" s="1671">
        <f t="shared" si="0"/>
        <v>28892</v>
      </c>
      <c r="L10" s="466">
        <v>44066</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v>915074</v>
      </c>
      <c r="D12" s="466">
        <v>246812</v>
      </c>
      <c r="E12" s="466">
        <v>296045</v>
      </c>
      <c r="F12" s="466">
        <v>265207</v>
      </c>
      <c r="G12" s="466">
        <v>11525</v>
      </c>
      <c r="H12" s="466">
        <v>44542</v>
      </c>
      <c r="I12" s="467">
        <v>2000</v>
      </c>
      <c r="J12" s="467"/>
      <c r="K12" s="1671">
        <f t="shared" si="0"/>
        <v>1781205</v>
      </c>
      <c r="L12" s="466">
        <v>2010476</v>
      </c>
    </row>
    <row r="13" spans="1:14" x14ac:dyDescent="0.2">
      <c r="A13" s="1504" t="s">
        <v>723</v>
      </c>
      <c r="B13" s="614">
        <v>1400</v>
      </c>
      <c r="C13" s="466">
        <v>1054292</v>
      </c>
      <c r="D13" s="466">
        <v>228013</v>
      </c>
      <c r="E13" s="466">
        <v>134442</v>
      </c>
      <c r="F13" s="466">
        <v>108549</v>
      </c>
      <c r="G13" s="466">
        <v>20389</v>
      </c>
      <c r="H13" s="466">
        <v>1335</v>
      </c>
      <c r="I13" s="467">
        <v>24289</v>
      </c>
      <c r="J13" s="467"/>
      <c r="K13" s="1671">
        <f t="shared" si="0"/>
        <v>1571309</v>
      </c>
      <c r="L13" s="466">
        <v>1626159</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1993777</v>
      </c>
      <c r="D33" s="1670">
        <f t="shared" ref="D33:L33" si="1">SUM(D5:D32)</f>
        <v>478343</v>
      </c>
      <c r="E33" s="1670">
        <f t="shared" si="1"/>
        <v>430487</v>
      </c>
      <c r="F33" s="1670">
        <f t="shared" si="1"/>
        <v>374719</v>
      </c>
      <c r="G33" s="1670">
        <f t="shared" si="1"/>
        <v>31914</v>
      </c>
      <c r="H33" s="1670">
        <f t="shared" si="1"/>
        <v>45877</v>
      </c>
      <c r="I33" s="1670">
        <f t="shared" si="1"/>
        <v>26289</v>
      </c>
      <c r="J33" s="1670">
        <f t="shared" si="1"/>
        <v>0</v>
      </c>
      <c r="K33" s="1670">
        <f t="shared" si="1"/>
        <v>3381406</v>
      </c>
      <c r="L33" s="1670">
        <f t="shared" si="1"/>
        <v>3680701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22907</v>
      </c>
      <c r="D36" s="481">
        <v>10176</v>
      </c>
      <c r="E36" s="481">
        <v>12034</v>
      </c>
      <c r="F36" s="481">
        <v>2934</v>
      </c>
      <c r="G36" s="481"/>
      <c r="H36" s="481"/>
      <c r="I36" s="467">
        <v>1000</v>
      </c>
      <c r="J36" s="467"/>
      <c r="K36" s="1671">
        <f t="shared" ref="K36:K41" si="2">SUM(C36:J36)</f>
        <v>49051</v>
      </c>
      <c r="L36" s="466">
        <v>52240</v>
      </c>
    </row>
    <row r="37" spans="1:14" x14ac:dyDescent="0.2">
      <c r="A37" s="1504" t="s">
        <v>1090</v>
      </c>
      <c r="B37" s="614">
        <v>2120</v>
      </c>
      <c r="C37" s="466">
        <v>28968</v>
      </c>
      <c r="D37" s="466">
        <v>8962</v>
      </c>
      <c r="E37" s="466">
        <v>2376</v>
      </c>
      <c r="F37" s="466">
        <v>908</v>
      </c>
      <c r="G37" s="466"/>
      <c r="H37" s="466">
        <v>165</v>
      </c>
      <c r="I37" s="467"/>
      <c r="J37" s="467"/>
      <c r="K37" s="1671">
        <f t="shared" si="2"/>
        <v>41379</v>
      </c>
      <c r="L37" s="466">
        <v>42848</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51875</v>
      </c>
      <c r="D42" s="1670">
        <f t="shared" ref="D42:L42" si="3">SUM(D36:D41)</f>
        <v>19138</v>
      </c>
      <c r="E42" s="1670">
        <f t="shared" si="3"/>
        <v>14410</v>
      </c>
      <c r="F42" s="1670">
        <f t="shared" si="3"/>
        <v>3842</v>
      </c>
      <c r="G42" s="1670">
        <f t="shared" si="3"/>
        <v>0</v>
      </c>
      <c r="H42" s="1670">
        <f t="shared" si="3"/>
        <v>165</v>
      </c>
      <c r="I42" s="1670">
        <f t="shared" si="3"/>
        <v>1000</v>
      </c>
      <c r="J42" s="1670">
        <f t="shared" si="3"/>
        <v>0</v>
      </c>
      <c r="K42" s="1670">
        <f t="shared" si="3"/>
        <v>90430</v>
      </c>
      <c r="L42" s="1670">
        <f t="shared" si="3"/>
        <v>95088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1063</v>
      </c>
      <c r="D44" s="481">
        <v>31</v>
      </c>
      <c r="E44" s="481">
        <v>4982</v>
      </c>
      <c r="F44" s="481"/>
      <c r="G44" s="481"/>
      <c r="H44" s="481"/>
      <c r="I44" s="467"/>
      <c r="J44" s="467"/>
      <c r="K44" s="1672">
        <f>SUM(C44:J44)</f>
        <v>6076</v>
      </c>
      <c r="L44" s="481">
        <v>6485</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v>6869</v>
      </c>
      <c r="F46" s="466"/>
      <c r="G46" s="466"/>
      <c r="H46" s="466"/>
      <c r="I46" s="467"/>
      <c r="J46" s="467"/>
      <c r="K46" s="1672">
        <f>SUM(C46:J46)</f>
        <v>6869</v>
      </c>
      <c r="L46" s="466">
        <v>7875</v>
      </c>
    </row>
    <row r="47" spans="1:14" ht="12.75" customHeight="1" thickBot="1" x14ac:dyDescent="0.25">
      <c r="A47" s="1668" t="s">
        <v>561</v>
      </c>
      <c r="B47" s="1669" t="s">
        <v>32</v>
      </c>
      <c r="C47" s="1670">
        <f>SUM(C44:C46)</f>
        <v>1063</v>
      </c>
      <c r="D47" s="1670">
        <f t="shared" ref="D47:K47" si="4">SUM(D44:D46)</f>
        <v>31</v>
      </c>
      <c r="E47" s="1670">
        <f t="shared" si="4"/>
        <v>11851</v>
      </c>
      <c r="F47" s="1670">
        <f t="shared" si="4"/>
        <v>0</v>
      </c>
      <c r="G47" s="1670">
        <f t="shared" si="4"/>
        <v>0</v>
      </c>
      <c r="H47" s="1670">
        <f t="shared" si="4"/>
        <v>0</v>
      </c>
      <c r="I47" s="1670">
        <f t="shared" si="4"/>
        <v>0</v>
      </c>
      <c r="J47" s="1670">
        <f t="shared" si="4"/>
        <v>0</v>
      </c>
      <c r="K47" s="1670">
        <f t="shared" si="4"/>
        <v>12945</v>
      </c>
      <c r="L47" s="1670">
        <f>SUM(L44:L46)</f>
        <v>14360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28217</v>
      </c>
      <c r="F49" s="481">
        <v>533</v>
      </c>
      <c r="G49" s="481"/>
      <c r="H49" s="481">
        <v>1379</v>
      </c>
      <c r="I49" s="467"/>
      <c r="J49" s="467"/>
      <c r="K49" s="1672">
        <f>SUM(C49:J49)</f>
        <v>30129</v>
      </c>
      <c r="L49" s="481">
        <v>33040</v>
      </c>
    </row>
    <row r="50" spans="1:14" x14ac:dyDescent="0.2">
      <c r="A50" s="1504" t="s">
        <v>818</v>
      </c>
      <c r="B50" s="614">
        <v>2320</v>
      </c>
      <c r="C50" s="466">
        <v>120268</v>
      </c>
      <c r="D50" s="466">
        <v>27245</v>
      </c>
      <c r="E50" s="466">
        <v>2967</v>
      </c>
      <c r="F50" s="466">
        <v>969</v>
      </c>
      <c r="G50" s="466"/>
      <c r="H50" s="466">
        <v>1185</v>
      </c>
      <c r="I50" s="467"/>
      <c r="J50" s="467"/>
      <c r="K50" s="1672">
        <f>SUM(C50:J50)</f>
        <v>152634</v>
      </c>
      <c r="L50" s="466">
        <v>155054</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120268</v>
      </c>
      <c r="D53" s="1670">
        <f t="shared" ref="D53:L53" si="5">SUM(D49:D52)</f>
        <v>27245</v>
      </c>
      <c r="E53" s="1670">
        <f t="shared" si="5"/>
        <v>31184</v>
      </c>
      <c r="F53" s="1670">
        <f t="shared" si="5"/>
        <v>1502</v>
      </c>
      <c r="G53" s="1670">
        <f t="shared" si="5"/>
        <v>0</v>
      </c>
      <c r="H53" s="1670">
        <f t="shared" si="5"/>
        <v>2564</v>
      </c>
      <c r="I53" s="1670">
        <f t="shared" si="5"/>
        <v>0</v>
      </c>
      <c r="J53" s="1670">
        <f t="shared" si="5"/>
        <v>0</v>
      </c>
      <c r="K53" s="1670">
        <f t="shared" si="5"/>
        <v>182763</v>
      </c>
      <c r="L53" s="1670">
        <f t="shared" si="5"/>
        <v>188094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70000</v>
      </c>
      <c r="D55" s="481">
        <v>20030</v>
      </c>
      <c r="E55" s="481">
        <v>1965</v>
      </c>
      <c r="F55" s="481">
        <v>1987</v>
      </c>
      <c r="G55" s="481"/>
      <c r="H55" s="481">
        <v>582</v>
      </c>
      <c r="I55" s="467"/>
      <c r="J55" s="467"/>
      <c r="K55" s="1672">
        <f>SUM(C55:J55)</f>
        <v>94564</v>
      </c>
      <c r="L55" s="481">
        <v>95763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70000</v>
      </c>
      <c r="D57" s="1674">
        <f t="shared" ref="D57:K57" si="6">SUM(D55:D56)</f>
        <v>20030</v>
      </c>
      <c r="E57" s="1674">
        <f t="shared" si="6"/>
        <v>1965</v>
      </c>
      <c r="F57" s="1674">
        <f t="shared" si="6"/>
        <v>1987</v>
      </c>
      <c r="G57" s="1674">
        <f t="shared" si="6"/>
        <v>0</v>
      </c>
      <c r="H57" s="1674">
        <f t="shared" si="6"/>
        <v>582</v>
      </c>
      <c r="I57" s="1674">
        <f t="shared" si="6"/>
        <v>0</v>
      </c>
      <c r="J57" s="1674">
        <f t="shared" si="6"/>
        <v>0</v>
      </c>
      <c r="K57" s="1674">
        <f t="shared" si="6"/>
        <v>94564</v>
      </c>
      <c r="L57" s="1670">
        <f>SUM(L55:L56)</f>
        <v>95763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102393</v>
      </c>
      <c r="D59" s="481">
        <v>26914</v>
      </c>
      <c r="E59" s="481">
        <v>15156</v>
      </c>
      <c r="F59" s="481">
        <v>3568</v>
      </c>
      <c r="G59" s="481"/>
      <c r="H59" s="481">
        <v>12253</v>
      </c>
      <c r="I59" s="467">
        <v>1000</v>
      </c>
      <c r="J59" s="467"/>
      <c r="K59" s="1672">
        <f t="shared" ref="K59:K64" si="7">SUM(C59:J59)</f>
        <v>161284</v>
      </c>
      <c r="L59" s="481">
        <v>161365</v>
      </c>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v>287409</v>
      </c>
      <c r="D61" s="466">
        <v>88011</v>
      </c>
      <c r="E61" s="466">
        <v>492770</v>
      </c>
      <c r="F61" s="466">
        <v>67348</v>
      </c>
      <c r="G61" s="466">
        <v>105614</v>
      </c>
      <c r="H61" s="466"/>
      <c r="I61" s="467">
        <v>591</v>
      </c>
      <c r="J61" s="467"/>
      <c r="K61" s="1672">
        <f t="shared" si="7"/>
        <v>1041743</v>
      </c>
      <c r="L61" s="466">
        <v>1136461</v>
      </c>
      <c r="M61" s="609"/>
      <c r="N61" s="609"/>
    </row>
    <row r="62" spans="1:14" s="343" customFormat="1" x14ac:dyDescent="0.2">
      <c r="A62" s="1504" t="s">
        <v>953</v>
      </c>
      <c r="B62" s="614">
        <v>2550</v>
      </c>
      <c r="C62" s="466"/>
      <c r="D62" s="466"/>
      <c r="E62" s="466">
        <v>10674</v>
      </c>
      <c r="F62" s="466"/>
      <c r="G62" s="466"/>
      <c r="H62" s="466"/>
      <c r="I62" s="467"/>
      <c r="J62" s="467"/>
      <c r="K62" s="1672">
        <f t="shared" si="7"/>
        <v>10674</v>
      </c>
      <c r="L62" s="466">
        <v>10700</v>
      </c>
      <c r="M62" s="609"/>
      <c r="N62" s="609"/>
    </row>
    <row r="63" spans="1:14" s="609" customFormat="1" x14ac:dyDescent="0.2">
      <c r="A63" s="1504" t="s">
        <v>100</v>
      </c>
      <c r="B63" s="614">
        <v>2560</v>
      </c>
      <c r="C63" s="466">
        <v>32983</v>
      </c>
      <c r="D63" s="466">
        <v>4205</v>
      </c>
      <c r="E63" s="466"/>
      <c r="F63" s="466">
        <v>35225</v>
      </c>
      <c r="G63" s="466"/>
      <c r="H63" s="466"/>
      <c r="I63" s="467"/>
      <c r="J63" s="467"/>
      <c r="K63" s="1672">
        <f t="shared" si="7"/>
        <v>72413</v>
      </c>
      <c r="L63" s="466">
        <v>70924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422785</v>
      </c>
      <c r="D65" s="1670">
        <f t="shared" ref="D65:L65" si="8">SUM(D59:D64)</f>
        <v>119130</v>
      </c>
      <c r="E65" s="1670">
        <f t="shared" si="8"/>
        <v>518600</v>
      </c>
      <c r="F65" s="1670">
        <f t="shared" si="8"/>
        <v>106141</v>
      </c>
      <c r="G65" s="1670">
        <f t="shared" si="8"/>
        <v>105614</v>
      </c>
      <c r="H65" s="1670">
        <f t="shared" si="8"/>
        <v>12253</v>
      </c>
      <c r="I65" s="1670">
        <f t="shared" si="8"/>
        <v>1591</v>
      </c>
      <c r="J65" s="1670">
        <f t="shared" si="8"/>
        <v>0</v>
      </c>
      <c r="K65" s="1670">
        <f t="shared" si="8"/>
        <v>1286114</v>
      </c>
      <c r="L65" s="1670">
        <f t="shared" si="8"/>
        <v>1379450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665991</v>
      </c>
      <c r="D74" s="1677">
        <f t="shared" ref="D74:K74" si="10">SUM(D42,D47,D53,D57,D65,D72,D73)</f>
        <v>185574</v>
      </c>
      <c r="E74" s="1677">
        <f t="shared" si="10"/>
        <v>578010</v>
      </c>
      <c r="F74" s="1677">
        <f t="shared" si="10"/>
        <v>113472</v>
      </c>
      <c r="G74" s="1677">
        <f t="shared" si="10"/>
        <v>105614</v>
      </c>
      <c r="H74" s="1677">
        <f t="shared" si="10"/>
        <v>15564</v>
      </c>
      <c r="I74" s="1677">
        <f t="shared" si="10"/>
        <v>2591</v>
      </c>
      <c r="J74" s="1677">
        <f t="shared" si="10"/>
        <v>0</v>
      </c>
      <c r="K74" s="1677">
        <f t="shared" si="10"/>
        <v>1666816</v>
      </c>
      <c r="L74" s="1677">
        <f>SUM(L42,L47,L53,L57,L65,L72,L73)</f>
        <v>1772755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375</v>
      </c>
      <c r="I111" s="468"/>
      <c r="J111" s="468"/>
      <c r="K111" s="1683">
        <f>H111</f>
        <v>375</v>
      </c>
      <c r="L111" s="532">
        <v>105000</v>
      </c>
      <c r="M111" s="210"/>
      <c r="N111" s="210"/>
    </row>
    <row r="112" spans="1:14" s="597" customFormat="1" ht="12.75" customHeight="1" thickTop="1" thickBot="1" x14ac:dyDescent="0.25">
      <c r="A112" s="1668" t="s">
        <v>638</v>
      </c>
      <c r="B112" s="1669" t="s">
        <v>492</v>
      </c>
      <c r="C112" s="616"/>
      <c r="D112" s="616"/>
      <c r="E112" s="616"/>
      <c r="F112" s="616"/>
      <c r="G112" s="616"/>
      <c r="H112" s="1670">
        <f>SUM(H110:H111)</f>
        <v>375</v>
      </c>
      <c r="I112" s="468"/>
      <c r="J112" s="468"/>
      <c r="K112" s="1670">
        <f>SUM(K110:K111)</f>
        <v>375</v>
      </c>
      <c r="L112" s="1677">
        <f>SUM(L110,L111)</f>
        <v>105000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2659768</v>
      </c>
      <c r="D114" s="1670">
        <f t="shared" ref="D114:K114" si="13">SUM(D33,D74,D75,D102,D112,D113)</f>
        <v>663917</v>
      </c>
      <c r="E114" s="1670">
        <f t="shared" si="13"/>
        <v>1008497</v>
      </c>
      <c r="F114" s="1670">
        <f t="shared" si="13"/>
        <v>488191</v>
      </c>
      <c r="G114" s="1670">
        <f t="shared" si="13"/>
        <v>137528</v>
      </c>
      <c r="H114" s="1670">
        <f>SUM(H33,H74,H75,H102,H112,H113)</f>
        <v>61816</v>
      </c>
      <c r="I114" s="1670">
        <f t="shared" si="13"/>
        <v>28880</v>
      </c>
      <c r="J114" s="1670">
        <f t="shared" si="13"/>
        <v>0</v>
      </c>
      <c r="K114" s="1670">
        <f t="shared" si="13"/>
        <v>5048597</v>
      </c>
      <c r="L114" s="1670">
        <f>SUM(L33,L74,L75,L102,L112,L113)</f>
        <v>5558456</v>
      </c>
    </row>
    <row r="115" spans="1:14" ht="13.5" thickTop="1" x14ac:dyDescent="0.2">
      <c r="A115" s="2180" t="s">
        <v>996</v>
      </c>
      <c r="B115" s="2181"/>
      <c r="C115" s="618"/>
      <c r="D115" s="618"/>
      <c r="E115" s="618"/>
      <c r="F115" s="618"/>
      <c r="G115" s="618"/>
      <c r="H115" s="618"/>
      <c r="I115" s="618"/>
      <c r="J115" s="618"/>
      <c r="K115" s="1684">
        <f>'Revenues 9-14'!C268-'Expenditures 15-22'!K114</f>
        <v>304616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0" t="s">
        <v>996</v>
      </c>
      <c r="B175" s="2181"/>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0" t="s">
        <v>996</v>
      </c>
      <c r="B211" s="2181"/>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0" t="s">
        <v>996</v>
      </c>
      <c r="B296" s="2181"/>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18499</v>
      </c>
      <c r="H301" s="466"/>
      <c r="I301" s="467"/>
      <c r="J301" s="467"/>
      <c r="K301" s="1671">
        <f>SUM(C301:J301)</f>
        <v>18499</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18499</v>
      </c>
      <c r="H303" s="1677">
        <f t="shared" si="23"/>
        <v>0</v>
      </c>
      <c r="I303" s="1677">
        <f t="shared" si="23"/>
        <v>0</v>
      </c>
      <c r="J303" s="1677">
        <f t="shared" si="23"/>
        <v>0</v>
      </c>
      <c r="K303" s="1677">
        <f t="shared" si="23"/>
        <v>18499</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18499</v>
      </c>
      <c r="H312" s="1670">
        <f>SUM(H303,H310)</f>
        <v>0</v>
      </c>
      <c r="I312" s="1670">
        <f>SUM(I303)</f>
        <v>0</v>
      </c>
      <c r="J312" s="1670">
        <f>SUM(J303)</f>
        <v>0</v>
      </c>
      <c r="K312" s="1670">
        <f>SUM(K303,K310,K311)</f>
        <v>18499</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-9262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0" t="s">
        <v>996</v>
      </c>
      <c r="B368" s="2181"/>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3" sqref="A13:H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1799</v>
      </c>
      <c r="B2" s="1528" t="s">
        <v>1948</v>
      </c>
      <c r="C2" s="714" t="s">
        <v>1949</v>
      </c>
      <c r="D2" s="714" t="s">
        <v>1950</v>
      </c>
      <c r="E2" s="714" t="s">
        <v>1951</v>
      </c>
      <c r="F2" s="714" t="s">
        <v>1952</v>
      </c>
    </row>
    <row r="3" spans="1:6" ht="12" customHeight="1" x14ac:dyDescent="0.2">
      <c r="A3" s="2183"/>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E31" sqref="E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1799</v>
      </c>
      <c r="B2" s="2198"/>
      <c r="C2" s="1884" t="s">
        <v>1953</v>
      </c>
      <c r="D2" s="723" t="s">
        <v>1954</v>
      </c>
      <c r="E2" s="723" t="s">
        <v>1955</v>
      </c>
      <c r="F2" s="1884" t="s">
        <v>1956</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2077</v>
      </c>
      <c r="B31" s="733">
        <v>37747</v>
      </c>
      <c r="C31" s="734">
        <v>1550000</v>
      </c>
      <c r="D31" s="735">
        <v>7</v>
      </c>
      <c r="E31" s="734">
        <v>100000</v>
      </c>
      <c r="F31" s="734"/>
      <c r="G31" s="734"/>
      <c r="H31" s="734">
        <v>100000</v>
      </c>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2078</v>
      </c>
      <c r="B33" s="733"/>
      <c r="C33" s="734"/>
      <c r="D33" s="735">
        <v>8</v>
      </c>
      <c r="E33" s="734">
        <v>145589</v>
      </c>
      <c r="F33" s="734"/>
      <c r="G33" s="734">
        <v>-3128</v>
      </c>
      <c r="H33" s="734"/>
      <c r="I33" s="1756">
        <f t="shared" ref="I33:I48" si="1">((E33+F33)-H33)+G33</f>
        <v>142461</v>
      </c>
      <c r="J33" s="734">
        <v>142461</v>
      </c>
      <c r="K33" s="736"/>
    </row>
    <row r="34" spans="1:11" ht="12" customHeight="1" x14ac:dyDescent="0.2">
      <c r="A34" s="732" t="s">
        <v>2079</v>
      </c>
      <c r="B34" s="733"/>
      <c r="C34" s="734"/>
      <c r="D34" s="735">
        <v>8</v>
      </c>
      <c r="E34" s="734"/>
      <c r="F34" s="734"/>
      <c r="G34" s="734">
        <v>130837</v>
      </c>
      <c r="H34" s="734"/>
      <c r="I34" s="1756">
        <f t="shared" si="1"/>
        <v>130837</v>
      </c>
      <c r="J34" s="734">
        <v>130837</v>
      </c>
      <c r="K34" s="737"/>
    </row>
    <row r="35" spans="1:11" ht="12" customHeight="1" x14ac:dyDescent="0.2">
      <c r="A35" s="732" t="s">
        <v>2080</v>
      </c>
      <c r="B35" s="733"/>
      <c r="C35" s="738"/>
      <c r="D35" s="735">
        <v>9</v>
      </c>
      <c r="E35" s="738">
        <v>1515313</v>
      </c>
      <c r="F35" s="738"/>
      <c r="G35" s="738">
        <v>-54129</v>
      </c>
      <c r="H35" s="738"/>
      <c r="I35" s="1756">
        <f t="shared" si="1"/>
        <v>1461184</v>
      </c>
      <c r="J35" s="738">
        <v>1461184</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1550000</v>
      </c>
      <c r="D49" s="745"/>
      <c r="E49" s="1756">
        <f t="shared" ref="E49:J49" si="2">SUM(E31:E48)</f>
        <v>1760902</v>
      </c>
      <c r="F49" s="1756">
        <f t="shared" si="2"/>
        <v>0</v>
      </c>
      <c r="G49" s="1756">
        <f t="shared" si="2"/>
        <v>73580</v>
      </c>
      <c r="H49" s="1756">
        <f t="shared" si="2"/>
        <v>100000</v>
      </c>
      <c r="I49" s="1756">
        <f t="shared" si="2"/>
        <v>1734482</v>
      </c>
      <c r="J49" s="1756">
        <f t="shared" si="2"/>
        <v>1734482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2081</v>
      </c>
      <c r="G52" s="2206"/>
      <c r="H52" s="736"/>
      <c r="I52" s="736"/>
      <c r="J52" s="746"/>
    </row>
    <row r="53" spans="1:11" ht="11.25" customHeight="1" x14ac:dyDescent="0.2">
      <c r="A53" s="750" t="s">
        <v>913</v>
      </c>
      <c r="B53" s="751" t="s">
        <v>951</v>
      </c>
      <c r="C53" s="746"/>
      <c r="D53" s="737"/>
      <c r="E53" s="749" t="s">
        <v>497</v>
      </c>
      <c r="F53" s="2207" t="s">
        <v>2082</v>
      </c>
      <c r="G53" s="2208"/>
      <c r="H53" s="736"/>
      <c r="I53" s="736"/>
      <c r="J53" s="746"/>
    </row>
    <row r="54" spans="1:11" ht="11.25" customHeight="1" x14ac:dyDescent="0.2">
      <c r="A54" s="752" t="s">
        <v>914</v>
      </c>
      <c r="B54" s="747" t="s">
        <v>952</v>
      </c>
      <c r="C54" s="746"/>
      <c r="D54" s="737"/>
      <c r="E54" s="749" t="s">
        <v>498</v>
      </c>
      <c r="F54" s="2207" t="s">
        <v>2083</v>
      </c>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1809</v>
      </c>
      <c r="K2" s="762" t="s">
        <v>138</v>
      </c>
    </row>
    <row r="3" spans="1:11" x14ac:dyDescent="0.2">
      <c r="A3" s="2219" t="s">
        <v>1961</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1810</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0</v>
      </c>
      <c r="I12" s="1758">
        <f>SUM(I5:I11)</f>
        <v>0</v>
      </c>
      <c r="J12" s="1758">
        <f>SUM(J5:J11)</f>
        <v>0</v>
      </c>
      <c r="K12" s="1758">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1806</v>
      </c>
      <c r="B19" s="2248"/>
      <c r="C19" s="2248"/>
      <c r="D19" s="2248"/>
      <c r="E19" s="2249"/>
      <c r="F19" s="789" t="s">
        <v>933</v>
      </c>
      <c r="G19" s="782"/>
      <c r="H19" s="782"/>
      <c r="I19" s="782"/>
      <c r="J19" s="765"/>
      <c r="K19" s="795"/>
    </row>
    <row r="20" spans="1:11" x14ac:dyDescent="0.2">
      <c r="A20" s="2227" t="s">
        <v>1811</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13" t="s">
        <v>1812</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0</v>
      </c>
      <c r="I23" s="1758">
        <f>SUM(I14:I16,I21,I22)</f>
        <v>0</v>
      </c>
      <c r="J23" s="1758">
        <f>SUM(J14:J16,J21,J22)</f>
        <v>0</v>
      </c>
      <c r="K23" s="1758">
        <f>SUM(K14:K16,K21,K22)</f>
        <v>0</v>
      </c>
    </row>
    <row r="24" spans="1:11" ht="14.25" thickTop="1" thickBot="1" x14ac:dyDescent="0.25">
      <c r="A24" s="2234" t="s">
        <v>1962</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3" sqref="A13: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1906</v>
      </c>
      <c r="B1" s="2253"/>
      <c r="C1" s="2254"/>
      <c r="D1" s="826"/>
      <c r="E1" s="827"/>
      <c r="F1" s="827"/>
      <c r="G1" s="828"/>
      <c r="H1" s="829"/>
      <c r="I1" s="830"/>
      <c r="J1" s="2250"/>
      <c r="K1" s="2251"/>
      <c r="L1" s="2251"/>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300000</v>
      </c>
      <c r="D5" s="841"/>
      <c r="E5" s="841"/>
      <c r="F5" s="1760">
        <f>(C5+D5)-E5</f>
        <v>300000</v>
      </c>
      <c r="G5" s="837"/>
      <c r="H5" s="842"/>
      <c r="I5" s="842"/>
      <c r="J5" s="842"/>
      <c r="K5" s="793"/>
      <c r="L5" s="1769">
        <f>F5-K5</f>
        <v>300000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11010306</v>
      </c>
      <c r="D8" s="844">
        <v>34623</v>
      </c>
      <c r="E8" s="844"/>
      <c r="F8" s="1760">
        <f>(C8+D8)-E8</f>
        <v>11044929</v>
      </c>
      <c r="G8" s="843">
        <v>50</v>
      </c>
      <c r="H8" s="765">
        <v>10193578</v>
      </c>
      <c r="I8" s="765">
        <v>52352</v>
      </c>
      <c r="J8" s="765"/>
      <c r="K8" s="1769">
        <f>(H8+I8)-J8</f>
        <v>10245930</v>
      </c>
      <c r="L8" s="1769">
        <f>F8-K8</f>
        <v>798999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588573</v>
      </c>
      <c r="D10" s="846"/>
      <c r="E10" s="846"/>
      <c r="F10" s="1764">
        <f>(C10+D10)-E10</f>
        <v>588573</v>
      </c>
      <c r="G10" s="843">
        <v>20</v>
      </c>
      <c r="H10" s="847">
        <v>135645</v>
      </c>
      <c r="I10" s="847">
        <v>32872</v>
      </c>
      <c r="J10" s="847"/>
      <c r="K10" s="1769">
        <f>(H10+I10)-J10</f>
        <v>168517</v>
      </c>
      <c r="L10" s="1769">
        <f>F10-K10</f>
        <v>420056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1394569</v>
      </c>
      <c r="D12" s="844">
        <v>102905</v>
      </c>
      <c r="E12" s="844">
        <v>2944</v>
      </c>
      <c r="F12" s="1760">
        <f>(C12+D12)-E12</f>
        <v>1494530</v>
      </c>
      <c r="G12" s="843">
        <v>10</v>
      </c>
      <c r="H12" s="765">
        <v>771224</v>
      </c>
      <c r="I12" s="765">
        <v>120118</v>
      </c>
      <c r="J12" s="765">
        <v>1585</v>
      </c>
      <c r="K12" s="1769">
        <f>(H12+I12)-J12</f>
        <v>889757</v>
      </c>
      <c r="L12" s="1769">
        <f>F12-K12</f>
        <v>604773</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2525</v>
      </c>
      <c r="D15" s="844">
        <v>18499</v>
      </c>
      <c r="E15" s="844"/>
      <c r="F15" s="1760">
        <f>(C15+D15)-E15</f>
        <v>21024</v>
      </c>
      <c r="G15" s="849" t="s">
        <v>862</v>
      </c>
      <c r="H15" s="781"/>
      <c r="I15" s="781"/>
      <c r="J15" s="781"/>
      <c r="K15" s="781"/>
      <c r="L15" s="1769">
        <f>F15-K15</f>
        <v>21024</v>
      </c>
    </row>
    <row r="16" spans="1:14" ht="15" customHeight="1" thickTop="1" thickBot="1" x14ac:dyDescent="0.25">
      <c r="A16" s="1765" t="s">
        <v>643</v>
      </c>
      <c r="B16" s="1766">
        <v>200</v>
      </c>
      <c r="C16" s="1760">
        <f>SUM(C3,C5:C6,C8:C10,C12:C15)</f>
        <v>13295973</v>
      </c>
      <c r="D16" s="1760">
        <f>SUM(D3,D5:D6,D8:D10,D12:D15)</f>
        <v>156027</v>
      </c>
      <c r="E16" s="1760">
        <f>SUM(E3,E5:E6,E8:E10,E12:E15)</f>
        <v>2944</v>
      </c>
      <c r="F16" s="1760">
        <f>SUM(F3,F5:F6,F8:F10,F12:F15)</f>
        <v>13449056</v>
      </c>
      <c r="G16" s="843"/>
      <c r="H16" s="1760">
        <f>SUM(H3,H6,H8:H10,H12:H14,)</f>
        <v>11100447</v>
      </c>
      <c r="I16" s="1760">
        <f>SUM(I3,I6,I8:I10,I12:I14,)</f>
        <v>205342</v>
      </c>
      <c r="J16" s="1760">
        <f>SUM(J3,J6,J8:J10,J12:J14,)</f>
        <v>1585</v>
      </c>
      <c r="K16" s="1760">
        <f>(H16+I16)-J16</f>
        <v>11304204</v>
      </c>
      <c r="L16" s="1760">
        <f>F16-K16</f>
        <v>2144852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28880</v>
      </c>
      <c r="G17" s="837">
        <v>10</v>
      </c>
      <c r="H17" s="769"/>
      <c r="I17" s="1769">
        <f>F17/G17</f>
        <v>2888</v>
      </c>
      <c r="J17" s="769"/>
      <c r="K17" s="795"/>
      <c r="L17" s="795"/>
    </row>
    <row r="18" spans="1:12" ht="14.25" thickTop="1" thickBot="1" x14ac:dyDescent="0.25">
      <c r="A18" s="1767" t="s">
        <v>685</v>
      </c>
      <c r="B18" s="1768"/>
      <c r="C18" s="771"/>
      <c r="D18" s="771"/>
      <c r="E18" s="771"/>
      <c r="F18" s="850"/>
      <c r="G18" s="851"/>
      <c r="H18" s="773"/>
      <c r="I18" s="1760">
        <f>SUM(I16,I17)</f>
        <v>208230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42" activePane="bottomLeft" state="frozen"/>
      <selection activeCell="A13" sqref="A13:H13"/>
      <selection pane="bottomLeft" activeCell="A13" sqref="A13:H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1972</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5048597</v>
      </c>
      <c r="G8" s="865"/>
    </row>
    <row r="9" spans="1:7" x14ac:dyDescent="0.2">
      <c r="A9" s="869" t="s">
        <v>460</v>
      </c>
      <c r="B9" s="870" t="s">
        <v>1874</v>
      </c>
      <c r="C9" s="871"/>
      <c r="D9" s="869" t="s">
        <v>501</v>
      </c>
      <c r="E9" s="868"/>
      <c r="F9" s="1909">
        <f>'Expenditures 15-22'!K151</f>
        <v>0</v>
      </c>
      <c r="G9" s="872"/>
    </row>
    <row r="10" spans="1:7" x14ac:dyDescent="0.2">
      <c r="A10" s="869" t="s">
        <v>499</v>
      </c>
      <c r="B10" s="870" t="s">
        <v>1875</v>
      </c>
      <c r="C10" s="871"/>
      <c r="D10" s="869" t="s">
        <v>501</v>
      </c>
      <c r="E10" s="868"/>
      <c r="F10" s="1909">
        <f>'Expenditures 15-22'!K174</f>
        <v>0</v>
      </c>
      <c r="G10" s="872"/>
    </row>
    <row r="11" spans="1:7" x14ac:dyDescent="0.2">
      <c r="A11" s="869" t="s">
        <v>461</v>
      </c>
      <c r="B11" s="870" t="s">
        <v>1876</v>
      </c>
      <c r="C11" s="871"/>
      <c r="D11" s="869" t="s">
        <v>501</v>
      </c>
      <c r="E11" s="868"/>
      <c r="F11" s="1909">
        <f>'Expenditures 15-22'!K210</f>
        <v>0</v>
      </c>
      <c r="G11" s="872"/>
    </row>
    <row r="12" spans="1:7" x14ac:dyDescent="0.2">
      <c r="A12" s="869" t="s">
        <v>462</v>
      </c>
      <c r="B12" s="870" t="s">
        <v>1877</v>
      </c>
      <c r="C12" s="871"/>
      <c r="D12" s="869" t="s">
        <v>501</v>
      </c>
      <c r="E12" s="868"/>
      <c r="F12" s="1909">
        <f>'Expenditures 15-22'!K295</f>
        <v>0</v>
      </c>
      <c r="G12" s="872"/>
    </row>
    <row r="13" spans="1:7" x14ac:dyDescent="0.2">
      <c r="A13" s="869" t="s">
        <v>106</v>
      </c>
      <c r="B13" s="870" t="s">
        <v>1878</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5048597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1767680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137528</v>
      </c>
      <c r="G54" s="865"/>
    </row>
    <row r="55" spans="1:7" x14ac:dyDescent="0.2">
      <c r="A55" s="869" t="s">
        <v>459</v>
      </c>
      <c r="B55" s="869" t="s">
        <v>1477</v>
      </c>
      <c r="C55" s="889" t="s">
        <v>982</v>
      </c>
      <c r="D55" s="885" t="s">
        <v>291</v>
      </c>
      <c r="E55" s="868"/>
      <c r="F55" s="1913">
        <f>'Expenditures 15-22'!I114</f>
        <v>28880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1934088</v>
      </c>
      <c r="G76" s="865"/>
    </row>
    <row r="77" spans="1:8" s="893" customFormat="1" ht="12" customHeight="1" thickTop="1" thickBot="1" x14ac:dyDescent="0.25">
      <c r="A77" s="1779"/>
      <c r="B77" s="1776"/>
      <c r="C77" s="1772"/>
      <c r="D77" s="1777" t="s">
        <v>1897</v>
      </c>
      <c r="E77" s="1774"/>
      <c r="F77" s="1780">
        <f>(F14-F76)</f>
        <v>3114509</v>
      </c>
      <c r="G77" s="869"/>
    </row>
    <row r="78" spans="1:8" s="893" customFormat="1" ht="12" customHeight="1" thickTop="1" x14ac:dyDescent="0.2">
      <c r="A78" s="1781"/>
      <c r="B78" s="1776"/>
      <c r="C78" s="1772"/>
      <c r="D78" s="1777" t="s">
        <v>2059</v>
      </c>
      <c r="E78" s="1774"/>
      <c r="F78" s="898">
        <v>0</v>
      </c>
      <c r="G78" s="899"/>
      <c r="H78" s="869"/>
    </row>
    <row r="79" spans="1:8" s="893" customFormat="1" ht="12" customHeight="1" thickBot="1" x14ac:dyDescent="0.25">
      <c r="A79" s="1782"/>
      <c r="B79" s="1776"/>
      <c r="C79" s="1772"/>
      <c r="D79" s="1777" t="s">
        <v>1898</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74246</v>
      </c>
      <c r="G94" s="912"/>
    </row>
    <row r="95" spans="1:7" x14ac:dyDescent="0.2">
      <c r="A95" s="908" t="s">
        <v>140</v>
      </c>
      <c r="B95" s="908" t="s">
        <v>175</v>
      </c>
      <c r="C95" s="910">
        <v>1700</v>
      </c>
      <c r="D95" s="918" t="str">
        <f>'Revenues 9-14'!A82</f>
        <v>Total District/School Activity Income</v>
      </c>
      <c r="E95" s="906"/>
      <c r="F95" s="1789">
        <f>SUM('Revenues 9-14'!C82,'Revenues 9-14'!D82)</f>
        <v>309243</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119570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2000</v>
      </c>
      <c r="C105" s="913">
        <v>3100</v>
      </c>
      <c r="D105" s="919" t="str">
        <f>'Revenues 9-14'!A132</f>
        <v>Total Special Education</v>
      </c>
      <c r="E105" s="906"/>
      <c r="F105" s="1789">
        <f>SUM('Revenues 9-14'!C132:D132,'Revenues 9-14'!F132)</f>
        <v>0</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13388</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0</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5891</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347000</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0</v>
      </c>
      <c r="G125" s="930"/>
    </row>
    <row r="126" spans="1:7" x14ac:dyDescent="0.2">
      <c r="A126" s="927" t="s">
        <v>668</v>
      </c>
      <c r="B126" s="927" t="s">
        <v>2021</v>
      </c>
      <c r="C126" s="932">
        <v>4300</v>
      </c>
      <c r="D126" s="933" t="str">
        <f>'Revenues 9-14'!A204</f>
        <v>Total Title I</v>
      </c>
      <c r="E126" s="906"/>
      <c r="F126" s="1789">
        <f>SUM('Revenues 9-14'!C204,'Revenues 9-14'!D204,'Revenues 9-14'!F204,'Revenues 9-14'!G204)</f>
        <v>0</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2234</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871572</v>
      </c>
    </row>
    <row r="175" spans="1:7" ht="12" customHeight="1" x14ac:dyDescent="0.2">
      <c r="A175" s="1770"/>
      <c r="B175" s="1784"/>
      <c r="C175" s="1785"/>
      <c r="D175" s="1786" t="s">
        <v>2054</v>
      </c>
      <c r="E175" s="1787"/>
      <c r="F175" s="1789">
        <f>'PCTC-OEPP 27-28'!F77-F174</f>
        <v>2242937</v>
      </c>
    </row>
    <row r="176" spans="1:7" ht="12" customHeight="1" x14ac:dyDescent="0.2">
      <c r="A176" s="1770"/>
      <c r="B176" s="1784"/>
      <c r="C176" s="1785"/>
      <c r="D176" s="1786" t="s">
        <v>1814</v>
      </c>
      <c r="E176" s="1787"/>
      <c r="F176" s="1789">
        <f>'Cap Outlay Deprec 26'!I18</f>
        <v>208230</v>
      </c>
    </row>
    <row r="177" spans="1:7" ht="12" customHeight="1" x14ac:dyDescent="0.2">
      <c r="A177" s="1770"/>
      <c r="B177" s="1784"/>
      <c r="C177" s="1785"/>
      <c r="D177" s="1786" t="s">
        <v>2055</v>
      </c>
      <c r="E177" s="1787"/>
      <c r="F177" s="1789">
        <f>F175+F176</f>
        <v>2451167</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2056</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zoomScaleNormal="100" workbookViewId="0">
      <selection activeCell="A13" sqref="A13:H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1815</v>
      </c>
      <c r="B4" s="2270"/>
      <c r="C4" s="2270"/>
      <c r="D4" s="2270"/>
      <c r="E4" s="2270"/>
      <c r="F4" s="2270"/>
      <c r="G4" s="2271"/>
    </row>
    <row r="5" spans="1:7" x14ac:dyDescent="0.25">
      <c r="A5" s="2272"/>
      <c r="B5" s="2273"/>
      <c r="C5" s="2273"/>
      <c r="D5" s="2273"/>
      <c r="E5" s="2273"/>
      <c r="F5" s="2273"/>
      <c r="G5" s="2274"/>
    </row>
    <row r="6" spans="1:7" ht="18.75" x14ac:dyDescent="0.25">
      <c r="A6" s="1534" t="s">
        <v>1816</v>
      </c>
      <c r="B6" s="1535"/>
      <c r="C6" s="1535"/>
      <c r="D6" s="1535"/>
      <c r="E6" s="1535"/>
      <c r="F6" s="1535"/>
      <c r="G6" s="1536"/>
    </row>
    <row r="7" spans="1:7" ht="30.75" customHeight="1" x14ac:dyDescent="0.25">
      <c r="A7" s="2275" t="s">
        <v>1929</v>
      </c>
      <c r="B7" s="2276"/>
      <c r="C7" s="2276"/>
      <c r="D7" s="2276"/>
      <c r="E7" s="2276"/>
      <c r="F7" s="2276"/>
      <c r="G7" s="2277"/>
    </row>
    <row r="8" spans="1:7" ht="15.75" customHeight="1" x14ac:dyDescent="0.25">
      <c r="A8" s="2278" t="s">
        <v>1904</v>
      </c>
      <c r="B8" s="2279"/>
      <c r="C8" s="2279"/>
      <c r="D8" s="2279"/>
      <c r="E8" s="2279"/>
      <c r="F8" s="2279"/>
      <c r="G8" s="2280"/>
    </row>
    <row r="9" spans="1:7" ht="35.25" customHeight="1" x14ac:dyDescent="0.25">
      <c r="A9" s="2275" t="s">
        <v>1932</v>
      </c>
      <c r="B9" s="2276"/>
      <c r="C9" s="2276"/>
      <c r="D9" s="2276"/>
      <c r="E9" s="2276"/>
      <c r="F9" s="2276"/>
      <c r="G9" s="2277"/>
    </row>
    <row r="10" spans="1:7" ht="15" customHeight="1" x14ac:dyDescent="0.25">
      <c r="A10" s="1537" t="s">
        <v>1817</v>
      </c>
      <c r="B10" s="1538"/>
      <c r="C10" s="1538"/>
      <c r="D10" s="1538"/>
      <c r="E10" s="1538"/>
      <c r="F10" s="1538"/>
      <c r="G10" s="1539"/>
    </row>
    <row r="11" spans="1:7" ht="17.25" customHeight="1" x14ac:dyDescent="0.25">
      <c r="A11" s="2275" t="s">
        <v>1931</v>
      </c>
      <c r="B11" s="2276"/>
      <c r="C11" s="2276"/>
      <c r="D11" s="2276"/>
      <c r="E11" s="2276"/>
      <c r="F11" s="2276"/>
      <c r="G11" s="2277"/>
    </row>
    <row r="12" spans="1:7" ht="15" customHeight="1" x14ac:dyDescent="0.25">
      <c r="A12" s="1537" t="s">
        <v>1822</v>
      </c>
      <c r="B12" s="1538"/>
      <c r="C12" s="1538"/>
      <c r="D12" s="1538"/>
      <c r="E12" s="1538"/>
      <c r="F12" s="1538"/>
      <c r="G12" s="1539"/>
    </row>
    <row r="13" spans="1:7" ht="32.25" customHeight="1" x14ac:dyDescent="0.25">
      <c r="A13" s="2266" t="s">
        <v>1973</v>
      </c>
      <c r="B13" s="2267"/>
      <c r="C13" s="2267"/>
      <c r="D13" s="2267"/>
      <c r="E13" s="2267"/>
      <c r="F13" s="2267"/>
      <c r="G13" s="2268"/>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2088</v>
      </c>
      <c r="B17" s="1939" t="s">
        <v>2089</v>
      </c>
      <c r="C17" s="1937" t="s">
        <v>2084</v>
      </c>
      <c r="D17" s="1844">
        <v>47589</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22589</v>
      </c>
      <c r="H17" s="1647"/>
    </row>
    <row r="18" spans="1:8" x14ac:dyDescent="0.25">
      <c r="A18" s="1938" t="s">
        <v>2088</v>
      </c>
      <c r="B18" s="1939" t="s">
        <v>2089</v>
      </c>
      <c r="C18" s="1937" t="s">
        <v>2085</v>
      </c>
      <c r="D18" s="1844">
        <v>30000</v>
      </c>
      <c r="E18" s="1540">
        <f t="shared" ref="E18:E140" si="2">IF(D18&lt;=25000,D18,IF(D18&gt;25000,25000,0))</f>
        <v>25000</v>
      </c>
      <c r="F18" s="1932">
        <f t="shared" si="1"/>
        <v>25000</v>
      </c>
      <c r="G18" s="1793">
        <f t="shared" ref="G18:G140" si="3">IF(F18=0,0,D18-F18)</f>
        <v>5000</v>
      </c>
    </row>
    <row r="19" spans="1:8" x14ac:dyDescent="0.25">
      <c r="A19" s="1938" t="s">
        <v>2087</v>
      </c>
      <c r="B19" s="1939" t="s">
        <v>2090</v>
      </c>
      <c r="C19" s="1937" t="s">
        <v>2086</v>
      </c>
      <c r="D19" s="1844">
        <v>111410</v>
      </c>
      <c r="E19" s="1540">
        <f t="shared" si="2"/>
        <v>25000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188999</v>
      </c>
      <c r="E141" s="1541">
        <f t="shared" si="0"/>
        <v>25000</v>
      </c>
      <c r="F141" s="1933">
        <f>SUM(F17:F140)</f>
        <v>50000</v>
      </c>
      <c r="G141" s="1795">
        <f>SUM(G17:G140)</f>
        <v>27589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86" t="s">
        <v>1974</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3323203</v>
      </c>
      <c r="F19" s="1799"/>
      <c r="G19" s="1801">
        <f>'Expenditures 15-22'!K33-SUM('Expenditures 15-22'!G33,'Expenditures 15-22'!I33)+'Expenditures 15-22'!D229</f>
        <v>3323203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89430</v>
      </c>
      <c r="F21" s="1802"/>
      <c r="G21" s="1805">
        <f>'Expenditures 15-22'!K42-SUM('Expenditures 15-22'!G42,'Expenditures 15-22'!I42)+'Expenditures 15-22'!K120-SUM('Expenditures 15-22'!G120,'Expenditures 15-22'!I120)+'Expenditures 15-22'!K180-SUM('Expenditures 15-22'!G180,'Expenditures 15-22'!I180)+'Expenditures 15-22'!D238</f>
        <v>89430</v>
      </c>
      <c r="H21" s="987"/>
      <c r="I21" s="162"/>
    </row>
    <row r="22" spans="1:9" s="668" customFormat="1" ht="12" customHeight="1" x14ac:dyDescent="0.2">
      <c r="A22" s="994" t="s">
        <v>564</v>
      </c>
      <c r="B22" s="995"/>
      <c r="C22" s="993">
        <v>2200</v>
      </c>
      <c r="D22" s="1802"/>
      <c r="E22" s="1804">
        <f>'Expenditures 15-22'!K47-SUM('Expenditures 15-22'!G47,'Expenditures 15-22'!I47)+'Expenditures 15-22'!D243</f>
        <v>12945</v>
      </c>
      <c r="F22" s="1802"/>
      <c r="G22" s="1805">
        <f>'Expenditures 15-22'!K47-SUM('Expenditures 15-22'!G47,'Expenditures 15-22'!I47)+'Expenditures 15-22'!D243</f>
        <v>12945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182763</v>
      </c>
      <c r="F23" s="1802"/>
      <c r="G23" s="1804">
        <f>'Expenditures 15-22'!K53-SUM('Expenditures 15-22'!G53,'Expenditures 15-22'!I53)+'Expenditures 15-22'!D257+'Expenditures 15-22'!K330-SUM('Expenditures 15-22'!G330,'Expenditures 15-22'!I330)</f>
        <v>182763</v>
      </c>
      <c r="H23" s="987"/>
      <c r="I23" s="162"/>
    </row>
    <row r="24" spans="1:9" s="668" customFormat="1" ht="12" customHeight="1" x14ac:dyDescent="0.2">
      <c r="A24" s="994" t="s">
        <v>566</v>
      </c>
      <c r="B24" s="995"/>
      <c r="C24" s="993">
        <v>2400</v>
      </c>
      <c r="D24" s="1802"/>
      <c r="E24" s="1804">
        <f>'Expenditures 15-22'!K57-SUM('Expenditures 15-22'!G57,'Expenditures 15-22'!I57)+'Expenditures 15-22'!D261</f>
        <v>94564</v>
      </c>
      <c r="F24" s="1802"/>
      <c r="G24" s="1805">
        <f>'Expenditures 15-22'!K57-SUM('Expenditures 15-22'!G57,'Expenditures 15-22'!I57)+'Expenditures 15-22'!D261</f>
        <v>94564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160284</v>
      </c>
      <c r="E26" s="1804">
        <f>'Expenditures 15-22'!K122-SUM('Expenditures 15-22'!G122,'Expenditures 15-22'!I122)+E7</f>
        <v>0</v>
      </c>
      <c r="F26" s="1804">
        <f>'Expenditures 15-22'!K59-SUM('Expenditures 15-22'!G59,'Expenditures 15-22'!I59)+'Expenditures 15-22'!D263-E7</f>
        <v>160284</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935538</v>
      </c>
      <c r="F28" s="1806">
        <f>'Expenditures 15-22'!K61-SUM('Expenditures 15-22'!G61,'Expenditures 15-22'!I61)+'Expenditures 15-22'!K124-SUM('Expenditures 15-22'!G124,'Expenditures 15-22'!I124)+'Expenditures 15-22'!D266-E9</f>
        <v>935538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10674</v>
      </c>
      <c r="F29" s="1802"/>
      <c r="G29" s="1805">
        <f>'Expenditures 15-22'!K62-SUM('Expenditures 15-22'!G62,'Expenditures 15-22'!I62)+'Expenditures 15-22'!K125-SUM('Expenditures 15-22'!G125,'Expenditures 15-22'!I125)+'Expenditures 15-22'!K182-SUM('Expenditures 15-22'!G182,'Expenditures 15-22'!I182)+'Expenditures 15-22'!D267</f>
        <v>10674</v>
      </c>
      <c r="H29" s="985"/>
    </row>
    <row r="30" spans="1:9" ht="12" customHeight="1" x14ac:dyDescent="0.2">
      <c r="A30" s="994" t="s">
        <v>100</v>
      </c>
      <c r="B30" s="997"/>
      <c r="C30" s="993">
        <v>2560</v>
      </c>
      <c r="D30" s="1802"/>
      <c r="E30" s="1804">
        <f>'Expenditures 15-22'!K63-SUM('Expenditures 15-22'!G63,'Expenditures 15-22'!I63)+'Expenditures 15-22'!D268-E10</f>
        <v>72413</v>
      </c>
      <c r="F30" s="1802"/>
      <c r="G30" s="1804">
        <f>'Expenditures 15-22'!K63-SUM('Expenditures 15-22'!G63,'Expenditures 15-22'!I63)+'Expenditures 15-22'!D268-E10</f>
        <v>72413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29'!G141</f>
        <v>-27589</v>
      </c>
      <c r="F40" s="1802"/>
      <c r="G40" s="1806">
        <f>-'Contracts Paid in CY 29'!G141</f>
        <v>-27589</v>
      </c>
    </row>
    <row r="41" spans="1:7" ht="12" customHeight="1" x14ac:dyDescent="0.2">
      <c r="A41" s="998" t="s">
        <v>156</v>
      </c>
      <c r="B41" s="999"/>
      <c r="C41" s="1000"/>
      <c r="D41" s="1806">
        <f>SUM(D19:D39)</f>
        <v>160284</v>
      </c>
      <c r="E41" s="1806">
        <f>SUM(E19:E40)</f>
        <v>4693941</v>
      </c>
      <c r="F41" s="1806">
        <f>SUM(F19:F39)</f>
        <v>1095822</v>
      </c>
      <c r="G41" s="1806">
        <f>SUM(G19:G40)</f>
        <v>3758403</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160284</v>
      </c>
      <c r="F43" s="1807" t="s">
        <v>473</v>
      </c>
      <c r="G43" s="1808">
        <f>F41</f>
        <v>1095822</v>
      </c>
    </row>
    <row r="44" spans="1:7" ht="12" customHeight="1" x14ac:dyDescent="0.2">
      <c r="A44" s="987"/>
      <c r="B44" s="162"/>
      <c r="C44" s="1001"/>
      <c r="D44" s="1807" t="s">
        <v>474</v>
      </c>
      <c r="E44" s="1808">
        <f>E41</f>
        <v>4693941</v>
      </c>
      <c r="F44" s="1807" t="s">
        <v>474</v>
      </c>
      <c r="G44" s="1808">
        <f>G41</f>
        <v>3758403</v>
      </c>
    </row>
    <row r="45" spans="1:7" ht="12" customHeight="1" x14ac:dyDescent="0.2">
      <c r="A45" s="987"/>
      <c r="B45" s="162"/>
      <c r="C45" s="162"/>
      <c r="D45" s="1809" t="s">
        <v>1006</v>
      </c>
      <c r="E45" s="1810">
        <f>(E43/E44)</f>
        <v>3.4146999291213925E-2</v>
      </c>
      <c r="F45" s="1809" t="s">
        <v>1006</v>
      </c>
      <c r="G45" s="1810">
        <f>(G43/G44)</f>
        <v>0.29156585922265388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13" sqref="A13:H13"/>
      <selection pane="bottomLeft" activeCell="A13" sqref="A13:H1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Capital Area Career Center</v>
      </c>
      <c r="D6" s="2296"/>
      <c r="E6" s="2296"/>
      <c r="F6" s="1852"/>
    </row>
    <row r="7" spans="1:10" ht="11.25" customHeight="1" thickBot="1" x14ac:dyDescent="0.3">
      <c r="A7" s="1850"/>
      <c r="B7" s="1851"/>
      <c r="C7" s="2297">
        <f>COVER!A13</f>
        <v>51084790040</v>
      </c>
      <c r="D7" s="2297"/>
      <c r="E7" s="2297"/>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2068</v>
      </c>
      <c r="D19" s="1865" t="s">
        <v>2068</v>
      </c>
      <c r="E19" s="1868"/>
      <c r="F19" s="1867" t="s">
        <v>2084</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Capital Area Career Center</v>
      </c>
      <c r="J6" s="2317"/>
      <c r="Q6" s="1664"/>
    </row>
    <row r="7" spans="1:17" x14ac:dyDescent="0.2">
      <c r="A7" s="2318" t="s">
        <v>869</v>
      </c>
      <c r="B7" s="2319"/>
      <c r="C7" s="2319"/>
      <c r="D7" s="2319"/>
      <c r="E7" s="2320"/>
      <c r="F7" s="1017"/>
      <c r="G7" s="1009"/>
      <c r="H7" s="1016" t="s">
        <v>372</v>
      </c>
      <c r="I7" s="2321">
        <f>COVER!A13</f>
        <v>51084790040</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152634</v>
      </c>
      <c r="F12" s="1039"/>
      <c r="G12" s="1811">
        <f t="shared" ref="G12:G18" si="0">SUM(E12:F12)</f>
        <v>152634</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161284</v>
      </c>
      <c r="F15" s="1811">
        <f>'Expenditures 15-22'!K122</f>
        <v>0</v>
      </c>
      <c r="G15" s="1811">
        <f t="shared" si="0"/>
        <v>161284</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313918</v>
      </c>
      <c r="F19" s="1813">
        <f t="shared" si="2"/>
        <v>0</v>
      </c>
      <c r="G19" s="1813">
        <f t="shared" si="2"/>
        <v>313918</v>
      </c>
      <c r="H19" s="1813">
        <f t="shared" si="2"/>
        <v>0</v>
      </c>
      <c r="I19" s="1813">
        <f t="shared" si="2"/>
        <v>0</v>
      </c>
      <c r="J19" s="1813">
        <f t="shared" si="2"/>
        <v>0</v>
      </c>
    </row>
    <row r="20" spans="1:10" ht="13.5" thickTop="1" x14ac:dyDescent="0.2">
      <c r="A20" s="1035">
        <v>9</v>
      </c>
      <c r="B20" s="2328" t="s">
        <v>1978</v>
      </c>
      <c r="C20" s="2328"/>
      <c r="D20" s="2329"/>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1980</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3" sqref="A13:H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2091</v>
      </c>
    </row>
    <row r="6" spans="1:2" x14ac:dyDescent="0.2">
      <c r="A6" s="1068">
        <v>2</v>
      </c>
      <c r="B6" s="329" t="s">
        <v>2092</v>
      </c>
    </row>
    <row r="7" spans="1:2" x14ac:dyDescent="0.2">
      <c r="A7" s="1068">
        <v>3</v>
      </c>
      <c r="B7" s="329" t="s">
        <v>2093</v>
      </c>
    </row>
    <row r="8" spans="1:2" x14ac:dyDescent="0.2">
      <c r="A8" s="1068">
        <v>4</v>
      </c>
      <c r="B8" s="329" t="s">
        <v>2094</v>
      </c>
    </row>
    <row r="9" spans="1:2" x14ac:dyDescent="0.2">
      <c r="A9" s="1068">
        <v>5</v>
      </c>
      <c r="B9" s="329" t="s">
        <v>2095</v>
      </c>
    </row>
    <row r="10" spans="1:2" x14ac:dyDescent="0.2">
      <c r="A10" s="1068">
        <v>6</v>
      </c>
      <c r="B10" s="329" t="s">
        <v>2096</v>
      </c>
    </row>
    <row r="11" spans="1:2" x14ac:dyDescent="0.2">
      <c r="A11" s="1068">
        <v>7</v>
      </c>
      <c r="B11" s="329" t="s">
        <v>2097</v>
      </c>
    </row>
    <row r="12" spans="1:2" x14ac:dyDescent="0.2">
      <c r="A12" s="1068"/>
    </row>
    <row r="13" spans="1:2" x14ac:dyDescent="0.2">
      <c r="A13" s="1068"/>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Capital Area Career Center</v>
      </c>
    </row>
    <row r="65" spans="2:2" x14ac:dyDescent="0.2">
      <c r="B65" s="1070">
        <f>COVER!A13</f>
        <v>51084790040</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1752600</xdr:colOff>
                <xdr:row>2</xdr:row>
                <xdr:rowOff>38100</xdr:rowOff>
              </from>
              <to>
                <xdr:col>1</xdr:col>
                <xdr:colOff>2667000</xdr:colOff>
                <xdr:row>6</xdr:row>
                <xdr:rowOff>76200</xdr:rowOff>
              </to>
            </anchor>
          </objectPr>
        </oleObject>
      </mc:Choice>
      <mc:Fallback>
        <oleObject progId="Acrobat Document" dvAspect="DVASPECT_ICON" shapeId="3584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3" sqref="A13:H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1984</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1985</v>
      </c>
      <c r="B4" s="2356"/>
      <c r="C4" s="2356"/>
      <c r="D4" s="2356"/>
      <c r="E4" s="2356"/>
      <c r="F4" s="2357"/>
      <c r="G4" s="1074"/>
      <c r="H4" s="1074"/>
    </row>
    <row r="5" spans="1:8" ht="14.25" customHeight="1" x14ac:dyDescent="0.2">
      <c r="A5" s="2358" t="s">
        <v>1981</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5353213</v>
      </c>
      <c r="C8" s="1815">
        <f>'Acct Summary 7-8'!D8</f>
        <v>0</v>
      </c>
      <c r="D8" s="1815">
        <f>'Acct Summary 7-8'!F8</f>
        <v>0</v>
      </c>
      <c r="E8" s="1815">
        <f>'Acct Summary 7-8'!I8</f>
        <v>0</v>
      </c>
      <c r="F8" s="1815">
        <f>SUM(B8:E8)</f>
        <v>5353213</v>
      </c>
    </row>
    <row r="9" spans="1:8" s="1079" customFormat="1" ht="14.25" customHeight="1" thickBot="1" x14ac:dyDescent="0.25">
      <c r="A9" s="1078" t="s">
        <v>1369</v>
      </c>
      <c r="B9" s="1816">
        <f>'Acct Summary 7-8'!C17</f>
        <v>5048597</v>
      </c>
      <c r="C9" s="1816">
        <f>'Acct Summary 7-8'!D17</f>
        <v>0</v>
      </c>
      <c r="D9" s="1816">
        <f>'Acct Summary 7-8'!F17</f>
        <v>0</v>
      </c>
      <c r="E9" s="1815"/>
      <c r="F9" s="1815">
        <f>SUM(B9:E9)</f>
        <v>5048597</v>
      </c>
    </row>
    <row r="10" spans="1:8" s="1079" customFormat="1" ht="14.25" thickTop="1" thickBot="1" x14ac:dyDescent="0.25">
      <c r="A10" s="1080" t="s">
        <v>1370</v>
      </c>
      <c r="B10" s="1817">
        <f>(B8-B9)</f>
        <v>304616</v>
      </c>
      <c r="C10" s="1817">
        <f>(C8-C9)</f>
        <v>0</v>
      </c>
      <c r="D10" s="1817">
        <f>(D8-D9)</f>
        <v>0</v>
      </c>
      <c r="E10" s="1816">
        <f>(E8-E9)</f>
        <v>0</v>
      </c>
      <c r="F10" s="1818">
        <f>SUM(F8-F9)</f>
        <v>304616</v>
      </c>
    </row>
    <row r="11" spans="1:8" s="1079" customFormat="1" ht="14.25" thickTop="1" thickBot="1" x14ac:dyDescent="0.25">
      <c r="A11" s="1081" t="s">
        <v>1982</v>
      </c>
      <c r="B11" s="1819">
        <f>'Acct Summary 7-8'!C81</f>
        <v>3153971</v>
      </c>
      <c r="C11" s="1819">
        <f>'Acct Summary 7-8'!D81</f>
        <v>0</v>
      </c>
      <c r="D11" s="1819">
        <f>'Acct Summary 7-8'!F81</f>
        <v>0</v>
      </c>
      <c r="E11" s="1819">
        <f>'Acct Summary 7-8'!I81</f>
        <v>0</v>
      </c>
      <c r="F11" s="1820">
        <f>SUM(B11:E11)</f>
        <v>3153971</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ERROR!</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51084790040</v>
      </c>
    </row>
    <row r="3" spans="1:2" x14ac:dyDescent="0.2">
      <c r="A3" t="s">
        <v>956</v>
      </c>
      <c r="B3" s="138" t="str">
        <f>COVER!A15</f>
        <v xml:space="preserve">Sangamon                        </v>
      </c>
    </row>
    <row r="4" spans="1:2" x14ac:dyDescent="0.2">
      <c r="A4" t="s">
        <v>1007</v>
      </c>
      <c r="B4" s="138" t="str">
        <f>COVER!A17</f>
        <v>Capital Area Career Center</v>
      </c>
    </row>
    <row r="5" spans="1:2" x14ac:dyDescent="0.2">
      <c r="A5" t="s">
        <v>704</v>
      </c>
      <c r="B5" s="138" t="str">
        <f>COVER!A38</f>
        <v>Jodi Ferriell, Director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060-004845</v>
      </c>
    </row>
    <row r="16" spans="1:2" x14ac:dyDescent="0.2">
      <c r="A16" t="s">
        <v>422</v>
      </c>
      <c r="B16" s="138" t="str">
        <f>COVER!T13</f>
        <v xml:space="preserve">Pehlman and Dold, P.C.                 </v>
      </c>
    </row>
    <row r="17" spans="1:2" x14ac:dyDescent="0.2">
      <c r="A17" t="s">
        <v>884</v>
      </c>
      <c r="B17" s="138" t="str">
        <f>COVER!T15</f>
        <v>Dorinda L Fitzgerald</v>
      </c>
    </row>
    <row r="18" spans="1:2" x14ac:dyDescent="0.2">
      <c r="A18" t="s">
        <v>1150</v>
      </c>
      <c r="B18" s="138" t="str">
        <f>COVER!T17</f>
        <v>100 North Amos Avenue</v>
      </c>
    </row>
    <row r="19" spans="1:2" x14ac:dyDescent="0.2">
      <c r="A19" t="s">
        <v>886</v>
      </c>
      <c r="B19" s="138">
        <f>COVER!T25</f>
        <v>0</v>
      </c>
    </row>
    <row r="20" spans="1:2" x14ac:dyDescent="0.2">
      <c r="A20" t="s">
        <v>887</v>
      </c>
      <c r="B20" s="138" t="str">
        <f>COVER!T19</f>
        <v>Springfield</v>
      </c>
    </row>
    <row r="21" spans="1:2" x14ac:dyDescent="0.2">
      <c r="A21" t="s">
        <v>479</v>
      </c>
      <c r="B21" s="138" t="str">
        <f>COVER!X19</f>
        <v>IL</v>
      </c>
    </row>
    <row r="22" spans="1:2" x14ac:dyDescent="0.2">
      <c r="A22" t="s">
        <v>888</v>
      </c>
      <c r="B22" s="138">
        <f>COVER!Z19</f>
        <v>62702</v>
      </c>
    </row>
    <row r="23" spans="1:2" x14ac:dyDescent="0.2">
      <c r="A23" t="s">
        <v>1152</v>
      </c>
      <c r="B23" s="138" t="str">
        <f>COVER!T21</f>
        <v>(217) 787-0563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3436108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7038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282137</v>
      </c>
      <c r="C91" s="2" t="s">
        <v>573</v>
      </c>
      <c r="D91" s="2" t="str">
        <f t="shared" si="0"/>
        <v>Error?</v>
      </c>
    </row>
    <row r="92" spans="1:4" x14ac:dyDescent="0.2">
      <c r="A92" s="5">
        <v>31</v>
      </c>
      <c r="B92" s="138">
        <f>'Assets-Liab 5-6'!C39</f>
        <v>3153971</v>
      </c>
      <c r="D92" s="2" t="str">
        <f t="shared" si="0"/>
        <v>Error?</v>
      </c>
    </row>
    <row r="93" spans="1:4" x14ac:dyDescent="0.2">
      <c r="A93" s="5">
        <v>32</v>
      </c>
      <c r="B93" s="138">
        <f>'Assets-Liab 5-6'!C41</f>
        <v>3436108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43942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18499</v>
      </c>
      <c r="C211" s="2" t="s">
        <v>573</v>
      </c>
      <c r="D211" s="2" t="str">
        <f t="shared" si="2"/>
        <v>Error?</v>
      </c>
    </row>
    <row r="212" spans="1:4" x14ac:dyDescent="0.2">
      <c r="A212" s="5">
        <v>151</v>
      </c>
      <c r="B212" s="138">
        <f>'Assets-Liab 5-6'!H39</f>
        <v>25443</v>
      </c>
      <c r="D212" s="2" t="str">
        <f t="shared" si="2"/>
        <v>Error?</v>
      </c>
    </row>
    <row r="213" spans="1:4" x14ac:dyDescent="0.2">
      <c r="A213" s="12">
        <v>152</v>
      </c>
      <c r="B213" s="138">
        <f>'Assets-Liab 5-6'!H41</f>
        <v>43942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300000</v>
      </c>
      <c r="D273" s="2" t="str">
        <f t="shared" si="3"/>
        <v>Error?</v>
      </c>
    </row>
    <row r="274" spans="1:4" x14ac:dyDescent="0.2">
      <c r="A274" s="5">
        <v>213</v>
      </c>
      <c r="B274" s="138">
        <f>'Assets-Liab 5-6'!M17</f>
        <v>11044929</v>
      </c>
      <c r="D274" s="2" t="str">
        <f t="shared" si="3"/>
        <v>Error?</v>
      </c>
    </row>
    <row r="275" spans="1:4" x14ac:dyDescent="0.2">
      <c r="A275" s="5">
        <v>214</v>
      </c>
      <c r="B275" s="138">
        <f>'Assets-Liab 5-6'!M18</f>
        <v>588573</v>
      </c>
      <c r="D275" s="2" t="str">
        <f t="shared" si="3"/>
        <v>Error?</v>
      </c>
    </row>
    <row r="276" spans="1:4" x14ac:dyDescent="0.2">
      <c r="A276" s="5">
        <v>215</v>
      </c>
      <c r="B276" s="138">
        <f>'Assets-Liab 5-6'!M19</f>
        <v>1494530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13449056</v>
      </c>
      <c r="C279" s="2" t="s">
        <v>573</v>
      </c>
      <c r="D279" s="2" t="str">
        <f t="shared" si="3"/>
        <v>Error?</v>
      </c>
    </row>
    <row r="280" spans="1:4" x14ac:dyDescent="0.2">
      <c r="A280" s="5">
        <v>219</v>
      </c>
      <c r="B280" s="138">
        <f>'Assets-Liab 5-6'!M40</f>
        <v>13449056</v>
      </c>
      <c r="D280" s="2" t="str">
        <f t="shared" si="3"/>
        <v>Error?</v>
      </c>
    </row>
    <row r="281" spans="1:4" x14ac:dyDescent="0.2">
      <c r="A281" s="5">
        <v>220</v>
      </c>
      <c r="B281" s="138">
        <f>'Assets-Liab 5-6'!M41</f>
        <v>13449056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1734482</v>
      </c>
      <c r="D283" s="2" t="str">
        <f t="shared" si="3"/>
        <v>Error?</v>
      </c>
    </row>
    <row r="284" spans="1:4" x14ac:dyDescent="0.2">
      <c r="A284" s="5">
        <v>223</v>
      </c>
      <c r="B284" s="138">
        <f>'Assets-Liab 5-6'!N23</f>
        <v>1734482</v>
      </c>
      <c r="C284" s="2" t="s">
        <v>573</v>
      </c>
      <c r="D284" s="2" t="str">
        <f t="shared" si="3"/>
        <v>Error?</v>
      </c>
    </row>
    <row r="285" spans="1:4" x14ac:dyDescent="0.2">
      <c r="A285" s="5">
        <v>224</v>
      </c>
      <c r="B285" s="138">
        <f>'Assets-Liab 5-6'!N36</f>
        <v>1734482</v>
      </c>
      <c r="D285" s="2" t="str">
        <f t="shared" si="3"/>
        <v>Error?</v>
      </c>
    </row>
    <row r="286" spans="1:4" x14ac:dyDescent="0.2">
      <c r="A286" s="10">
        <v>225</v>
      </c>
      <c r="D286" s="2" t="str">
        <f t="shared" si="3"/>
        <v>OK</v>
      </c>
    </row>
    <row r="287" spans="1:4" x14ac:dyDescent="0.2">
      <c r="A287" s="5">
        <v>226</v>
      </c>
      <c r="B287" s="138">
        <f>'Assets-Liab 5-6'!N37</f>
        <v>1734482</v>
      </c>
      <c r="C287" s="2" t="s">
        <v>573</v>
      </c>
      <c r="D287" s="2" t="str">
        <f t="shared" si="3"/>
        <v>Error?</v>
      </c>
    </row>
    <row r="288" spans="1:4" x14ac:dyDescent="0.2">
      <c r="A288" s="5">
        <v>227</v>
      </c>
      <c r="B288" s="138">
        <f>'Assets-Liab 5-6'!N41</f>
        <v>1734482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915074</v>
      </c>
      <c r="D716" s="2" t="str">
        <f t="shared" si="10"/>
        <v>Error?</v>
      </c>
    </row>
    <row r="717" spans="1:4" x14ac:dyDescent="0.2">
      <c r="A717" s="5">
        <v>656</v>
      </c>
      <c r="B717" s="138">
        <f>'Expenditures 15-22'!C13</f>
        <v>1054292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1993777</v>
      </c>
      <c r="C720" s="2" t="s">
        <v>573</v>
      </c>
      <c r="D720" s="2" t="str">
        <f t="shared" si="10"/>
        <v>Error?</v>
      </c>
    </row>
    <row r="721" spans="1:4" x14ac:dyDescent="0.2">
      <c r="A721" s="5">
        <v>660</v>
      </c>
      <c r="B721" s="138">
        <f>'Expenditures 15-22'!C36</f>
        <v>22907</v>
      </c>
      <c r="D721" s="2" t="str">
        <f t="shared" si="10"/>
        <v>Error?</v>
      </c>
    </row>
    <row r="722" spans="1:4" x14ac:dyDescent="0.2">
      <c r="A722" s="5">
        <v>661</v>
      </c>
      <c r="B722" s="138">
        <f>'Expenditures 15-22'!C37</f>
        <v>28968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51875</v>
      </c>
      <c r="C727" s="2" t="s">
        <v>573</v>
      </c>
      <c r="D727" s="2" t="str">
        <f t="shared" si="10"/>
        <v>Error?</v>
      </c>
    </row>
    <row r="728" spans="1:4" x14ac:dyDescent="0.2">
      <c r="A728" s="5">
        <v>667</v>
      </c>
      <c r="B728" s="138">
        <f>'Expenditures 15-22'!C44</f>
        <v>1063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1063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120268</v>
      </c>
      <c r="D733" s="2" t="str">
        <f t="shared" si="10"/>
        <v>Error?</v>
      </c>
    </row>
    <row r="734" spans="1:4" x14ac:dyDescent="0.2">
      <c r="A734" s="5">
        <v>673</v>
      </c>
      <c r="B734" s="138">
        <f>'Expenditures 15-22'!C53</f>
        <v>120268</v>
      </c>
      <c r="C734" s="2" t="s">
        <v>573</v>
      </c>
      <c r="D734" s="2" t="str">
        <f t="shared" si="10"/>
        <v>Error?</v>
      </c>
    </row>
    <row r="735" spans="1:4" x14ac:dyDescent="0.2">
      <c r="A735" s="5">
        <v>674</v>
      </c>
      <c r="B735" s="138">
        <f>'Expenditures 15-22'!C55</f>
        <v>70000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70000</v>
      </c>
      <c r="C737" s="2" t="s">
        <v>573</v>
      </c>
      <c r="D737" s="2" t="str">
        <f t="shared" si="10"/>
        <v>Error?</v>
      </c>
    </row>
    <row r="738" spans="1:4" x14ac:dyDescent="0.2">
      <c r="A738" s="5">
        <v>677</v>
      </c>
      <c r="B738" s="138">
        <f>'Expenditures 15-22'!C59</f>
        <v>102393</v>
      </c>
      <c r="D738" s="2" t="str">
        <f t="shared" si="10"/>
        <v>Error?</v>
      </c>
    </row>
    <row r="739" spans="1:4" x14ac:dyDescent="0.2">
      <c r="A739" s="5">
        <v>678</v>
      </c>
      <c r="B739" s="138">
        <f>'Expenditures 15-22'!C60</f>
        <v>0</v>
      </c>
      <c r="D739" s="2" t="str">
        <f t="shared" si="10"/>
        <v>Error?</v>
      </c>
    </row>
    <row r="740" spans="1:4" x14ac:dyDescent="0.2">
      <c r="A740" s="5">
        <v>679</v>
      </c>
      <c r="B740" s="138">
        <f>'Expenditures 15-22'!C61</f>
        <v>287409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32983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422785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665991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2659768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246812</v>
      </c>
      <c r="D774" s="2" t="str">
        <f t="shared" si="11"/>
        <v>Error?</v>
      </c>
    </row>
    <row r="775" spans="1:4" x14ac:dyDescent="0.2">
      <c r="A775" s="5">
        <v>714</v>
      </c>
      <c r="B775" s="138">
        <f>'Expenditures 15-22'!D13</f>
        <v>228013</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478343</v>
      </c>
      <c r="C778" s="2" t="s">
        <v>573</v>
      </c>
      <c r="D778" s="2" t="str">
        <f t="shared" si="11"/>
        <v>Error?</v>
      </c>
    </row>
    <row r="779" spans="1:4" x14ac:dyDescent="0.2">
      <c r="A779" s="5">
        <v>718</v>
      </c>
      <c r="B779" s="138">
        <f>'Expenditures 15-22'!D36</f>
        <v>10176</v>
      </c>
      <c r="D779" s="2" t="str">
        <f t="shared" si="11"/>
        <v>Error?</v>
      </c>
    </row>
    <row r="780" spans="1:4" x14ac:dyDescent="0.2">
      <c r="A780" s="5">
        <v>719</v>
      </c>
      <c r="B780" s="138">
        <f>'Expenditures 15-22'!D37</f>
        <v>8962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19138</v>
      </c>
      <c r="C785" s="2" t="s">
        <v>573</v>
      </c>
      <c r="D785" s="2" t="str">
        <f t="shared" si="11"/>
        <v>Error?</v>
      </c>
    </row>
    <row r="786" spans="1:4" x14ac:dyDescent="0.2">
      <c r="A786" s="5">
        <v>725</v>
      </c>
      <c r="B786" s="138">
        <f>'Expenditures 15-22'!D44</f>
        <v>31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27245</v>
      </c>
      <c r="D791" s="2" t="str">
        <f t="shared" si="11"/>
        <v>Error?</v>
      </c>
    </row>
    <row r="792" spans="1:4" x14ac:dyDescent="0.2">
      <c r="A792" s="5">
        <v>731</v>
      </c>
      <c r="B792" s="138">
        <f>'Expenditures 15-22'!D53</f>
        <v>27245</v>
      </c>
      <c r="C792" s="2" t="s">
        <v>573</v>
      </c>
      <c r="D792" s="2" t="str">
        <f t="shared" si="11"/>
        <v>Error?</v>
      </c>
    </row>
    <row r="793" spans="1:4" x14ac:dyDescent="0.2">
      <c r="A793" s="5">
        <v>732</v>
      </c>
      <c r="B793" s="138">
        <f>'Expenditures 15-22'!D55</f>
        <v>20030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20030</v>
      </c>
      <c r="C795" s="2" t="s">
        <v>573</v>
      </c>
      <c r="D795" s="2" t="str">
        <f t="shared" si="11"/>
        <v>Error?</v>
      </c>
    </row>
    <row r="796" spans="1:4" x14ac:dyDescent="0.2">
      <c r="A796" s="5">
        <v>735</v>
      </c>
      <c r="B796" s="138">
        <f>'Expenditures 15-22'!D59</f>
        <v>26914</v>
      </c>
      <c r="D796" s="2" t="str">
        <f t="shared" si="11"/>
        <v>Error?</v>
      </c>
    </row>
    <row r="797" spans="1:4" x14ac:dyDescent="0.2">
      <c r="A797" s="5">
        <v>736</v>
      </c>
      <c r="B797" s="138">
        <f>'Expenditures 15-22'!D60</f>
        <v>0</v>
      </c>
      <c r="D797" s="2" t="str">
        <f t="shared" si="11"/>
        <v>Error?</v>
      </c>
    </row>
    <row r="798" spans="1:4" x14ac:dyDescent="0.2">
      <c r="A798" s="5">
        <v>737</v>
      </c>
      <c r="B798" s="138">
        <f>'Expenditures 15-22'!D61</f>
        <v>88011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4205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119130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185574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663917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296045</v>
      </c>
      <c r="D832" s="2" t="str">
        <f t="shared" si="12"/>
        <v>Error?</v>
      </c>
    </row>
    <row r="833" spans="1:4" x14ac:dyDescent="0.2">
      <c r="A833" s="5">
        <v>772</v>
      </c>
      <c r="B833" s="138">
        <f>'Expenditures 15-22'!E13</f>
        <v>134442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430487</v>
      </c>
      <c r="C836" s="2" t="s">
        <v>573</v>
      </c>
      <c r="D836" s="2" t="str">
        <f t="shared" si="12"/>
        <v>Error?</v>
      </c>
    </row>
    <row r="837" spans="1:4" x14ac:dyDescent="0.2">
      <c r="A837" s="5">
        <v>776</v>
      </c>
      <c r="B837" s="138">
        <f>'Expenditures 15-22'!E36</f>
        <v>12034</v>
      </c>
      <c r="D837" s="2" t="str">
        <f t="shared" si="12"/>
        <v>Error?</v>
      </c>
    </row>
    <row r="838" spans="1:4" x14ac:dyDescent="0.2">
      <c r="A838" s="5">
        <v>777</v>
      </c>
      <c r="B838" s="138">
        <f>'Expenditures 15-22'!E37</f>
        <v>2376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14410</v>
      </c>
      <c r="C843" s="2" t="s">
        <v>573</v>
      </c>
      <c r="D843" s="2" t="str">
        <f t="shared" si="12"/>
        <v>Error?</v>
      </c>
    </row>
    <row r="844" spans="1:4" x14ac:dyDescent="0.2">
      <c r="A844" s="5">
        <v>783</v>
      </c>
      <c r="B844" s="138">
        <f>'Expenditures 15-22'!E44</f>
        <v>4982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6869</v>
      </c>
      <c r="D846" s="2" t="str">
        <f t="shared" si="12"/>
        <v>Error?</v>
      </c>
    </row>
    <row r="847" spans="1:4" x14ac:dyDescent="0.2">
      <c r="A847" s="5">
        <v>786</v>
      </c>
      <c r="B847" s="138">
        <f>'Expenditures 15-22'!E47</f>
        <v>11851</v>
      </c>
      <c r="C847" s="2" t="s">
        <v>573</v>
      </c>
      <c r="D847" s="2" t="str">
        <f t="shared" si="12"/>
        <v>Error?</v>
      </c>
    </row>
    <row r="848" spans="1:4" x14ac:dyDescent="0.2">
      <c r="A848" s="5">
        <v>787</v>
      </c>
      <c r="B848" s="138">
        <f>'Expenditures 15-22'!E49</f>
        <v>28217</v>
      </c>
      <c r="D848" s="2" t="str">
        <f t="shared" si="12"/>
        <v>Error?</v>
      </c>
    </row>
    <row r="849" spans="1:4" x14ac:dyDescent="0.2">
      <c r="A849" s="5">
        <v>788</v>
      </c>
      <c r="B849" s="138">
        <f>'Expenditures 15-22'!E50</f>
        <v>2967</v>
      </c>
      <c r="D849" s="2" t="str">
        <f t="shared" si="12"/>
        <v>Error?</v>
      </c>
    </row>
    <row r="850" spans="1:4" x14ac:dyDescent="0.2">
      <c r="A850" s="5">
        <v>789</v>
      </c>
      <c r="B850" s="138">
        <f>'Expenditures 15-22'!E53</f>
        <v>31184</v>
      </c>
      <c r="C850" s="2" t="s">
        <v>573</v>
      </c>
      <c r="D850" s="2" t="str">
        <f t="shared" si="12"/>
        <v>Error?</v>
      </c>
    </row>
    <row r="851" spans="1:4" x14ac:dyDescent="0.2">
      <c r="A851" s="5">
        <v>790</v>
      </c>
      <c r="B851" s="138">
        <f>'Expenditures 15-22'!E55</f>
        <v>1965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1965</v>
      </c>
      <c r="C853" s="2" t="s">
        <v>573</v>
      </c>
      <c r="D853" s="2" t="str">
        <f t="shared" si="12"/>
        <v>Error?</v>
      </c>
    </row>
    <row r="854" spans="1:4" x14ac:dyDescent="0.2">
      <c r="A854" s="5">
        <v>793</v>
      </c>
      <c r="B854" s="138">
        <f>'Expenditures 15-22'!E59</f>
        <v>15156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492770</v>
      </c>
      <c r="D856" s="2" t="str">
        <f t="shared" si="12"/>
        <v>Error?</v>
      </c>
    </row>
    <row r="857" spans="1:4" x14ac:dyDescent="0.2">
      <c r="A857" s="5">
        <v>796</v>
      </c>
      <c r="B857" s="138">
        <f>'Expenditures 15-22'!E62</f>
        <v>10674</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518600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578010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1008497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265207</v>
      </c>
      <c r="D890" s="2" t="str">
        <f t="shared" si="12"/>
        <v>Error?</v>
      </c>
    </row>
    <row r="891" spans="1:4" x14ac:dyDescent="0.2">
      <c r="A891" s="5">
        <v>830</v>
      </c>
      <c r="B891" s="138">
        <f>'Expenditures 15-22'!F13</f>
        <v>108549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374719</v>
      </c>
      <c r="C894" s="2" t="s">
        <v>573</v>
      </c>
      <c r="D894" s="2" t="str">
        <f t="shared" si="12"/>
        <v>Error?</v>
      </c>
    </row>
    <row r="895" spans="1:4" x14ac:dyDescent="0.2">
      <c r="A895" s="5">
        <v>834</v>
      </c>
      <c r="B895" s="138">
        <f>'Expenditures 15-22'!F36</f>
        <v>2934</v>
      </c>
      <c r="D895" s="2" t="str">
        <f t="shared" ref="D895:D958" si="13">IF(ISBLANK(B895),"OK",IF(A895-B895=0,"OK","Error?"))</f>
        <v>Error?</v>
      </c>
    </row>
    <row r="896" spans="1:4" x14ac:dyDescent="0.2">
      <c r="A896" s="5">
        <v>835</v>
      </c>
      <c r="B896" s="138">
        <f>'Expenditures 15-22'!F37</f>
        <v>908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3842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533</v>
      </c>
      <c r="D906" s="2" t="str">
        <f t="shared" si="13"/>
        <v>Error?</v>
      </c>
    </row>
    <row r="907" spans="1:4" x14ac:dyDescent="0.2">
      <c r="A907" s="5">
        <v>846</v>
      </c>
      <c r="B907" s="138">
        <f>'Expenditures 15-22'!F50</f>
        <v>969</v>
      </c>
      <c r="D907" s="2" t="str">
        <f t="shared" si="13"/>
        <v>Error?</v>
      </c>
    </row>
    <row r="908" spans="1:4" x14ac:dyDescent="0.2">
      <c r="A908" s="5">
        <v>847</v>
      </c>
      <c r="B908" s="138">
        <f>'Expenditures 15-22'!F53</f>
        <v>1502</v>
      </c>
      <c r="C908" s="2" t="s">
        <v>573</v>
      </c>
      <c r="D908" s="2" t="str">
        <f t="shared" si="13"/>
        <v>Error?</v>
      </c>
    </row>
    <row r="909" spans="1:4" x14ac:dyDescent="0.2">
      <c r="A909" s="5">
        <v>848</v>
      </c>
      <c r="B909" s="138">
        <f>'Expenditures 15-22'!F55</f>
        <v>1987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1987</v>
      </c>
      <c r="C911" s="2" t="s">
        <v>573</v>
      </c>
      <c r="D911" s="2" t="str">
        <f t="shared" si="13"/>
        <v>Error?</v>
      </c>
    </row>
    <row r="912" spans="1:4" x14ac:dyDescent="0.2">
      <c r="A912" s="5">
        <v>851</v>
      </c>
      <c r="B912" s="138">
        <f>'Expenditures 15-22'!F59</f>
        <v>3568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67348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35225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106141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113472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488191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11525</v>
      </c>
      <c r="D948" s="2" t="str">
        <f t="shared" si="13"/>
        <v>Error?</v>
      </c>
    </row>
    <row r="949" spans="1:4" x14ac:dyDescent="0.2">
      <c r="A949" s="5">
        <v>888</v>
      </c>
      <c r="B949" s="138">
        <f>'Expenditures 15-22'!G13</f>
        <v>20389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31914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105614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105614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105614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137528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44542</v>
      </c>
      <c r="D1006" s="2" t="str">
        <f t="shared" si="14"/>
        <v>Error?</v>
      </c>
    </row>
    <row r="1007" spans="1:4" x14ac:dyDescent="0.2">
      <c r="A1007" s="5">
        <v>946</v>
      </c>
      <c r="B1007" s="138">
        <f>'Expenditures 15-22'!H13</f>
        <v>1335</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45877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165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1379</v>
      </c>
      <c r="D1022" s="2" t="str">
        <f t="shared" si="14"/>
        <v>Error?</v>
      </c>
    </row>
    <row r="1023" spans="1:4" x14ac:dyDescent="0.2">
      <c r="A1023" s="5">
        <v>962</v>
      </c>
      <c r="B1023" s="138">
        <f>'Expenditures 15-22'!H50</f>
        <v>1185</v>
      </c>
      <c r="D1023" s="2" t="str">
        <f t="shared" ref="D1023:D1086" si="15">IF(ISBLANK(B1023),"OK",IF(A1023-B1023=0,"OK","Error?"))</f>
        <v>Error?</v>
      </c>
    </row>
    <row r="1024" spans="1:4" x14ac:dyDescent="0.2">
      <c r="A1024" s="5">
        <v>963</v>
      </c>
      <c r="B1024" s="138">
        <f>'Expenditures 15-22'!H53</f>
        <v>2564</v>
      </c>
      <c r="C1024" s="2" t="s">
        <v>573</v>
      </c>
      <c r="D1024" s="2" t="str">
        <f t="shared" si="15"/>
        <v>Error?</v>
      </c>
    </row>
    <row r="1025" spans="1:4" x14ac:dyDescent="0.2">
      <c r="A1025" s="5">
        <v>964</v>
      </c>
      <c r="B1025" s="138">
        <f>'Expenditures 15-22'!H55</f>
        <v>582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582</v>
      </c>
      <c r="C1027" s="2" t="s">
        <v>573</v>
      </c>
      <c r="D1027" s="2" t="str">
        <f t="shared" si="15"/>
        <v>Error?</v>
      </c>
    </row>
    <row r="1028" spans="1:4" x14ac:dyDescent="0.2">
      <c r="A1028" s="5">
        <v>967</v>
      </c>
      <c r="B1028" s="138">
        <f>'Expenditures 15-22'!H59</f>
        <v>12253</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12253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15564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61816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1781205</v>
      </c>
      <c r="C1104" s="2" t="s">
        <v>573</v>
      </c>
      <c r="D1104" s="2" t="str">
        <f t="shared" si="16"/>
        <v>Error?</v>
      </c>
    </row>
    <row r="1105" spans="1:4" x14ac:dyDescent="0.2">
      <c r="A1105" s="5">
        <v>1044</v>
      </c>
      <c r="B1105" s="138">
        <f>'Expenditures 15-22'!K13</f>
        <v>1571309</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3381406</v>
      </c>
      <c r="C1108" s="2" t="s">
        <v>573</v>
      </c>
      <c r="D1108" s="2" t="str">
        <f t="shared" si="16"/>
        <v>Error?</v>
      </c>
    </row>
    <row r="1109" spans="1:4" x14ac:dyDescent="0.2">
      <c r="A1109" s="5">
        <v>1048</v>
      </c>
      <c r="B1109" s="138">
        <f>'Expenditures 15-22'!K36</f>
        <v>49051</v>
      </c>
      <c r="C1109" s="2" t="s">
        <v>573</v>
      </c>
      <c r="D1109" s="2" t="str">
        <f t="shared" si="16"/>
        <v>Error?</v>
      </c>
    </row>
    <row r="1110" spans="1:4" x14ac:dyDescent="0.2">
      <c r="A1110" s="5">
        <v>1049</v>
      </c>
      <c r="B1110" s="138">
        <f>'Expenditures 15-22'!K37</f>
        <v>41379</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90430</v>
      </c>
      <c r="C1115" s="2" t="s">
        <v>573</v>
      </c>
      <c r="D1115" s="2" t="str">
        <f t="shared" si="16"/>
        <v>Error?</v>
      </c>
    </row>
    <row r="1116" spans="1:4" x14ac:dyDescent="0.2">
      <c r="A1116" s="5">
        <v>1055</v>
      </c>
      <c r="B1116" s="138">
        <f>'Expenditures 15-22'!K44</f>
        <v>6076</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6869</v>
      </c>
      <c r="C1118" s="2" t="s">
        <v>573</v>
      </c>
      <c r="D1118" s="2" t="str">
        <f t="shared" si="16"/>
        <v>Error?</v>
      </c>
    </row>
    <row r="1119" spans="1:4" x14ac:dyDescent="0.2">
      <c r="A1119" s="5">
        <v>1058</v>
      </c>
      <c r="B1119" s="138">
        <f>'Expenditures 15-22'!K47</f>
        <v>12945</v>
      </c>
      <c r="C1119" s="2" t="s">
        <v>573</v>
      </c>
      <c r="D1119" s="2" t="str">
        <f t="shared" si="16"/>
        <v>Error?</v>
      </c>
    </row>
    <row r="1120" spans="1:4" x14ac:dyDescent="0.2">
      <c r="A1120" s="5">
        <v>1059</v>
      </c>
      <c r="B1120" s="138">
        <f>'Expenditures 15-22'!K49</f>
        <v>30129</v>
      </c>
      <c r="C1120" s="2" t="s">
        <v>573</v>
      </c>
      <c r="D1120" s="2" t="str">
        <f t="shared" si="16"/>
        <v>Error?</v>
      </c>
    </row>
    <row r="1121" spans="1:4" x14ac:dyDescent="0.2">
      <c r="A1121" s="5">
        <v>1060</v>
      </c>
      <c r="B1121" s="138">
        <f>'Expenditures 15-22'!K50</f>
        <v>152634</v>
      </c>
      <c r="C1121" s="2" t="s">
        <v>573</v>
      </c>
      <c r="D1121" s="2" t="str">
        <f t="shared" si="16"/>
        <v>Error?</v>
      </c>
    </row>
    <row r="1122" spans="1:4" x14ac:dyDescent="0.2">
      <c r="A1122" s="5">
        <v>1061</v>
      </c>
      <c r="B1122" s="138">
        <f>'Expenditures 15-22'!K53</f>
        <v>182763</v>
      </c>
      <c r="C1122" s="2" t="s">
        <v>573</v>
      </c>
      <c r="D1122" s="2" t="str">
        <f t="shared" si="16"/>
        <v>Error?</v>
      </c>
    </row>
    <row r="1123" spans="1:4" x14ac:dyDescent="0.2">
      <c r="A1123" s="5">
        <v>1062</v>
      </c>
      <c r="B1123" s="138">
        <f>'Expenditures 15-22'!K55</f>
        <v>94564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94564</v>
      </c>
      <c r="C1125" s="2" t="s">
        <v>573</v>
      </c>
      <c r="D1125" s="2" t="str">
        <f t="shared" si="16"/>
        <v>Error?</v>
      </c>
    </row>
    <row r="1126" spans="1:4" x14ac:dyDescent="0.2">
      <c r="A1126" s="5">
        <v>1065</v>
      </c>
      <c r="B1126" s="138">
        <f>'Expenditures 15-22'!K59</f>
        <v>161284</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1041743</v>
      </c>
      <c r="C1128" s="2" t="s">
        <v>573</v>
      </c>
      <c r="D1128" s="2" t="str">
        <f t="shared" si="16"/>
        <v>Error?</v>
      </c>
    </row>
    <row r="1129" spans="1:4" x14ac:dyDescent="0.2">
      <c r="A1129" s="5">
        <v>1068</v>
      </c>
      <c r="B1129" s="138">
        <f>'Expenditures 15-22'!K62</f>
        <v>10674</v>
      </c>
      <c r="C1129" s="2" t="s">
        <v>573</v>
      </c>
      <c r="D1129" s="2" t="str">
        <f t="shared" si="16"/>
        <v>Error?</v>
      </c>
    </row>
    <row r="1130" spans="1:4" x14ac:dyDescent="0.2">
      <c r="A1130" s="5">
        <v>1069</v>
      </c>
      <c r="B1130" s="138">
        <f>'Expenditures 15-22'!K63</f>
        <v>72413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1286114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1666816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5048597</v>
      </c>
      <c r="C1152" s="2" t="s">
        <v>573</v>
      </c>
      <c r="D1152" s="2" t="str">
        <f t="shared" si="17"/>
        <v>Error?</v>
      </c>
    </row>
    <row r="1153" spans="1:4" x14ac:dyDescent="0.2">
      <c r="A1153" s="5">
        <v>1092</v>
      </c>
      <c r="B1153" s="138">
        <f>'Expenditures 15-22'!K115</f>
        <v>304616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18499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18499</v>
      </c>
      <c r="C1547" s="2" t="s">
        <v>573</v>
      </c>
      <c r="D1547" s="2" t="str">
        <f t="shared" si="23"/>
        <v>Error?</v>
      </c>
    </row>
    <row r="1548" spans="1:4" x14ac:dyDescent="0.2">
      <c r="A1548" s="5">
        <v>1487</v>
      </c>
      <c r="B1548" s="138">
        <f>'Expenditures 15-22'!G312</f>
        <v>18499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18499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18499</v>
      </c>
      <c r="C1559" s="2" t="s">
        <v>573</v>
      </c>
      <c r="D1559" s="2" t="str">
        <f t="shared" si="23"/>
        <v>Error?</v>
      </c>
    </row>
    <row r="1560" spans="1:4" x14ac:dyDescent="0.2">
      <c r="A1560" s="5">
        <v>1499</v>
      </c>
      <c r="B1560" s="138">
        <f>'Expenditures 15-22'!K312</f>
        <v>18499</v>
      </c>
      <c r="C1560" s="2" t="s">
        <v>573</v>
      </c>
      <c r="D1560" s="2" t="str">
        <f t="shared" si="23"/>
        <v>Error?</v>
      </c>
    </row>
    <row r="1561" spans="1:4" x14ac:dyDescent="0.2">
      <c r="A1561" s="5">
        <v>1500</v>
      </c>
      <c r="B1561" s="138">
        <f>'Expenditures 15-22'!K313</f>
        <v>-9262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2949355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3153971</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34705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25443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1760902</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300000</v>
      </c>
      <c r="D2008" s="2" t="str">
        <f t="shared" si="30"/>
        <v>Error?</v>
      </c>
    </row>
    <row r="2009" spans="1:4" x14ac:dyDescent="0.2">
      <c r="A2009" s="5">
        <v>1948</v>
      </c>
      <c r="B2009" s="138">
        <f>'Cap Outlay Deprec 26'!C8</f>
        <v>11010306</v>
      </c>
      <c r="D2009" s="2" t="str">
        <f t="shared" si="30"/>
        <v>Error?</v>
      </c>
    </row>
    <row r="2010" spans="1:4" x14ac:dyDescent="0.2">
      <c r="A2010" s="5">
        <v>1949</v>
      </c>
      <c r="B2010" s="138">
        <f>'Cap Outlay Deprec 26'!C10</f>
        <v>588573</v>
      </c>
      <c r="D2010" s="2" t="str">
        <f t="shared" si="30"/>
        <v>Error?</v>
      </c>
    </row>
    <row r="2011" spans="1:4" x14ac:dyDescent="0.2">
      <c r="A2011" s="5">
        <v>1950</v>
      </c>
      <c r="B2011" s="138">
        <f>'Cap Outlay Deprec 26'!C12</f>
        <v>1394569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13295973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34623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102905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156027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2944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2944</v>
      </c>
      <c r="C2025" s="2" t="s">
        <v>573</v>
      </c>
      <c r="D2025" s="2" t="str">
        <f t="shared" si="30"/>
        <v>Error?</v>
      </c>
    </row>
    <row r="2026" spans="1:4" x14ac:dyDescent="0.2">
      <c r="A2026" s="5">
        <v>1965</v>
      </c>
      <c r="B2026" s="138">
        <f>'Cap Outlay Deprec 26'!F5</f>
        <v>300000</v>
      </c>
      <c r="C2026" s="2" t="s">
        <v>573</v>
      </c>
      <c r="D2026" s="2" t="str">
        <f t="shared" si="30"/>
        <v>Error?</v>
      </c>
    </row>
    <row r="2027" spans="1:4" x14ac:dyDescent="0.2">
      <c r="A2027" s="5">
        <v>1966</v>
      </c>
      <c r="B2027" s="138">
        <f>'Cap Outlay Deprec 26'!F8</f>
        <v>11044929</v>
      </c>
      <c r="C2027" s="2" t="s">
        <v>573</v>
      </c>
      <c r="D2027" s="2" t="str">
        <f t="shared" si="30"/>
        <v>Error?</v>
      </c>
    </row>
    <row r="2028" spans="1:4" x14ac:dyDescent="0.2">
      <c r="A2028" s="5">
        <v>1967</v>
      </c>
      <c r="B2028" s="138">
        <f>'Cap Outlay Deprec 26'!F10</f>
        <v>588573</v>
      </c>
      <c r="C2028" s="2" t="s">
        <v>573</v>
      </c>
      <c r="D2028" s="2" t="str">
        <f t="shared" si="30"/>
        <v>Error?</v>
      </c>
    </row>
    <row r="2029" spans="1:4" x14ac:dyDescent="0.2">
      <c r="A2029" s="5">
        <v>1968</v>
      </c>
      <c r="B2029" s="138">
        <f>'Cap Outlay Deprec 26'!F12</f>
        <v>1494530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13449056</v>
      </c>
      <c r="C2031" s="2" t="s">
        <v>573</v>
      </c>
      <c r="D2031" s="2" t="str">
        <f t="shared" si="30"/>
        <v>Error?</v>
      </c>
    </row>
    <row r="2032" spans="1:4" x14ac:dyDescent="0.2">
      <c r="A2032" s="10">
        <v>1971</v>
      </c>
      <c r="D2032" s="2" t="str">
        <f t="shared" si="30"/>
        <v>OK</v>
      </c>
    </row>
    <row r="2033" spans="1:4" x14ac:dyDescent="0.2">
      <c r="A2033" s="5">
        <v>1972</v>
      </c>
      <c r="B2033" s="138">
        <f>'Cap Outlay Deprec 26'!H8</f>
        <v>10193578</v>
      </c>
      <c r="D2033" s="2" t="str">
        <f t="shared" si="30"/>
        <v>Error?</v>
      </c>
    </row>
    <row r="2034" spans="1:4" x14ac:dyDescent="0.2">
      <c r="A2034" s="5">
        <v>1973</v>
      </c>
      <c r="B2034" s="138">
        <f>'Cap Outlay Deprec 26'!H10</f>
        <v>135645</v>
      </c>
      <c r="D2034" s="2" t="str">
        <f t="shared" si="30"/>
        <v>Error?</v>
      </c>
    </row>
    <row r="2035" spans="1:4" x14ac:dyDescent="0.2">
      <c r="A2035" s="5">
        <v>1974</v>
      </c>
      <c r="B2035" s="138">
        <f>'Cap Outlay Deprec 26'!H12</f>
        <v>771224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11100447</v>
      </c>
      <c r="C2037" s="2" t="s">
        <v>573</v>
      </c>
      <c r="D2037" s="2" t="str">
        <f t="shared" si="30"/>
        <v>Error?</v>
      </c>
    </row>
    <row r="2038" spans="1:4" x14ac:dyDescent="0.2">
      <c r="A2038" s="10">
        <v>1977</v>
      </c>
      <c r="D2038" s="2" t="str">
        <f t="shared" si="30"/>
        <v>OK</v>
      </c>
    </row>
    <row r="2039" spans="1:4" x14ac:dyDescent="0.2">
      <c r="A2039" s="5">
        <v>1978</v>
      </c>
      <c r="B2039" s="138">
        <f>'Cap Outlay Deprec 26'!I8</f>
        <v>52352</v>
      </c>
      <c r="D2039" s="2" t="str">
        <f t="shared" si="30"/>
        <v>Error?</v>
      </c>
    </row>
    <row r="2040" spans="1:4" x14ac:dyDescent="0.2">
      <c r="A2040" s="5">
        <v>1979</v>
      </c>
      <c r="B2040" s="138">
        <f>'Cap Outlay Deprec 26'!I10</f>
        <v>32872</v>
      </c>
      <c r="D2040" s="2" t="str">
        <f t="shared" si="30"/>
        <v>Error?</v>
      </c>
    </row>
    <row r="2041" spans="1:4" x14ac:dyDescent="0.2">
      <c r="A2041" s="5">
        <v>1980</v>
      </c>
      <c r="B2041" s="138">
        <f>'Cap Outlay Deprec 26'!I12</f>
        <v>120118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205342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1585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1585</v>
      </c>
      <c r="C2049" s="2" t="s">
        <v>573</v>
      </c>
      <c r="D2049" s="2" t="str">
        <f t="shared" si="31"/>
        <v>Error?</v>
      </c>
    </row>
    <row r="2050" spans="1:4" x14ac:dyDescent="0.2">
      <c r="A2050" s="10">
        <v>1989</v>
      </c>
      <c r="D2050" s="2" t="str">
        <f t="shared" si="31"/>
        <v>OK</v>
      </c>
    </row>
    <row r="2051" spans="1:4" x14ac:dyDescent="0.2">
      <c r="A2051" s="5">
        <v>1990</v>
      </c>
      <c r="B2051" s="138">
        <f>'Cap Outlay Deprec 26'!K8</f>
        <v>10245930</v>
      </c>
      <c r="C2051" s="2" t="s">
        <v>573</v>
      </c>
      <c r="D2051" s="2" t="str">
        <f t="shared" si="31"/>
        <v>Error?</v>
      </c>
    </row>
    <row r="2052" spans="1:4" x14ac:dyDescent="0.2">
      <c r="A2052" s="5">
        <v>1991</v>
      </c>
      <c r="B2052" s="138">
        <f>'Cap Outlay Deprec 26'!K10</f>
        <v>168517</v>
      </c>
      <c r="C2052" s="2" t="s">
        <v>573</v>
      </c>
      <c r="D2052" s="2" t="str">
        <f t="shared" si="31"/>
        <v>Error?</v>
      </c>
    </row>
    <row r="2053" spans="1:4" x14ac:dyDescent="0.2">
      <c r="A2053" s="5">
        <v>1992</v>
      </c>
      <c r="B2053" s="138">
        <f>'Cap Outlay Deprec 26'!K12</f>
        <v>889757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11304204</v>
      </c>
      <c r="C2055" s="2" t="s">
        <v>573</v>
      </c>
      <c r="D2055" s="2" t="str">
        <f t="shared" si="31"/>
        <v>Error?</v>
      </c>
    </row>
    <row r="2056" spans="1:4" x14ac:dyDescent="0.2">
      <c r="A2056" s="5">
        <v>1995</v>
      </c>
      <c r="B2056" s="138">
        <f>'Cap Outlay Deprec 26'!L5</f>
        <v>300000</v>
      </c>
      <c r="C2056" s="2" t="s">
        <v>573</v>
      </c>
      <c r="D2056" s="2" t="str">
        <f t="shared" si="31"/>
        <v>Error?</v>
      </c>
    </row>
    <row r="2057" spans="1:4" x14ac:dyDescent="0.2">
      <c r="A2057" s="5">
        <v>1996</v>
      </c>
      <c r="B2057" s="138">
        <f>'Cap Outlay Deprec 26'!L8</f>
        <v>798999</v>
      </c>
      <c r="C2057" s="2" t="s">
        <v>573</v>
      </c>
      <c r="D2057" s="2" t="str">
        <f t="shared" si="31"/>
        <v>Error?</v>
      </c>
    </row>
    <row r="2058" spans="1:4" x14ac:dyDescent="0.2">
      <c r="A2058" s="5">
        <v>1997</v>
      </c>
      <c r="B2058" s="138">
        <f>'Cap Outlay Deprec 26'!L10</f>
        <v>420056</v>
      </c>
      <c r="C2058" s="2" t="s">
        <v>573</v>
      </c>
      <c r="D2058" s="2" t="str">
        <f t="shared" si="31"/>
        <v>Error?</v>
      </c>
    </row>
    <row r="2059" spans="1:4" x14ac:dyDescent="0.2">
      <c r="A2059" s="5">
        <v>1998</v>
      </c>
      <c r="B2059" s="138">
        <f>'Cap Outlay Deprec 26'!L12</f>
        <v>604773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2144852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4364313</v>
      </c>
      <c r="C2551" s="2" t="s">
        <v>573</v>
      </c>
      <c r="D2551" s="2" t="str">
        <f t="shared" si="38"/>
        <v>Error?</v>
      </c>
    </row>
    <row r="2552" spans="1:4" x14ac:dyDescent="0.2">
      <c r="A2552" s="10">
        <v>2491</v>
      </c>
      <c r="D2552" s="2" t="str">
        <f t="shared" si="38"/>
        <v>OK</v>
      </c>
    </row>
    <row r="2553" spans="1:4" x14ac:dyDescent="0.2">
      <c r="A2553" s="5">
        <v>2492</v>
      </c>
      <c r="B2553" s="138">
        <f>'Acct Summary 7-8'!C6</f>
        <v>366279</v>
      </c>
      <c r="C2553" s="2" t="s">
        <v>573</v>
      </c>
      <c r="D2553" s="2" t="str">
        <f t="shared" si="38"/>
        <v>Error?</v>
      </c>
    </row>
    <row r="2554" spans="1:4" x14ac:dyDescent="0.2">
      <c r="A2554" s="5">
        <v>2493</v>
      </c>
      <c r="B2554" s="138">
        <f>'Acct Summary 7-8'!C7</f>
        <v>2234</v>
      </c>
      <c r="C2554" s="2" t="s">
        <v>573</v>
      </c>
      <c r="D2554" s="2" t="str">
        <f t="shared" si="38"/>
        <v>Error?</v>
      </c>
    </row>
    <row r="2555" spans="1:4" x14ac:dyDescent="0.2">
      <c r="A2555" s="5">
        <v>2494</v>
      </c>
      <c r="B2555" s="138">
        <f>'Acct Summary 7-8'!C8</f>
        <v>5353213</v>
      </c>
      <c r="C2555" s="2" t="s">
        <v>573</v>
      </c>
      <c r="D2555" s="2" t="str">
        <f t="shared" si="38"/>
        <v>Error?</v>
      </c>
    </row>
    <row r="2556" spans="1:4" x14ac:dyDescent="0.2">
      <c r="A2556" s="5">
        <v>2495</v>
      </c>
      <c r="B2556" s="138">
        <f>'Acct Summary 7-8'!C12</f>
        <v>3381406</v>
      </c>
      <c r="C2556" s="2" t="s">
        <v>573</v>
      </c>
      <c r="D2556" s="2" t="str">
        <f t="shared" si="38"/>
        <v>Error?</v>
      </c>
    </row>
    <row r="2557" spans="1:4" x14ac:dyDescent="0.2">
      <c r="A2557" s="5">
        <v>2496</v>
      </c>
      <c r="B2557" s="138">
        <f>'Acct Summary 7-8'!C13</f>
        <v>1666816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375</v>
      </c>
      <c r="C2560" s="2" t="s">
        <v>573</v>
      </c>
      <c r="D2560" s="2" t="str">
        <f t="shared" si="39"/>
        <v>Error?</v>
      </c>
    </row>
    <row r="2561" spans="1:4" x14ac:dyDescent="0.2">
      <c r="A2561" s="5">
        <v>2500</v>
      </c>
      <c r="B2561" s="138">
        <f>'Acct Summary 7-8'!C17</f>
        <v>5048597</v>
      </c>
      <c r="C2561" s="2" t="s">
        <v>573</v>
      </c>
      <c r="D2561" s="2" t="str">
        <f t="shared" si="39"/>
        <v>Error?</v>
      </c>
    </row>
    <row r="2562" spans="1:4" x14ac:dyDescent="0.2">
      <c r="A2562" s="5">
        <v>2501</v>
      </c>
      <c r="B2562" s="138">
        <f>'Acct Summary 7-8'!C20</f>
        <v>304616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9237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9237</v>
      </c>
      <c r="C2658" s="2" t="s">
        <v>573</v>
      </c>
      <c r="D2658" s="2" t="str">
        <f t="shared" si="40"/>
        <v>Error?</v>
      </c>
    </row>
    <row r="2659" spans="1:4" x14ac:dyDescent="0.2">
      <c r="A2659" s="5">
        <v>2598</v>
      </c>
      <c r="B2659" s="138">
        <f>'Acct Summary 7-8'!H13</f>
        <v>18499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18499</v>
      </c>
      <c r="C2661" s="2" t="s">
        <v>573</v>
      </c>
      <c r="D2661" s="2" t="str">
        <f t="shared" si="40"/>
        <v>Error?</v>
      </c>
    </row>
    <row r="2662" spans="1:4" x14ac:dyDescent="0.2">
      <c r="A2662" s="5">
        <v>2601</v>
      </c>
      <c r="B2662" s="138">
        <f>'Acct Summary 7-8'!H20</f>
        <v>-9262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21024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23466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23466</v>
      </c>
      <c r="D2914" s="2" t="str">
        <f t="shared" si="44"/>
        <v>Error?</v>
      </c>
    </row>
    <row r="2915" spans="1:4" x14ac:dyDescent="0.2">
      <c r="A2915" s="10">
        <v>2854</v>
      </c>
      <c r="D2915" s="2" t="str">
        <f t="shared" si="44"/>
        <v>OK</v>
      </c>
    </row>
    <row r="2916" spans="1:4" x14ac:dyDescent="0.2">
      <c r="A2916" s="5">
        <v>2855</v>
      </c>
      <c r="B2916" s="138">
        <f>'Assets-Liab 5-6'!L34</f>
        <v>23466</v>
      </c>
      <c r="C2916" s="2" t="s">
        <v>573</v>
      </c>
      <c r="D2916" s="2" t="str">
        <f t="shared" si="44"/>
        <v>Error?</v>
      </c>
    </row>
    <row r="2917" spans="1:4" x14ac:dyDescent="0.2">
      <c r="A2917" s="5">
        <v>2856</v>
      </c>
      <c r="B2917" s="138">
        <f>'Assets-Liab 5-6'!L41</f>
        <v>23466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24411</v>
      </c>
      <c r="D3055" s="2" t="str">
        <f t="shared" si="46"/>
        <v>Error?</v>
      </c>
    </row>
    <row r="3056" spans="1:4" x14ac:dyDescent="0.2">
      <c r="A3056" s="5">
        <v>2995</v>
      </c>
      <c r="B3056" s="138">
        <f>'Expenditures 15-22'!D10</f>
        <v>3518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963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28892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100000</v>
      </c>
      <c r="D3230" s="2" t="str">
        <f t="shared" si="49"/>
        <v>Error?</v>
      </c>
    </row>
    <row r="3231" spans="1:4" x14ac:dyDescent="0.2">
      <c r="A3231" s="5">
        <v>3170</v>
      </c>
      <c r="B3231" s="138">
        <f>'Acct Summary 7-8'!C76</f>
        <v>100000</v>
      </c>
      <c r="C3231" s="2" t="s">
        <v>573</v>
      </c>
      <c r="D3231" s="2" t="str">
        <f t="shared" si="49"/>
        <v>Error?</v>
      </c>
    </row>
    <row r="3232" spans="1:4" x14ac:dyDescent="0.2">
      <c r="A3232" s="5">
        <v>3171</v>
      </c>
      <c r="B3232" s="138">
        <f>'Acct Summary 7-8'!C77</f>
        <v>-100000</v>
      </c>
      <c r="C3232" s="2" t="s">
        <v>573</v>
      </c>
      <c r="D3232" s="2" t="str">
        <f t="shared" si="49"/>
        <v>Error?</v>
      </c>
    </row>
    <row r="3233" spans="1:4" x14ac:dyDescent="0.2">
      <c r="A3233" s="5">
        <v>3172</v>
      </c>
      <c r="B3233" s="138">
        <f>'Acct Summary 7-8'!C78</f>
        <v>204616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-9262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620387</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2952711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43942</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23466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2525</v>
      </c>
      <c r="D3451" s="2" t="str">
        <f t="shared" si="52"/>
        <v>Error?</v>
      </c>
    </row>
    <row r="3452" spans="1:4" x14ac:dyDescent="0.2">
      <c r="A3452" s="5">
        <v>3391</v>
      </c>
      <c r="B3452" s="138">
        <f>'Cap Outlay Deprec 26'!D15</f>
        <v>18499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21024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21024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995153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6348366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9237</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995153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6043750</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18499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1734482</v>
      </c>
      <c r="C4171" s="2" t="s">
        <v>573</v>
      </c>
      <c r="D4171" s="2" t="str">
        <f t="shared" si="64"/>
        <v>Error?</v>
      </c>
    </row>
    <row r="4172" spans="1:4" x14ac:dyDescent="0.2">
      <c r="A4172" s="5">
        <v>4111</v>
      </c>
      <c r="B4172" s="138">
        <f>'Short-Term Long-Term Debt 24'!J49</f>
        <v>1734482</v>
      </c>
      <c r="C4172" s="2" t="s">
        <v>573</v>
      </c>
      <c r="D4172" s="2" t="str">
        <f t="shared" si="64"/>
        <v>Error?</v>
      </c>
    </row>
    <row r="4173" spans="1:4" x14ac:dyDescent="0.2">
      <c r="A4173" s="5">
        <v>4112</v>
      </c>
      <c r="B4173" s="138">
        <f>'Short-Term Long-Term Debt 24'!H49</f>
        <v>100000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73580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3153971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347000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2234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1734482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10007</v>
      </c>
      <c r="D5078" s="2" t="str">
        <f t="shared" si="78"/>
        <v>Error?</v>
      </c>
    </row>
    <row r="5079" spans="1:4" x14ac:dyDescent="0.2">
      <c r="A5079" s="5">
        <v>5018</v>
      </c>
      <c r="B5079" s="138">
        <f>'Revenues 9-14'!C29</f>
        <v>2377797</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1330429</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3718233</v>
      </c>
      <c r="C5087" s="2" t="s">
        <v>573</v>
      </c>
      <c r="D5087" s="2" t="str">
        <f t="shared" si="78"/>
        <v>Error?</v>
      </c>
    </row>
    <row r="5088" spans="1:4" x14ac:dyDescent="0.2">
      <c r="A5088" s="5">
        <v>5027</v>
      </c>
      <c r="B5088" s="138">
        <f>'Revenues 9-14'!C65</f>
        <v>19855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19855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74246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74246</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309243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309243</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95753</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95753</v>
      </c>
      <c r="C5112" s="2" t="s">
        <v>573</v>
      </c>
      <c r="D5112" s="2" t="str">
        <f t="shared" si="78"/>
        <v>Error?</v>
      </c>
    </row>
    <row r="5113" spans="1:4" x14ac:dyDescent="0.2">
      <c r="A5113" s="5">
        <v>5052</v>
      </c>
      <c r="B5113" s="138">
        <f>'Revenues 9-14'!C95</f>
        <v>119570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15057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12356</v>
      </c>
      <c r="D5119" s="2" t="str">
        <f t="shared" ref="D5119:D5182" si="79">IF(ISBLANK(B5119),"OK",IF(A5119-B5119=0,"OK","Error?"))</f>
        <v>Error?</v>
      </c>
    </row>
    <row r="5120" spans="1:4" x14ac:dyDescent="0.2">
      <c r="A5120" s="5">
        <v>5059</v>
      </c>
      <c r="B5120" s="138">
        <f>'Revenues 9-14'!C108</f>
        <v>146983</v>
      </c>
      <c r="C5120" s="2" t="s">
        <v>573</v>
      </c>
      <c r="D5120" s="2" t="str">
        <f t="shared" si="79"/>
        <v>Error?</v>
      </c>
    </row>
    <row r="5121" spans="1:4" x14ac:dyDescent="0.2">
      <c r="A5121" s="5">
        <v>5060</v>
      </c>
      <c r="B5121" s="138">
        <f>'Revenues 9-14'!C109</f>
        <v>4364313</v>
      </c>
      <c r="C5121" s="2" t="s">
        <v>573</v>
      </c>
      <c r="D5121" s="2" t="str">
        <f t="shared" si="79"/>
        <v>Error?</v>
      </c>
    </row>
    <row r="5122" spans="1:4" x14ac:dyDescent="0.2">
      <c r="A5122" s="5">
        <v>5061</v>
      </c>
      <c r="B5122" s="138">
        <f>'Revenues 9-14'!C111</f>
        <v>460375</v>
      </c>
      <c r="D5122" s="2" t="str">
        <f t="shared" si="79"/>
        <v>Error?</v>
      </c>
    </row>
    <row r="5123" spans="1:4" x14ac:dyDescent="0.2">
      <c r="A5123" s="5">
        <v>5062</v>
      </c>
      <c r="B5123" s="138">
        <f>'Revenues 9-14'!C112</f>
        <v>160012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620387</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13388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5891</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5891</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366279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366279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2234</v>
      </c>
      <c r="C5326" s="2" t="s">
        <v>573</v>
      </c>
      <c r="D5326" s="2" t="str">
        <f t="shared" si="82"/>
        <v>Error?</v>
      </c>
    </row>
    <row r="5327" spans="1:5" x14ac:dyDescent="0.2">
      <c r="A5327" s="5">
        <v>5266</v>
      </c>
      <c r="B5327" s="138">
        <f>'Revenues 9-14'!C268</f>
        <v>5353213</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9237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9237</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9237</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460006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13407</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9984</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974</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134929</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18499</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139196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204616</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-9262</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6.4875675775078467E-2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f>'Acct Summary 7-8'!H83</f>
        <v>-0.36402939904885429</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13388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2000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24289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26289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1000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1000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1000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591</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1591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2591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375</v>
      </c>
      <c r="D7016" s="2" t="str">
        <f t="shared" si="108"/>
        <v>Error?</v>
      </c>
    </row>
    <row r="7017" spans="1:4" x14ac:dyDescent="0.2">
      <c r="A7017">
        <v>6956</v>
      </c>
      <c r="B7017" s="138">
        <f>'Expenditures 15-22'!K111</f>
        <v>375</v>
      </c>
      <c r="D7017" s="2" t="str">
        <f t="shared" si="108"/>
        <v>Error?</v>
      </c>
    </row>
    <row r="7018" spans="1:4" x14ac:dyDescent="0.2">
      <c r="A7018">
        <v>6957</v>
      </c>
      <c r="B7018" s="138">
        <f>'Expenditures 15-22'!H112</f>
        <v>375</v>
      </c>
      <c r="D7018" s="2" t="str">
        <f t="shared" si="108"/>
        <v>Error?</v>
      </c>
    </row>
    <row r="7019" spans="1:4" x14ac:dyDescent="0.2">
      <c r="A7019">
        <v>6958</v>
      </c>
      <c r="B7019" s="138">
        <f>'Expenditures 15-22'!K112</f>
        <v>375</v>
      </c>
      <c r="D7019" s="2" t="str">
        <f t="shared" si="108"/>
        <v>Error?</v>
      </c>
    </row>
    <row r="7020" spans="1:4" x14ac:dyDescent="0.2">
      <c r="A7020">
        <v>6959</v>
      </c>
      <c r="B7020" s="138">
        <f>'Expenditures 15-22'!I114</f>
        <v>28880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28880</v>
      </c>
      <c r="D7624" s="2" t="str">
        <f t="shared" si="124"/>
        <v>Error?</v>
      </c>
      <c r="E7624" s="2" t="s">
        <v>19</v>
      </c>
    </row>
    <row r="7625" spans="1:5" x14ac:dyDescent="0.2">
      <c r="A7625">
        <f t="shared" si="123"/>
        <v>7564</v>
      </c>
      <c r="B7625" s="138">
        <f>'Cap Outlay Deprec 26'!I17</f>
        <v>2888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208230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9237</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1468</v>
      </c>
      <c r="D7759" s="2" t="str">
        <f t="shared" si="127"/>
        <v>Error?</v>
      </c>
      <c r="E7759" s="4" t="s">
        <v>1333</v>
      </c>
    </row>
    <row r="7760" spans="1:6" x14ac:dyDescent="0.2">
      <c r="A7760">
        <v>7699</v>
      </c>
      <c r="B7760" s="138">
        <f>'Aud Quest 2'!J90</f>
        <v>1468</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188999</v>
      </c>
      <c r="D7797" s="2" t="str">
        <f t="shared" si="127"/>
        <v>Error?</v>
      </c>
      <c r="E7797" s="4" t="s">
        <v>1901</v>
      </c>
    </row>
    <row r="7798" spans="1:5" x14ac:dyDescent="0.2">
      <c r="A7798">
        <v>7737</v>
      </c>
      <c r="B7798" s="138">
        <f>'Contracts Paid in CY 29'!F141</f>
        <v>50000</v>
      </c>
      <c r="D7798" s="2" t="str">
        <f t="shared" si="127"/>
        <v>Error?</v>
      </c>
      <c r="E7798" s="4" t="s">
        <v>1901</v>
      </c>
    </row>
    <row r="7799" spans="1:5" x14ac:dyDescent="0.2">
      <c r="A7799">
        <v>7738</v>
      </c>
      <c r="B7799" s="138">
        <f>'Contracts Paid in CY 29'!G141</f>
        <v>27589</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G15" sqref="G15:L1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1986</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Capital Area Career Center</v>
      </c>
      <c r="B7" s="2403"/>
      <c r="C7" s="2403"/>
      <c r="D7" s="2404"/>
      <c r="E7" s="2405">
        <f>COVER!A13</f>
        <v>51084790040</v>
      </c>
      <c r="F7" s="2406"/>
      <c r="G7" s="2412" t="str">
        <f>COVER!T23</f>
        <v>060-004845</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 xml:space="preserve">Pehlman and Dold, P.C.                 </v>
      </c>
      <c r="H9" s="2418"/>
      <c r="I9" s="2418"/>
      <c r="J9" s="2418"/>
      <c r="K9" s="2418"/>
      <c r="L9" s="2419"/>
    </row>
    <row r="10" spans="1:29" ht="13.5" customHeight="1" x14ac:dyDescent="0.2">
      <c r="A10" s="2392" t="str">
        <f>COVER!A38</f>
        <v>Jodi Ferriell, Director</v>
      </c>
      <c r="B10" s="2393"/>
      <c r="C10" s="2393"/>
      <c r="D10" s="2393"/>
      <c r="E10" s="2393"/>
      <c r="F10" s="2394"/>
      <c r="G10" s="2386" t="str">
        <f>COVER!T17</f>
        <v>100 North Amos Avenue</v>
      </c>
      <c r="H10" s="2387"/>
      <c r="I10" s="2387"/>
      <c r="J10" s="2387"/>
      <c r="K10" s="2387"/>
      <c r="L10" s="2388"/>
    </row>
    <row r="11" spans="1:29" ht="13.5" customHeight="1" x14ac:dyDescent="0.2">
      <c r="A11" s="1184" t="s">
        <v>1519</v>
      </c>
      <c r="B11" s="1185"/>
      <c r="C11" s="1186"/>
      <c r="D11" s="1191"/>
      <c r="E11" s="1186"/>
      <c r="F11" s="1190"/>
      <c r="G11" s="2386" t="str">
        <f>COVER!T19</f>
        <v>Springfield</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f>COVER!T25</f>
        <v>0</v>
      </c>
      <c r="J13" s="2399"/>
      <c r="K13" s="2399"/>
      <c r="L13" s="2400"/>
    </row>
    <row r="14" spans="1:29" ht="13.5" customHeight="1" x14ac:dyDescent="0.2">
      <c r="A14" s="2386" t="str">
        <f>COVER!A19</f>
        <v>2201 Toronto Road</v>
      </c>
      <c r="B14" s="2387"/>
      <c r="C14" s="2387"/>
      <c r="D14" s="2387"/>
      <c r="E14" s="2387"/>
      <c r="F14" s="2388"/>
      <c r="G14" s="1195" t="s">
        <v>1185</v>
      </c>
      <c r="H14" s="1193"/>
      <c r="I14" s="1193"/>
      <c r="J14" s="1193"/>
      <c r="K14" s="1193"/>
      <c r="L14" s="1194"/>
    </row>
    <row r="15" spans="1:29" ht="13.5" customHeight="1" x14ac:dyDescent="0.2">
      <c r="A15" s="2386" t="str">
        <f>COVER!A21</f>
        <v>Springfield, IL</v>
      </c>
      <c r="B15" s="2387"/>
      <c r="C15" s="2387"/>
      <c r="D15" s="2387"/>
      <c r="E15" s="2387"/>
      <c r="F15" s="2388"/>
      <c r="G15" s="2383" t="str">
        <f>COVER!T15</f>
        <v>Dorinda L Fitzgerald</v>
      </c>
      <c r="H15" s="2384"/>
      <c r="I15" s="2384"/>
      <c r="J15" s="2384"/>
      <c r="K15" s="2384"/>
      <c r="L15" s="2385"/>
    </row>
    <row r="16" spans="1:29" ht="12.2" customHeight="1" x14ac:dyDescent="0.2">
      <c r="A16" s="2408">
        <f>COVER!A25</f>
        <v>62712</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(217) 787-0563</v>
      </c>
      <c r="H18" s="2403"/>
      <c r="I18" s="2403"/>
      <c r="J18" s="2403"/>
      <c r="K18" s="2402" t="str">
        <f>COVER!X21</f>
        <v>(217) 787-9266</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Capital Area Career Center</v>
      </c>
      <c r="B1" s="2401"/>
      <c r="C1" s="2401"/>
      <c r="D1" s="2401"/>
    </row>
    <row r="2" spans="1:11" s="1212" customFormat="1" ht="12.75" x14ac:dyDescent="0.2">
      <c r="A2" s="2425">
        <f>'Single Audit Cover'!E7</f>
        <v>51084790040</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Capital Area Career Center</v>
      </c>
      <c r="B1" s="2429"/>
      <c r="C1" s="2429"/>
      <c r="D1" s="2429"/>
      <c r="E1" s="2429"/>
    </row>
    <row r="2" spans="1:5" x14ac:dyDescent="0.2">
      <c r="A2" s="2430">
        <f>'Single Audit Cover'!E7</f>
        <v>51084790040</v>
      </c>
      <c r="B2" s="2430"/>
      <c r="C2" s="2430"/>
      <c r="D2" s="2430"/>
      <c r="E2" s="2430"/>
    </row>
    <row r="3" spans="1:5" ht="4.5" customHeight="1" x14ac:dyDescent="0.2"/>
    <row r="4" spans="1:5" x14ac:dyDescent="0.2">
      <c r="A4" s="2429" t="s">
        <v>1245</v>
      </c>
      <c r="B4" s="2429"/>
      <c r="C4" s="2429"/>
      <c r="D4" s="2429"/>
      <c r="E4" s="2429"/>
    </row>
    <row r="5" spans="1:5" x14ac:dyDescent="0.2">
      <c r="A5" s="2431" t="str">
        <f>'Single Audit Cover'!A4</f>
        <v>Year Ending June 30, 2019</v>
      </c>
      <c r="B5" s="2431"/>
      <c r="C5" s="2431"/>
      <c r="D5" s="2431"/>
      <c r="E5" s="2431"/>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2234</v>
      </c>
    </row>
    <row r="11" spans="1:5" ht="18" customHeight="1" x14ac:dyDescent="0.2">
      <c r="A11" s="1258" t="s">
        <v>1240</v>
      </c>
      <c r="B11" s="1259"/>
      <c r="C11" s="1259"/>
    </row>
    <row r="12" spans="1:5" x14ac:dyDescent="0.2">
      <c r="A12" s="1258" t="s">
        <v>1239</v>
      </c>
      <c r="B12" s="1259" t="s">
        <v>1238</v>
      </c>
      <c r="C12" s="1259"/>
      <c r="D12" s="1261">
        <f>SUM('Revenues 9-14'!C112:D112,'Revenues 9-14'!F112:G112)</f>
        <v>160012</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0</v>
      </c>
    </row>
    <row r="19" spans="1:4" ht="13.5" thickBot="1" x14ac:dyDescent="0.25">
      <c r="A19" s="1262" t="s">
        <v>1235</v>
      </c>
      <c r="D19" s="1263">
        <f>SUM(D10:D17)</f>
        <v>162246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t="s">
        <v>2125</v>
      </c>
      <c r="B24" s="2428"/>
      <c r="D24" s="1265">
        <v>983401</v>
      </c>
    </row>
    <row r="25" spans="1:4" x14ac:dyDescent="0.2">
      <c r="A25" s="2428" t="s">
        <v>2126</v>
      </c>
      <c r="B25" s="2428"/>
      <c r="D25" s="1265">
        <v>559291</v>
      </c>
    </row>
    <row r="26" spans="1:4" x14ac:dyDescent="0.2">
      <c r="A26" s="2428" t="s">
        <v>2127</v>
      </c>
      <c r="B26" s="2428"/>
      <c r="D26" s="1265">
        <v>873900</v>
      </c>
    </row>
    <row r="27" spans="1:4" x14ac:dyDescent="0.2">
      <c r="A27" s="2428" t="s">
        <v>2129</v>
      </c>
      <c r="B27" s="2428"/>
      <c r="D27" s="1265">
        <v>2765</v>
      </c>
    </row>
    <row r="28" spans="1:4" x14ac:dyDescent="0.2">
      <c r="A28" s="2428" t="s">
        <v>2128</v>
      </c>
      <c r="B28" s="2428"/>
      <c r="D28" s="1265">
        <v>9650</v>
      </c>
    </row>
    <row r="29" spans="1:4" x14ac:dyDescent="0.2">
      <c r="A29" s="2428"/>
      <c r="B29" s="2428"/>
      <c r="D29" s="1265"/>
    </row>
    <row r="30" spans="1:4" x14ac:dyDescent="0.2">
      <c r="A30" s="2427"/>
      <c r="B30" s="2427"/>
      <c r="D30" s="1265"/>
    </row>
    <row r="32" spans="1:4" x14ac:dyDescent="0.2">
      <c r="A32" s="1257" t="s">
        <v>1233</v>
      </c>
      <c r="D32" s="1260">
        <f>SUM(D19:D30)</f>
        <v>2591253</v>
      </c>
    </row>
    <row r="33" spans="1:4" x14ac:dyDescent="0.2">
      <c r="D33" s="1266"/>
    </row>
    <row r="34" spans="1:4" x14ac:dyDescent="0.2">
      <c r="A34" s="317" t="s">
        <v>1232</v>
      </c>
    </row>
    <row r="35" spans="1:4" x14ac:dyDescent="0.2">
      <c r="A35" s="317" t="s">
        <v>1231</v>
      </c>
      <c r="B35" s="1255" t="s">
        <v>1230</v>
      </c>
      <c r="D35" s="1267">
        <v>2591253</v>
      </c>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2591253</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6"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Capital Area Career Center</v>
      </c>
      <c r="C1" s="2432"/>
      <c r="D1" s="2432"/>
      <c r="E1" s="2432"/>
      <c r="F1" s="2432"/>
      <c r="G1" s="2432"/>
      <c r="H1" s="2432"/>
      <c r="I1" s="2432"/>
      <c r="J1" s="2432"/>
      <c r="K1" s="2432"/>
      <c r="L1" s="2432"/>
      <c r="M1" s="2432"/>
    </row>
    <row r="2" spans="2:14" ht="15" x14ac:dyDescent="0.2">
      <c r="B2" s="2433">
        <f>'Single Audit Cover'!E7</f>
        <v>51084790040</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2098</v>
      </c>
      <c r="C11" s="1335"/>
      <c r="D11" s="1336"/>
      <c r="E11" s="1337"/>
      <c r="F11" s="1337"/>
      <c r="G11" s="1337"/>
      <c r="H11" s="1337"/>
      <c r="I11" s="1337"/>
      <c r="J11" s="1337"/>
      <c r="K11" s="1337"/>
      <c r="L11" s="1337"/>
      <c r="M11" s="1337"/>
    </row>
    <row r="12" spans="2:14" ht="20.100000000000001" customHeight="1" x14ac:dyDescent="0.2">
      <c r="B12" s="1334" t="s">
        <v>2099</v>
      </c>
      <c r="C12" s="1338">
        <v>84.268000000000001</v>
      </c>
      <c r="D12" s="1339" t="s">
        <v>2101</v>
      </c>
      <c r="E12" s="1340"/>
      <c r="F12" s="1340">
        <v>983401</v>
      </c>
      <c r="G12" s="1340"/>
      <c r="H12" s="1340"/>
      <c r="I12" s="1340">
        <v>983401</v>
      </c>
      <c r="J12" s="1340"/>
      <c r="K12" s="1340"/>
      <c r="L12" s="1337">
        <f t="shared" ref="L12:L26" si="0">+G12+I12+K12</f>
        <v>983401</v>
      </c>
      <c r="M12" s="1340" t="s">
        <v>2101</v>
      </c>
    </row>
    <row r="13" spans="2:14" ht="20.100000000000001" customHeight="1" x14ac:dyDescent="0.2">
      <c r="B13" s="1334" t="s">
        <v>2100</v>
      </c>
      <c r="C13" s="1338">
        <v>84.063000000000002</v>
      </c>
      <c r="D13" s="1339" t="s">
        <v>2101</v>
      </c>
      <c r="E13" s="1340"/>
      <c r="F13" s="1340">
        <v>559291</v>
      </c>
      <c r="G13" s="1340"/>
      <c r="H13" s="1340"/>
      <c r="I13" s="1340">
        <v>559291</v>
      </c>
      <c r="J13" s="1340"/>
      <c r="K13" s="1340"/>
      <c r="L13" s="1337">
        <f t="shared" si="0"/>
        <v>559291</v>
      </c>
      <c r="M13" s="1340" t="s">
        <v>2101</v>
      </c>
    </row>
    <row r="14" spans="2:14" ht="20.100000000000001" customHeight="1" x14ac:dyDescent="0.2">
      <c r="B14" s="1334" t="s">
        <v>2102</v>
      </c>
      <c r="C14" s="1338"/>
      <c r="D14" s="1339"/>
      <c r="E14" s="1340">
        <v>0</v>
      </c>
      <c r="F14" s="1340">
        <v>1542692</v>
      </c>
      <c r="G14" s="1340">
        <v>0</v>
      </c>
      <c r="H14" s="1340">
        <v>0</v>
      </c>
      <c r="I14" s="1340">
        <v>1542692</v>
      </c>
      <c r="J14" s="1340">
        <v>0</v>
      </c>
      <c r="K14" s="1340">
        <v>0</v>
      </c>
      <c r="L14" s="1337">
        <f t="shared" ref="L14" si="1">+G14+I14+K14</f>
        <v>1542692</v>
      </c>
      <c r="M14" s="1340"/>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t="s">
        <v>2103</v>
      </c>
      <c r="C16" s="1338"/>
      <c r="D16" s="1339"/>
      <c r="E16" s="1340"/>
      <c r="F16" s="1340"/>
      <c r="G16" s="1340"/>
      <c r="H16" s="1340"/>
      <c r="I16" s="1340"/>
      <c r="J16" s="1340"/>
      <c r="K16" s="1340"/>
      <c r="L16" s="1337"/>
      <c r="M16" s="1340"/>
    </row>
    <row r="17" spans="2:14" ht="20.100000000000001" customHeight="1" x14ac:dyDescent="0.2">
      <c r="B17" s="1334" t="s">
        <v>2104</v>
      </c>
      <c r="C17" s="1338"/>
      <c r="D17" s="1339"/>
      <c r="E17" s="1340"/>
      <c r="F17" s="1340"/>
      <c r="G17" s="1340"/>
      <c r="H17" s="1340"/>
      <c r="I17" s="1340"/>
      <c r="J17" s="1340"/>
      <c r="K17" s="1340"/>
      <c r="L17" s="1337"/>
      <c r="M17" s="1340"/>
    </row>
    <row r="18" spans="2:14" ht="20.100000000000001" customHeight="1" x14ac:dyDescent="0.2">
      <c r="B18" s="1334" t="s">
        <v>2105</v>
      </c>
      <c r="C18" s="1338" t="s">
        <v>2106</v>
      </c>
      <c r="D18" s="1339">
        <v>2019</v>
      </c>
      <c r="E18" s="1340"/>
      <c r="F18" s="1340">
        <v>160012</v>
      </c>
      <c r="G18" s="1340"/>
      <c r="H18" s="1340"/>
      <c r="I18" s="1340">
        <v>160012</v>
      </c>
      <c r="J18" s="1340"/>
      <c r="K18" s="1340"/>
      <c r="L18" s="1337">
        <f t="shared" ref="L18:L19" si="2">+G18+I18+K18</f>
        <v>160012</v>
      </c>
      <c r="M18" s="1340">
        <v>140000</v>
      </c>
    </row>
    <row r="19" spans="2:14" ht="20.100000000000001" customHeight="1" x14ac:dyDescent="0.2">
      <c r="B19" s="1334" t="s">
        <v>2107</v>
      </c>
      <c r="C19" s="1338"/>
      <c r="D19" s="1339"/>
      <c r="E19" s="1340">
        <v>0</v>
      </c>
      <c r="F19" s="1340">
        <v>160012</v>
      </c>
      <c r="G19" s="1340">
        <v>0</v>
      </c>
      <c r="H19" s="1340">
        <v>0</v>
      </c>
      <c r="I19" s="1340">
        <v>160012</v>
      </c>
      <c r="J19" s="1340">
        <v>0</v>
      </c>
      <c r="K19" s="1340">
        <v>0</v>
      </c>
      <c r="L19" s="1337">
        <f t="shared" si="2"/>
        <v>160012</v>
      </c>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2108</v>
      </c>
      <c r="C21" s="1338"/>
      <c r="D21" s="1339"/>
      <c r="E21" s="1340"/>
      <c r="F21" s="1340"/>
      <c r="G21" s="1340"/>
      <c r="H21" s="1340"/>
      <c r="I21" s="1340"/>
      <c r="J21" s="1340"/>
      <c r="K21" s="1340"/>
      <c r="L21" s="1337"/>
      <c r="M21" s="1340"/>
    </row>
    <row r="22" spans="2:14" ht="20.100000000000001" customHeight="1" x14ac:dyDescent="0.2">
      <c r="B22" s="1334" t="s">
        <v>2109</v>
      </c>
      <c r="C22" s="1338"/>
      <c r="D22" s="1339"/>
      <c r="E22" s="1340"/>
      <c r="F22" s="1340"/>
      <c r="G22" s="1340"/>
      <c r="H22" s="1340"/>
      <c r="I22" s="1340"/>
      <c r="J22" s="1340"/>
      <c r="K22" s="1340"/>
      <c r="L22" s="1337"/>
      <c r="M22" s="1340"/>
    </row>
    <row r="23" spans="2:14" ht="20.100000000000001" customHeight="1" x14ac:dyDescent="0.2">
      <c r="B23" s="1334" t="s">
        <v>2110</v>
      </c>
      <c r="C23" s="1338">
        <v>93.569000000000003</v>
      </c>
      <c r="D23" s="1339" t="s">
        <v>2101</v>
      </c>
      <c r="E23" s="1340"/>
      <c r="F23" s="1340">
        <v>2765</v>
      </c>
      <c r="G23" s="1340"/>
      <c r="H23" s="1340"/>
      <c r="I23" s="1340">
        <v>2765</v>
      </c>
      <c r="J23" s="1340"/>
      <c r="K23" s="1340"/>
      <c r="L23" s="1337">
        <f t="shared" ref="L23" si="3">+G23+I23+K23</f>
        <v>2765</v>
      </c>
      <c r="M23" s="1340" t="s">
        <v>2101</v>
      </c>
    </row>
    <row r="24" spans="2:14" ht="20.100000000000001" customHeight="1" x14ac:dyDescent="0.2">
      <c r="B24" s="1334" t="s">
        <v>2113</v>
      </c>
      <c r="C24" s="1338"/>
      <c r="D24" s="1339"/>
      <c r="E24" s="1340"/>
      <c r="F24" s="1340"/>
      <c r="G24" s="1340"/>
      <c r="H24" s="1340"/>
      <c r="I24" s="1340"/>
      <c r="J24" s="1340"/>
      <c r="K24" s="1340"/>
      <c r="L24" s="1337"/>
      <c r="M24" s="1340"/>
    </row>
    <row r="25" spans="2:14" ht="20.100000000000001" customHeight="1" x14ac:dyDescent="0.2">
      <c r="B25" s="1334" t="s">
        <v>2111</v>
      </c>
      <c r="C25" s="1338"/>
      <c r="D25" s="1339"/>
      <c r="E25" s="1340"/>
      <c r="F25" s="1340"/>
      <c r="G25" s="1340"/>
      <c r="H25" s="1340"/>
      <c r="I25" s="1340"/>
      <c r="J25" s="1340"/>
      <c r="K25" s="1340"/>
      <c r="L25" s="1337"/>
      <c r="M25" s="1340"/>
    </row>
    <row r="26" spans="2:14" ht="20.100000000000001" customHeight="1" x14ac:dyDescent="0.2">
      <c r="B26" s="1334" t="s">
        <v>2112</v>
      </c>
      <c r="C26" s="1338"/>
      <c r="D26" s="1339"/>
      <c r="E26" s="1340">
        <v>0</v>
      </c>
      <c r="F26" s="1340">
        <v>2765</v>
      </c>
      <c r="G26" s="1340">
        <v>0</v>
      </c>
      <c r="H26" s="1340">
        <v>0</v>
      </c>
      <c r="I26" s="1340">
        <v>2765</v>
      </c>
      <c r="J26" s="1340"/>
      <c r="K26" s="1340"/>
      <c r="L26" s="1337">
        <f t="shared" si="0"/>
        <v>2765</v>
      </c>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1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Capital Area Career Center</v>
      </c>
      <c r="C1" s="2432"/>
      <c r="D1" s="2432"/>
      <c r="E1" s="2432"/>
      <c r="F1" s="2432"/>
      <c r="G1" s="2432"/>
      <c r="H1" s="2432"/>
      <c r="I1" s="2432"/>
      <c r="J1" s="2432"/>
      <c r="K1" s="2432"/>
      <c r="L1" s="2432"/>
      <c r="M1" s="2432"/>
    </row>
    <row r="2" spans="2:14" ht="15" x14ac:dyDescent="0.2">
      <c r="B2" s="2433">
        <f>'Single Audit Cover'!E7</f>
        <v>51084790040</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2114</v>
      </c>
      <c r="C11" s="1335"/>
      <c r="D11" s="1336"/>
      <c r="E11" s="1337"/>
      <c r="F11" s="1337"/>
      <c r="G11" s="1337"/>
      <c r="H11" s="1337"/>
      <c r="I11" s="1337"/>
      <c r="J11" s="1337"/>
      <c r="K11" s="1337"/>
      <c r="L11" s="1337"/>
      <c r="M11" s="1337"/>
    </row>
    <row r="12" spans="2:14" ht="20.100000000000001" customHeight="1" x14ac:dyDescent="0.2">
      <c r="B12" s="1334" t="s">
        <v>2115</v>
      </c>
      <c r="C12" s="1338"/>
      <c r="D12" s="1339"/>
      <c r="E12" s="1340"/>
      <c r="F12" s="1340"/>
      <c r="G12" s="1340"/>
      <c r="H12" s="1340"/>
      <c r="I12" s="1340"/>
      <c r="J12" s="1340"/>
      <c r="K12" s="1340"/>
      <c r="L12" s="1337"/>
      <c r="M12" s="1340"/>
    </row>
    <row r="13" spans="2:14" ht="20.100000000000001" customHeight="1" x14ac:dyDescent="0.2">
      <c r="B13" s="1334" t="s">
        <v>2116</v>
      </c>
      <c r="C13" s="1338">
        <v>17.257999999999999</v>
      </c>
      <c r="D13" s="1339" t="s">
        <v>2101</v>
      </c>
      <c r="E13" s="1340"/>
      <c r="F13" s="1340">
        <v>873900</v>
      </c>
      <c r="G13" s="1340"/>
      <c r="H13" s="1340"/>
      <c r="I13" s="1340">
        <v>873900</v>
      </c>
      <c r="J13" s="1340"/>
      <c r="K13" s="1340"/>
      <c r="L13" s="1337">
        <f t="shared" ref="L13:L23" si="0">+G13+I13+K13</f>
        <v>873900</v>
      </c>
      <c r="M13" s="1340" t="s">
        <v>2101</v>
      </c>
    </row>
    <row r="14" spans="2:14" ht="20.100000000000001" customHeight="1" x14ac:dyDescent="0.2">
      <c r="B14" s="1334" t="s">
        <v>2117</v>
      </c>
      <c r="C14" s="1338">
        <v>17.259</v>
      </c>
      <c r="D14" s="1339" t="s">
        <v>2118</v>
      </c>
      <c r="E14" s="1340"/>
      <c r="F14" s="1340">
        <v>2234</v>
      </c>
      <c r="G14" s="1340"/>
      <c r="H14" s="1340"/>
      <c r="I14" s="1340">
        <v>3666</v>
      </c>
      <c r="J14" s="1340"/>
      <c r="K14" s="1340"/>
      <c r="L14" s="1337">
        <f t="shared" si="0"/>
        <v>3666</v>
      </c>
      <c r="M14" s="1340">
        <v>89542</v>
      </c>
    </row>
    <row r="15" spans="2:14" ht="20.100000000000001" customHeight="1" x14ac:dyDescent="0.2">
      <c r="B15" s="1334" t="s">
        <v>2119</v>
      </c>
      <c r="C15" s="1338"/>
      <c r="D15" s="1339"/>
      <c r="E15" s="1340"/>
      <c r="F15" s="1340"/>
      <c r="G15" s="1340"/>
      <c r="H15" s="1340"/>
      <c r="I15" s="1340"/>
      <c r="J15" s="1340"/>
      <c r="K15" s="1340"/>
      <c r="L15" s="1337"/>
      <c r="M15" s="1340"/>
    </row>
    <row r="16" spans="2:14" ht="20.100000000000001" customHeight="1" x14ac:dyDescent="0.2">
      <c r="B16" s="1334" t="s">
        <v>2120</v>
      </c>
      <c r="C16" s="1338"/>
      <c r="D16" s="1339"/>
      <c r="E16" s="1340">
        <v>0</v>
      </c>
      <c r="F16" s="1340">
        <v>876134</v>
      </c>
      <c r="G16" s="1340">
        <v>0</v>
      </c>
      <c r="H16" s="1340">
        <v>0</v>
      </c>
      <c r="I16" s="1340">
        <v>877566</v>
      </c>
      <c r="J16" s="1340"/>
      <c r="K16" s="1340"/>
      <c r="L16" s="1337">
        <f t="shared" si="0"/>
        <v>877566</v>
      </c>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2121</v>
      </c>
      <c r="C18" s="1338"/>
      <c r="D18" s="1339"/>
      <c r="E18" s="1340"/>
      <c r="F18" s="1340"/>
      <c r="G18" s="1340"/>
      <c r="H18" s="1340"/>
      <c r="I18" s="1340"/>
      <c r="J18" s="1340"/>
      <c r="K18" s="1340"/>
      <c r="L18" s="1337"/>
      <c r="M18" s="1340"/>
    </row>
    <row r="19" spans="2:14" ht="20.100000000000001" customHeight="1" x14ac:dyDescent="0.2">
      <c r="B19" s="1334" t="s">
        <v>2122</v>
      </c>
      <c r="C19" s="1338">
        <v>64.028000000000006</v>
      </c>
      <c r="D19" s="1339" t="s">
        <v>2101</v>
      </c>
      <c r="E19" s="1340"/>
      <c r="F19" s="1340">
        <v>9650</v>
      </c>
      <c r="G19" s="1340"/>
      <c r="H19" s="1340"/>
      <c r="I19" s="1340">
        <v>9650</v>
      </c>
      <c r="J19" s="1340"/>
      <c r="K19" s="1340"/>
      <c r="L19" s="1337">
        <f t="shared" si="0"/>
        <v>9650</v>
      </c>
      <c r="M19" s="1340" t="s">
        <v>2101</v>
      </c>
    </row>
    <row r="20" spans="2:14" ht="20.100000000000001" customHeight="1" x14ac:dyDescent="0.2">
      <c r="B20" s="1334" t="s">
        <v>2123</v>
      </c>
      <c r="C20" s="1338"/>
      <c r="D20" s="1339"/>
      <c r="E20" s="1340">
        <v>0</v>
      </c>
      <c r="F20" s="1340">
        <v>9650</v>
      </c>
      <c r="G20" s="1340">
        <v>0</v>
      </c>
      <c r="H20" s="1340">
        <v>0</v>
      </c>
      <c r="I20" s="1340">
        <v>9650</v>
      </c>
      <c r="J20" s="1340">
        <v>0</v>
      </c>
      <c r="K20" s="1340">
        <v>0</v>
      </c>
      <c r="L20" s="1337">
        <f t="shared" si="0"/>
        <v>9650</v>
      </c>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t="s">
        <v>2124</v>
      </c>
      <c r="C23" s="1338"/>
      <c r="D23" s="1339"/>
      <c r="E23" s="1340">
        <v>0</v>
      </c>
      <c r="F23" s="1340">
        <v>2591253</v>
      </c>
      <c r="G23" s="1340">
        <v>0</v>
      </c>
      <c r="H23" s="1340">
        <v>0</v>
      </c>
      <c r="I23" s="1340">
        <v>2592685</v>
      </c>
      <c r="J23" s="1340">
        <v>0</v>
      </c>
      <c r="K23" s="1340">
        <v>0</v>
      </c>
      <c r="L23" s="1337">
        <f t="shared" si="0"/>
        <v>2592685</v>
      </c>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40-1&amp;R&amp;8Page 40-1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Capital Area Career Center</v>
      </c>
      <c r="B1" s="2445"/>
      <c r="C1" s="2445"/>
      <c r="D1" s="2445"/>
      <c r="E1" s="2445"/>
      <c r="F1" s="2445"/>
    </row>
    <row r="2" spans="1:7" ht="13.5" customHeight="1" x14ac:dyDescent="0.2">
      <c r="A2" s="2433">
        <f>'Single Audit Cover'!E7</f>
        <v>51084790040</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2130</v>
      </c>
      <c r="B7" s="2444"/>
      <c r="C7" s="2444"/>
      <c r="D7" s="2444"/>
      <c r="E7" s="2444"/>
      <c r="F7" s="244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2068</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2131</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t="s">
        <v>2132</v>
      </c>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2133</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1835</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383</v>
      </c>
      <c r="D38" s="1903"/>
      <c r="E38" s="1283"/>
    </row>
    <row r="39" spans="1:6" ht="14.25" customHeight="1" x14ac:dyDescent="0.2">
      <c r="A39" s="328"/>
      <c r="B39" s="328" t="s">
        <v>1436</v>
      </c>
      <c r="C39" s="1289" t="s">
        <v>383</v>
      </c>
      <c r="D39" s="1903"/>
      <c r="E39" s="1283"/>
    </row>
    <row r="40" spans="1:6" ht="14.25" customHeight="1" x14ac:dyDescent="0.2">
      <c r="A40" s="328"/>
      <c r="B40" s="328" t="s">
        <v>1437</v>
      </c>
      <c r="C40" s="1289" t="s">
        <v>383</v>
      </c>
      <c r="D40" s="1903"/>
      <c r="E40" s="1283"/>
    </row>
    <row r="41" spans="1:6" ht="14.25" customHeight="1" x14ac:dyDescent="0.2">
      <c r="A41" s="328"/>
      <c r="B41" s="328" t="s">
        <v>1438</v>
      </c>
      <c r="C41" s="1289" t="s">
        <v>383</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41"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Capital Area Career Center</v>
      </c>
      <c r="C1" s="2460"/>
      <c r="D1" s="2460"/>
      <c r="E1" s="2460"/>
      <c r="F1" s="2460"/>
      <c r="G1" s="2460"/>
      <c r="H1" s="2460"/>
      <c r="I1" s="2460"/>
      <c r="J1" s="1406"/>
    </row>
    <row r="2" spans="2:10" s="317" customFormat="1" ht="12.75" customHeight="1" x14ac:dyDescent="0.2">
      <c r="B2" s="2461">
        <f>'Single Audit Cover'!E7</f>
        <v>51084790040</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t="s">
        <v>2134</v>
      </c>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2068</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2068</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2068</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2068</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t="s">
        <v>2134</v>
      </c>
      <c r="E29" s="2466"/>
      <c r="F29" s="2466"/>
      <c r="G29" s="2466"/>
      <c r="H29" s="2466"/>
      <c r="I29" s="2466"/>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2068</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7" t="s">
        <v>1748</v>
      </c>
      <c r="D37" s="2468"/>
      <c r="E37" s="2468"/>
      <c r="F37" s="2469"/>
      <c r="G37" s="2467" t="s">
        <v>1592</v>
      </c>
      <c r="H37" s="2468"/>
      <c r="I37" s="2469"/>
    </row>
    <row r="38" spans="2:9" ht="16.5" customHeight="1" x14ac:dyDescent="0.2">
      <c r="B38" s="1428"/>
      <c r="C38" s="2455" t="s">
        <v>2135</v>
      </c>
      <c r="D38" s="2456"/>
      <c r="E38" s="2456"/>
      <c r="F38" s="2457"/>
      <c r="G38" s="2470"/>
      <c r="H38" s="2471"/>
      <c r="I38" s="2472"/>
    </row>
    <row r="39" spans="2:9" ht="16.5" customHeight="1" x14ac:dyDescent="0.2">
      <c r="B39" s="1428">
        <v>84.063000000000002</v>
      </c>
      <c r="C39" s="2455" t="s">
        <v>2136</v>
      </c>
      <c r="D39" s="2456"/>
      <c r="E39" s="2456"/>
      <c r="F39" s="2457"/>
      <c r="G39" s="2458">
        <v>559291</v>
      </c>
      <c r="H39" s="2458"/>
      <c r="I39" s="2458"/>
    </row>
    <row r="40" spans="2:9" ht="16.5" customHeight="1" x14ac:dyDescent="0.2">
      <c r="B40" s="1428">
        <v>84.268000000000001</v>
      </c>
      <c r="C40" s="2455" t="s">
        <v>2137</v>
      </c>
      <c r="D40" s="2456"/>
      <c r="E40" s="2456"/>
      <c r="F40" s="2457"/>
      <c r="G40" s="2458">
        <v>983401</v>
      </c>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1542692</v>
      </c>
      <c r="H43" s="2451"/>
      <c r="I43" s="2451"/>
    </row>
    <row r="44" spans="2:9" ht="12.75" customHeight="1" x14ac:dyDescent="0.2"/>
    <row r="45" spans="2:9" ht="12.75" customHeight="1" x14ac:dyDescent="0.2">
      <c r="B45" s="1419" t="s">
        <v>1838</v>
      </c>
      <c r="D45" s="2452">
        <v>2592685</v>
      </c>
      <c r="E45" s="2453"/>
    </row>
    <row r="46" spans="2:9" ht="5.25" customHeight="1" x14ac:dyDescent="0.2">
      <c r="B46" s="1429"/>
      <c r="D46" s="1430"/>
      <c r="E46" s="1431"/>
    </row>
    <row r="47" spans="2:9" ht="12.75" customHeight="1" x14ac:dyDescent="0.2">
      <c r="B47" s="1297" t="s">
        <v>1594</v>
      </c>
      <c r="C47" s="1297"/>
      <c r="D47" s="1432">
        <f>+G43/D45</f>
        <v>0.59501713474641149</v>
      </c>
      <c r="E47" s="1433"/>
      <c r="F47" s="1434"/>
      <c r="I47" s="1435"/>
    </row>
    <row r="48" spans="2:9" ht="9.9499999999999993" customHeight="1" x14ac:dyDescent="0.2"/>
    <row r="49" spans="1:9" x14ac:dyDescent="0.2">
      <c r="B49" s="1365" t="s">
        <v>1273</v>
      </c>
      <c r="C49" s="1279"/>
      <c r="D49" s="1279"/>
      <c r="E49" s="2454">
        <v>750000</v>
      </c>
      <c r="F49" s="2454"/>
      <c r="G49" s="2454"/>
      <c r="H49" s="322"/>
    </row>
    <row r="51" spans="1:9" ht="13.5" customHeight="1" x14ac:dyDescent="0.2">
      <c r="B51" s="1365" t="s">
        <v>1272</v>
      </c>
      <c r="C51" s="1279"/>
      <c r="E51" s="1422" t="s">
        <v>2068</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Capital Area Career Center</v>
      </c>
      <c r="C1" s="2459"/>
      <c r="D1" s="2459"/>
      <c r="E1" s="2459"/>
      <c r="F1" s="2459"/>
      <c r="G1" s="2459"/>
      <c r="H1" s="2459"/>
      <c r="I1" s="2459"/>
      <c r="J1" s="2459"/>
      <c r="K1" s="2459"/>
      <c r="L1" s="1371"/>
      <c r="M1" s="1371"/>
    </row>
    <row r="2" spans="1:13" ht="12" customHeight="1" x14ac:dyDescent="0.2">
      <c r="B2" s="2461">
        <f>'Single Audit Cover'!E7</f>
        <v>51084790040</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1988</v>
      </c>
      <c r="D10" s="1383" t="s">
        <v>2138</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Capital Area Career Center</v>
      </c>
      <c r="C1" s="2482"/>
      <c r="D1" s="2482"/>
      <c r="E1" s="2482"/>
      <c r="F1" s="2482"/>
      <c r="G1" s="2482"/>
      <c r="H1" s="2482"/>
      <c r="I1" s="2482"/>
      <c r="J1" s="2482"/>
      <c r="K1" s="2482"/>
      <c r="L1" s="1449"/>
    </row>
    <row r="2" spans="1:12" ht="12.75" customHeight="1" x14ac:dyDescent="0.2">
      <c r="B2" s="2483">
        <f>'Single Audit Cover'!E7</f>
        <v>51084790040</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1988</v>
      </c>
      <c r="D8" s="1452" t="s">
        <v>2138</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Capital Area Career Center</v>
      </c>
      <c r="C1" s="2459"/>
      <c r="D1" s="2459"/>
      <c r="E1" s="1469"/>
    </row>
    <row r="2" spans="2:5" s="1279" customFormat="1" ht="12.75" customHeight="1" x14ac:dyDescent="0.2">
      <c r="B2" s="2461">
        <f>'Single Audit Cover'!E7</f>
        <v>51084790040</v>
      </c>
      <c r="C2" s="2461"/>
      <c r="D2" s="2461"/>
      <c r="E2" s="1470"/>
    </row>
    <row r="3" spans="2:5" ht="12.75" customHeight="1" x14ac:dyDescent="0.2">
      <c r="B3" s="2475" t="s">
        <v>1763</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2139</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schemas.microsoft.com/office/infopath/2007/PartnerControl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2019-10-22T15:15:30Z</cp:lastPrinted>
  <dcterms:created xsi:type="dcterms:W3CDTF">2003-10-29T19:06:34Z</dcterms:created>
  <dcterms:modified xsi:type="dcterms:W3CDTF">2019-12-26T14:48:25Z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