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5D79E5C-DA06-459C-98F4-8C35CE7A5E89}" xr6:coauthVersionLast="36" xr6:coauthVersionMax="36" xr10:uidLastSave="{00000000-0000-0000-0000-000000000000}"/>
  <bookViews>
    <workbookView xWindow="4215" yWindow="1965" windowWidth="2208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EFA NOTES (2)" sheetId="184" r:id="rId31"/>
    <sheet name="SEFA NOTES (3)" sheetId="185" r:id="rId32"/>
    <sheet name="SF&amp;QC Sec-1" sheetId="174" r:id="rId33"/>
    <sheet name="SF&amp;QC Sec-2" sheetId="175" r:id="rId34"/>
    <sheet name="SF&amp;QC Sec-3" sheetId="176" r:id="rId35"/>
    <sheet name="SF&amp;QC Sec-3 (2)" sheetId="186" r:id="rId36"/>
    <sheet name="SSPAF" sheetId="177" r:id="rId37"/>
  </sheets>
  <definedNames>
    <definedName name="_xlnm.Print_Area" localSheetId="27">' SEFA'!$B$1:$M$46</definedName>
    <definedName name="_xlnm.Print_Area" localSheetId="28">' SEFA (2)'!$B$1:$M$46</definedName>
    <definedName name="_xlnm.Print_Area" localSheetId="29">'SEFA NOTES'!$A$1:$F$52</definedName>
    <definedName name="_xlnm.Print_Area" localSheetId="30">'SEFA NOTES (2)'!$A$1:$F$52</definedName>
    <definedName name="_xlnm.Print_Area" localSheetId="31">'SEFA NOTES (3)'!$A$1:$F$52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35">'SF&amp;QC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L25" i="179" l="1"/>
  <c r="E34" i="185" l="1"/>
  <c r="A4" i="185"/>
  <c r="E34" i="184"/>
  <c r="A4" i="184"/>
  <c r="L14" i="179" l="1"/>
  <c r="L19" i="183" l="1"/>
  <c r="L15"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3" i="179" l="1"/>
  <c r="L22" i="179"/>
  <c r="L19" i="179"/>
  <c r="L18" i="179"/>
  <c r="L17" i="179"/>
  <c r="L16" i="179"/>
  <c r="L15"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A1" i="185"/>
  <c r="A1" i="184"/>
  <c r="B1" i="183"/>
  <c r="B2" i="179"/>
  <c r="B2" i="186"/>
  <c r="A2" i="184"/>
  <c r="A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7761" i="106"/>
  <c r="D7761" i="106" s="1"/>
  <c r="L127" i="29"/>
  <c r="L129" i="29" s="1"/>
  <c r="L139" i="29"/>
  <c r="L149" i="29"/>
  <c r="I7" i="145"/>
  <c r="I6" i="145"/>
  <c r="D82" i="36"/>
  <c r="D78" i="36"/>
  <c r="K75" i="29"/>
  <c r="K130" i="29"/>
  <c r="D14" i="4" s="1"/>
  <c r="B2570" i="106" s="1"/>
  <c r="D2570" i="106" s="1"/>
  <c r="K185" i="29"/>
  <c r="B2836" i="106" s="1"/>
  <c r="D2836"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B2978" i="106" s="1"/>
  <c r="D2978" i="106" s="1"/>
  <c r="K93" i="29"/>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E26" i="108"/>
  <c r="D27" i="108"/>
  <c r="E27" i="108"/>
  <c r="F27" i="108"/>
  <c r="G27" i="108"/>
  <c r="F31" i="108"/>
  <c r="G28" i="108"/>
  <c r="G29" i="108"/>
  <c r="D37" i="108"/>
  <c r="E31" i="108"/>
  <c r="G31" i="108"/>
  <c r="E33" i="108"/>
  <c r="G33"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33" i="118"/>
  <c r="D22" i="37"/>
  <c r="D24" i="37"/>
  <c r="B4270" i="106" s="1"/>
  <c r="D4270" i="106" s="1"/>
  <c r="D9" i="7"/>
  <c r="B1767" i="106" s="1"/>
  <c r="D1767" i="106" s="1"/>
  <c r="D17" i="7"/>
  <c r="B4104" i="106" s="1"/>
  <c r="D4104" i="106" s="1"/>
  <c r="H28" i="118" l="1"/>
  <c r="J22" i="37"/>
  <c r="D11" i="37"/>
  <c r="H29" i="118"/>
  <c r="K28" i="118" s="1"/>
  <c r="O27" i="118" s="1"/>
  <c r="O29" i="118" s="1"/>
  <c r="F38" i="34"/>
  <c r="F34" i="34"/>
  <c r="G38" i="108"/>
  <c r="E29" i="108"/>
  <c r="F37" i="108"/>
  <c r="G26" i="108"/>
  <c r="D68" i="36"/>
  <c r="D31" i="36"/>
  <c r="C342" i="29"/>
  <c r="B7216" i="106" s="1"/>
  <c r="D7216" i="106" s="1"/>
  <c r="J210" i="29"/>
  <c r="B7072" i="106" s="1"/>
  <c r="D7072" i="106" s="1"/>
  <c r="G15" i="145"/>
  <c r="L22" i="37"/>
  <c r="L5" i="11"/>
  <c r="B2056" i="106" s="1"/>
  <c r="D2056" i="106" s="1"/>
  <c r="F46" i="34"/>
  <c r="G39" i="108"/>
  <c r="D36" i="108"/>
  <c r="F36" i="108"/>
  <c r="H44" i="4"/>
  <c r="B3296" i="106" s="1"/>
  <c r="D3296" i="106" s="1"/>
  <c r="F19" i="7"/>
  <c r="B1807" i="106" s="1"/>
  <c r="D1807" i="106" s="1"/>
  <c r="F70" i="34"/>
  <c r="F62" i="34"/>
  <c r="F42" i="34"/>
  <c r="F37" i="34"/>
  <c r="E38" i="108"/>
  <c r="G30" i="108"/>
  <c r="H342" i="29"/>
  <c r="H112" i="29"/>
  <c r="B7018" i="106" s="1"/>
  <c r="D7018" i="106" s="1"/>
  <c r="H76" i="4"/>
  <c r="B3298" i="106" s="1"/>
  <c r="D3298" i="106" s="1"/>
  <c r="F50" i="34"/>
  <c r="E30" i="108"/>
  <c r="L13" i="11"/>
  <c r="B2060" i="106" s="1"/>
  <c r="D2060" i="106" s="1"/>
  <c r="D26" i="108"/>
  <c r="D41" i="108" s="1"/>
  <c r="E43" i="108" s="1"/>
  <c r="F26" i="108"/>
  <c r="B1126" i="106"/>
  <c r="D1126" i="106" s="1"/>
  <c r="D6103" i="106"/>
  <c r="H365" i="29"/>
  <c r="B7242" i="106" s="1"/>
  <c r="D7242" i="106" s="1"/>
  <c r="F77" i="4"/>
  <c r="B3255" i="106" s="1"/>
  <c r="D3255" i="106" s="1"/>
  <c r="I24" i="12"/>
  <c r="B1996" i="106" s="1"/>
  <c r="D1996" i="106" s="1"/>
  <c r="F49" i="34"/>
  <c r="J77" i="4"/>
  <c r="B6262" i="106" s="1"/>
  <c r="D6262" i="106" s="1"/>
  <c r="K76" i="4"/>
  <c r="B3586" i="106" s="1"/>
  <c r="D3586" i="106" s="1"/>
  <c r="B3647" i="106"/>
  <c r="D3647" i="106" s="1"/>
  <c r="F28" i="108"/>
  <c r="F41" i="108" s="1"/>
  <c r="G43" i="108" s="1"/>
  <c r="E28" i="108"/>
  <c r="I26" i="12"/>
  <c r="B7741" i="106" s="1"/>
  <c r="D7741" i="106" s="1"/>
  <c r="J41" i="3"/>
  <c r="B6216" i="106" s="1"/>
  <c r="D6216" i="106" s="1"/>
  <c r="K184" i="29"/>
  <c r="F13" i="4" s="1"/>
  <c r="B2596" i="106" s="1"/>
  <c r="D2596" i="106" s="1"/>
  <c r="G210" i="29"/>
  <c r="K41" i="3"/>
  <c r="L15" i="11"/>
  <c r="B3459" i="106" s="1"/>
  <c r="D3459" i="106" s="1"/>
  <c r="B1990" i="106"/>
  <c r="D1990" i="106" s="1"/>
  <c r="C129" i="29"/>
  <c r="C151" i="29" s="1"/>
  <c r="B1226" i="106" s="1"/>
  <c r="D1226" i="106" s="1"/>
  <c r="L367" i="29"/>
  <c r="D7245" i="106"/>
  <c r="C352" i="29"/>
  <c r="C367" i="29" s="1"/>
  <c r="B3622" i="106" s="1"/>
  <c r="D3622" i="106" s="1"/>
  <c r="B1308" i="106"/>
  <c r="D1308" i="106" s="1"/>
  <c r="E174" i="29"/>
  <c r="B1309" i="106" s="1"/>
  <c r="D1309" i="106" s="1"/>
  <c r="L342" i="29"/>
  <c r="B3254" i="106"/>
  <c r="D325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317" i="106" l="1"/>
  <c r="D1317" i="106" s="1"/>
  <c r="D7250" i="106"/>
  <c r="H151" i="29"/>
  <c r="B1273" i="106" s="1"/>
  <c r="D1273" i="106" s="1"/>
  <c r="D7254" i="106"/>
  <c r="D7252" i="106"/>
  <c r="D51" i="36"/>
  <c r="D7256" i="106"/>
  <c r="D7251" i="106"/>
  <c r="L114" i="29"/>
  <c r="L16" i="11"/>
  <c r="B2061" i="106" s="1"/>
  <c r="D2061" i="106" s="1"/>
  <c r="F174" i="34"/>
  <c r="B1225" i="106"/>
  <c r="D1225" i="106" s="1"/>
  <c r="G170" i="5"/>
  <c r="B3621" i="106"/>
  <c r="D3621" i="106" s="1"/>
  <c r="K77" i="4"/>
  <c r="B3587" i="106" s="1"/>
  <c r="D3587" i="106" s="1"/>
  <c r="C114" i="29"/>
  <c r="B757" i="106" s="1"/>
  <c r="D757" i="106" s="1"/>
  <c r="D7253" i="106"/>
  <c r="K342" i="29"/>
  <c r="F13" i="34" s="1"/>
  <c r="B3568" i="106"/>
  <c r="D3568" i="106" s="1"/>
  <c r="D52" i="3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5778" i="106"/>
  <c r="D5778" i="106" s="1"/>
  <c r="G6" i="4"/>
  <c r="B2604" i="106" s="1"/>
  <c r="D2604"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D8" i="146"/>
  <c r="J20" i="4"/>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<sst xmlns="http://schemas.openxmlformats.org/spreadsheetml/2006/main" count="5360" uniqueCount="2157">
  <si>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</si>
  <si>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</si>
  <si>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</si>
  <si>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</si>
  <si>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</si>
  <si>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</si>
  <si>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</si>
  <si>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</si>
  <si>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</si>
  <si>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</si>
  <si>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</si>
  <si>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</si>
  <si>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</si>
  <si>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</si>
  <si>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</si>
  <si>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</si>
  <si>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</si>
  <si>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</si>
  <si>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</si>
  <si>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</si>
  <si>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</si>
  <si>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</si>
  <si>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</si>
  <si>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</si>
  <si>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</si>
  <si>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</si>
  <si>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</si>
  <si>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</si>
  <si>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</si>
  <si>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</si>
  <si>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</si>
  <si>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</si>
  <si>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</si>
  <si>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</si>
  <si>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</si>
  <si>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</si>
  <si>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</si>
  <si>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</si>
  <si>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</si>
  <si>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</si>
  <si>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</si>
  <si>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</si>
  <si>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</si>
  <si>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</si>
  <si>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</si>
  <si>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</si>
  <si>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</si>
  <si>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</si>
  <si>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</si>
  <si>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</si>
  <si>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</si>
  <si>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</si>
  <si>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</si>
  <si>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</si>
  <si>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</si>
  <si>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</si>
  <si>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</si>
  <si>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</si>
  <si>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</si>
  <si>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</si>
  <si>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</si>
  <si>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</si>
  <si>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</si>
  <si>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</si>
  <si>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</si>
  <si>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</si>
  <si>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</si>
  <si>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</si>
  <si>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</si>
  <si>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</si>
  <si>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</si>
  <si>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</si>
  <si>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</si>
  <si>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</si>
  <si>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</si>
  <si>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</si>
  <si>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</si>
  <si>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</si>
  <si>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</si>
  <si>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</si>
  <si>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</si>
  <si>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</si>
  <si>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</si>
  <si>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</si>
  <si>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</si>
  <si>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</si>
  <si>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</si>
  <si>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</si>
  <si>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</si>
  <si>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</si>
  <si>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</si>
  <si>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</si>
  <si>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</si>
  <si>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</si>
  <si>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</si>
  <si>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</si>
  <si>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</si>
  <si>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</si>
  <si>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</si>
  <si>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</si>
  <si>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</si>
  <si>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</si>
  <si>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</si>
  <si>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</si>
  <si>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</si>
  <si>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</si>
  <si>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</si>
  <si>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</si>
  <si>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</si>
  <si>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</si>
  <si>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</si>
  <si>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</si>
  <si>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</si>
  <si>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</si>
  <si>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</si>
  <si>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</si>
  <si>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</si>
  <si>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</si>
  <si>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</si>
  <si>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</si>
  <si>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</si>
  <si>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</si>
  <si>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</si>
  <si>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</si>
  <si>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</si>
  <si>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</si>
  <si>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</si>
  <si>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</si>
  <si>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</si>
  <si>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</si>
  <si>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</si>
  <si>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</si>
  <si>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</si>
  <si>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</si>
  <si>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</si>
  <si>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</si>
  <si>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</si>
  <si>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</si>
  <si>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</si>
  <si>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</si>
  <si>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</si>
  <si>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</si>
  <si>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</si>
  <si>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</si>
  <si>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</si>
  <si>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</si>
  <si>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</si>
  <si>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</si>
  <si>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</si>
  <si>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</si>
  <si>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</si>
  <si>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</si>
  <si>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</si>
  <si>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</si>
  <si>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</si>
  <si>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</si>
  <si>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</si>
  <si>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</si>
  <si>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</si>
  <si>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</si>
  <si>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</si>
  <si>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</si>
  <si>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</si>
  <si>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</si>
  <si>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</si>
  <si>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</si>
  <si>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</si>
  <si>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</si>
  <si>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</si>
  <si>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</si>
  <si>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</si>
  <si>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</si>
  <si>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</si>
  <si>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</si>
  <si>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</si>
  <si>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</si>
  <si>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</si>
  <si>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</si>
  <si>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</si>
  <si>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</si>
  <si>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</si>
  <si>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</si>
  <si>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</si>
  <si>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</si>
  <si>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</si>
  <si>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</si>
  <si>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</si>
  <si>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</si>
  <si>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</si>
  <si>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</si>
  <si>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</si>
  <si>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</si>
  <si>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</si>
  <si>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</si>
  <si>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</si>
  <si>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</si>
  <si>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</si>
  <si>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</si>
  <si>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</si>
  <si>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</si>
  <si>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</si>
  <si>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</si>
  <si>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</si>
  <si>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</si>
  <si>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</si>
  <si>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</si>
  <si>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</si>
  <si>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</si>
  <si>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</si>
  <si>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</si>
  <si>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</si>
  <si>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</si>
  <si>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</si>
  <si>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</si>
  <si>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</si>
  <si>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</si>
  <si>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</si>
  <si>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</si>
  <si>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</si>
  <si>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</si>
  <si>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</si>
  <si>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</si>
  <si>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</si>
  <si>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</si>
  <si>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</si>
  <si>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</si>
  <si>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</si>
  <si>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</si>
  <si>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</si>
  <si>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</si>
  <si>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</si>
  <si>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</si>
  <si>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</si>
  <si>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</si>
  <si>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</si>
  <si>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</si>
  <si>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</si>
  <si>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</si>
  <si>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</si>
  <si>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</si>
  <si>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</si>
  <si>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</si>
  <si>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</si>
  <si>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</si>
  <si>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</si>
  <si>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</si>
  <si>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</si>
  <si>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</si>
  <si>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</si>
  <si>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</si>
  <si>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</si>
  <si>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</si>
  <si>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</si>
  <si>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</si>
  <si>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</si>
  <si>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</si>
  <si>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</si>
  <si>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</si>
  <si>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</si>
  <si>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</si>
  <si>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</si>
  <si>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</si>
  <si>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</si>
  <si>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</si>
  <si>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</si>
  <si>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</si>
  <si>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</si>
  <si>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</si>
  <si>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</si>
  <si>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</si>
  <si>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</si>
  <si>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</si>
  <si>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</si>
  <si>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</si>
  <si>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</si>
  <si>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</si>
  <si>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</si>
  <si>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</si>
  <si>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</si>
  <si>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</si>
  <si>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</si>
  <si>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</si>
  <si>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</si>
  <si>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</si>
  <si>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</si>
  <si>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</si>
  <si>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</si>
  <si>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</si>
  <si>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</si>
  <si>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</si>
  <si>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</si>
  <si>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</si>
  <si>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</si>
  <si>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</si>
  <si>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</si>
  <si>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</si>
  <si>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</si>
  <si>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</si>
  <si>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</si>
  <si>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</si>
  <si>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</si>
  <si>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</si>
  <si>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</si>
  <si>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</si>
  <si>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</si>
  <si>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</si>
  <si>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</si>
  <si>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</si>
  <si>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</si>
  <si>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</si>
  <si>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</si>
  <si>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</si>
  <si>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</si>
  <si>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</si>
  <si>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</si>
  <si>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</si>
  <si>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</si>
  <si>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</si>
  <si>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</si>
  <si>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</si>
  <si>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</si>
  <si>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</si>
  <si>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</si>
  <si>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</si>
  <si>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</si>
  <si>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</si>
  <si>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</si>
  <si>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</si>
  <si>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</si>
  <si>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</si>
  <si>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</si>
  <si>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</si>
  <si>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</si>
  <si>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</si>
  <si>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</si>
  <si>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</si>
  <si>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</si>
  <si>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</si>
  <si>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</si>
  <si>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</si>
  <si>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</si>
  <si>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</si>
  <si>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</si>
  <si>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</si>
  <si>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</si>
  <si>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</si>
  <si>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</si>
  <si>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</si>
  <si>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</si>
  <si>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</si>
  <si>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</si>
  <si>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</si>
  <si>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</si>
  <si>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</si>
  <si>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</si>
  <si>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</si>
  <si>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</si>
  <si>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</si>
  <si>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</si>
  <si>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</si>
  <si>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</si>
  <si>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</si>
  <si>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</si>
  <si>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</si>
  <si>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</si>
  <si>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</si>
  <si>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</si>
  <si>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</si>
  <si>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</si>
  <si>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</si>
  <si>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</si>
  <si>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</si>
  <si>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</si>
  <si>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</si>
  <si>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</si>
  <si>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</si>
  <si>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</si>
  <si>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</si>
  <si>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</si>
  <si>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</si>
  <si>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</si>
  <si>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</si>
  <si>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</si>
  <si>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</si>
  <si>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</si>
  <si>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</si>
  <si>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</si>
  <si>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</si>
  <si>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</si>
  <si>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</si>
  <si>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</si>
  <si>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</si>
  <si>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</si>
  <si>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</si>
  <si>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</si>
  <si>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</si>
  <si>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</si>
  <si>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</si>
  <si>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</si>
  <si>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</si>
  <si>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</si>
  <si>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</si>
  <si>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</si>
  <si>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</si>
  <si>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</si>
  <si>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</si>
  <si>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</si>
  <si>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</si>
  <si>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</si>
  <si>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</si>
  <si>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</si>
  <si>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</si>
  <si>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</si>
  <si>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</si>
  <si>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</si>
  <si>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</si>
  <si>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</si>
  <si>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</si>
  <si>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</si>
  <si>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</si>
  <si>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</si>
  <si>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</si>
  <si>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</si>
  <si>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</si>
  <si>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</si>
  <si>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</si>
  <si>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</si>
  <si>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</si>
  <si>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</si>
  <si>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</si>
  <si>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</si>
  <si>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</si>
  <si>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</si>
  <si>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</si>
  <si>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</si>
  <si>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</si>
  <si>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</si>
  <si>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</si>
  <si>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</si>
  <si>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</si>
  <si>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</si>
  <si>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</si>
  <si>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</si>
  <si>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</si>
  <si>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</si>
  <si>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</si>
  <si>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</si>
  <si>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</si>
  <si>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</si>
  <si>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</si>
  <si>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</si>
  <si>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</si>
  <si>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</si>
  <si>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</si>
  <si>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</si>
  <si>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</si>
  <si>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</si>
  <si>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</si>
  <si>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</si>
  <si>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</si>
  <si>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</si>
  <si>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</si>
  <si>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</si>
  <si>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</si>
  <si>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</si>
  <si>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</si>
  <si>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</si>
  <si>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</si>
  <si>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</si>
  <si>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</si>
  <si>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</si>
  <si>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</si>
  <si>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</si>
  <si>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</si>
  <si>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</si>
  <si>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</si>
  <si>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</si>
  <si>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</si>
  <si>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</si>
  <si>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</si>
  <si>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</si>
  <si>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</si>
  <si>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</si>
  <si>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</si>
  <si>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</si>
  <si>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</si>
  <si>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</si>
  <si>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</si>
  <si>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</si>
  <si>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</si>
  <si>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</si>
  <si>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</si>
  <si>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</si>
  <si>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</si>
  <si>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</si>
  <si>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</si>
  <si>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</si>
  <si>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</si>
  <si>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</si>
  <si>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</si>
  <si>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</si>
  <si>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</si>
  <si>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</si>
  <si>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</si>
  <si>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</si>
  <si>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</si>
  <si>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</si>
  <si>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</si>
  <si>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</si>
  <si>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</si>
  <si>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</si>
  <si>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</si>
  <si>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</si>
  <si>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</si>
  <si>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</si>
  <si>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</si>
  <si>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</si>
  <si>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</si>
  <si>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</si>
  <si>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</si>
  <si>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</si>
  <si>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</si>
  <si>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</si>
  <si>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</si>
  <si>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</si>
  <si>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</si>
  <si>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</si>
  <si>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</si>
  <si>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</si>
  <si>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</si>
  <si>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</si>
  <si>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</si>
  <si>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</si>
  <si>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</si>
  <si>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</si>
  <si>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</si>
  <si>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</si>
  <si>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</si>
  <si>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</si>
  <si>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</si>
  <si>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</si>
  <si>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</si>
  <si>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</si>
  <si>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</si>
  <si>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</si>
  <si>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</si>
  <si>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</si>
  <si>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</si>
  <si>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</si>
  <si>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</si>
  <si>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</si>
  <si>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</si>
  <si>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</si>
  <si>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</si>
  <si>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</si>
  <si>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</si>
  <si>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</si>
  <si>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</si>
  <si>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</si>
  <si>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</si>
  <si>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</si>
  <si>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</si>
  <si>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</si>
  <si>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</si>
  <si>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</si>
  <si>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</si>
  <si>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</si>
  <si>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</si>
  <si>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</si>
  <si>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</si>
  <si>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</si>
  <si>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</si>
  <si>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</si>
  <si>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</si>
  <si>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</si>
  <si>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</si>
  <si>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</si>
  <si>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</si>
  <si>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</si>
  <si>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</si>
  <si>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</si>
  <si>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</si>
  <si>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</si>
  <si>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</si>
  <si>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</si>
  <si>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</si>
  <si>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</si>
  <si>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</si>
  <si>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</si>
  <si>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</si>
  <si>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</si>
  <si>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</si>
  <si>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</si>
  <si>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</si>
  <si>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</si>
  <si>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</si>
  <si>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</si>
  <si>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</si>
  <si>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</si>
  <si>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</si>
  <si>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</si>
  <si>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</si>
  <si>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</si>
  <si>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</si>
  <si>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</si>
  <si>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</si>
  <si>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</si>
  <si>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</si>
  <si>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</si>
  <si>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</si>
  <si>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</si>
  <si>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</si>
  <si>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</si>
  <si>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</si>
  <si>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</si>
  <si>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</si>
  <si>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</si>
  <si>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</si>
  <si>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</si>
  <si>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</si>
  <si>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</si>
  <si>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</si>
  <si>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</si>
  <si>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</si>
  <si>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</si>
  <si>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</si>
  <si>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</si>
  <si>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</si>
  <si>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</si>
  <si>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</si>
  <si>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</si>
  <si>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</si>
  <si>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</si>
  <si>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</si>
  <si>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</si>
  <si>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</si>
  <si>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</si>
  <si>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</si>
  <si>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</si>
  <si>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</si>
  <si>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</si>
  <si>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</si>
  <si>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</si>
  <si>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</si>
  <si>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</si>
  <si>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</si>
  <si>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</si>
  <si>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</si>
  <si>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</si>
  <si>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</si>
  <si>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</si>
  <si>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</si>
  <si>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</si>
  <si>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</si>
  <si>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</si>
  <si>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</si>
  <si>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</si>
  <si>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</si>
  <si>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</si>
  <si>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</si>
  <si>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</si>
  <si>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</si>
  <si>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</si>
  <si>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</si>
  <si>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</si>
  <si>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</si>
  <si>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</si>
  <si>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</si>
  <si>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</si>
  <si>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</si>
  <si>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</si>
  <si>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</si>
  <si>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</si>
  <si>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</si>
  <si>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</si>
  <si>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</si>
  <si>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</si>
  <si>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</si>
  <si>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</si>
  <si>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</si>
  <si>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</si>
  <si>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</si>
  <si>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</si>
  <si>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</si>
  <si>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</si>
  <si>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</si>
  <si>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</si>
  <si>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</si>
  <si>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</si>
  <si>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</si>
  <si>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</si>
  <si>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</si>
  <si>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</si>
  <si>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</si>
  <si>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</si>
  <si>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</si>
  <si>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</si>
  <si>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</si>
  <si>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</si>
  <si>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</si>
  <si>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</si>
  <si>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</si>
  <si>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</si>
  <si>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</si>
  <si>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</si>
  <si>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</si>
  <si>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</si>
  <si>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</si>
  <si>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</si>
  <si>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</si>
  <si>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</si>
  <si>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</si>
  <si>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</si>
  <si>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</si>
  <si>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</si>
  <si>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</si>
  <si>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</si>
  <si>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</si>
  <si>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</si>
  <si>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</si>
  <si>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</si>
  <si>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</si>
  <si>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</si>
  <si>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</si>
  <si>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</si>
  <si>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</si>
  <si>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</si>
  <si>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</si>
  <si>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</si>
  <si>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</si>
  <si>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</si>
  <si>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</si>
  <si>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</si>
  <si>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</si>
  <si>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</si>
  <si>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</si>
  <si>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</si>
  <si>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</si>
  <si>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</si>
  <si>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</si>
  <si>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</si>
  <si>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</si>
  <si>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</si>
  <si>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</si>
  <si>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</si>
  <si>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</si>
  <si>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</si>
  <si>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</si>
  <si>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</si>
  <si>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</si>
  <si>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</si>
  <si>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</si>
  <si>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</si>
  <si>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</si>
  <si>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</si>
  <si>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</si>
  <si>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</si>
  <si>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</si>
  <si>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</si>
  <si>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</si>
  <si>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</si>
  <si>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</si>
  <si>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</si>
  <si>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</si>
  <si>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</si>
  <si>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</si>
  <si>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</si>
  <si>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</si>
  <si>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</si>
  <si>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</si>
  <si>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</si>
  <si>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</si>
  <si>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</si>
  <si>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</si>
  <si>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</si>
  <si>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</si>
  <si>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</si>
  <si>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</si>
  <si>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</si>
  <si>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</si>
  <si>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</si>
  <si>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</si>
  <si>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</si>
  <si>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</si>
  <si>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</si>
  <si>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</si>
  <si>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</si>
  <si>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</si>
  <si>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</si>
  <si>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</si>
  <si>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</si>
  <si>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</si>
  <si>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</si>
  <si>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</si>
  <si>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</si>
  <si>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</si>
  <si>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</si>
  <si>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</si>
  <si>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</si>
  <si>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</si>
  <si>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</si>
  <si>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</si>
  <si>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</si>
  <si>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</si>
  <si>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</si>
  <si>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</si>
  <si>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</si>
  <si>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</si>
  <si>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</si>
  <si>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</si>
  <si>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</si>
  <si>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</si>
  <si>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</si>
  <si>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</si>
  <si>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</si>
  <si>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</si>
  <si>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</si>
  <si>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</si>
  <si>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</si>
  <si>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</si>
  <si>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</si>
  <si>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</si>
  <si>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</si>
  <si>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</si>
  <si>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</si>
  <si>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</si>
  <si>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</si>
  <si>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</si>
  <si>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</si>
  <si>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</si>
  <si>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</si>
  <si>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</si>
  <si>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</si>
  <si>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</si>
  <si>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</si>
  <si>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</si>
  <si>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</si>
  <si>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</si>
  <si>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</si>
  <si>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</si>
  <si>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</si>
  <si>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</si>
  <si>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</si>
  <si>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</si>
  <si>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</si>
  <si>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</si>
  <si>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</si>
  <si>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</si>
  <si>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</si>
  <si>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</si>
  <si>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</si>
  <si>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</si>
  <si>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</si>
  <si>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</si>
  <si>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</si>
  <si>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</si>
  <si>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</si>
  <si>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</si>
  <si>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</si>
  <si>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</si>
  <si>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</si>
  <si>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</si>
  <si>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</si>
  <si>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</si>
  <si>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</si>
  <si>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</si>
  <si>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</si>
  <si>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</si>
  <si>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</si>
  <si>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</si>
  <si>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</si>
  <si>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</si>
  <si>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</si>
  <si>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</si>
  <si>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</si>
  <si>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</si>
  <si>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</si>
  <si>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</si>
  <si>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</si>
  <si>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</si>
  <si>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</si>
  <si>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</si>
  <si>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</si>
  <si>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</si>
  <si>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</si>
  <si>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</si>
  <si>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</si>
  <si>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</si>
  <si>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</si>
  <si>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</si>
  <si>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</si>
  <si>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</si>
  <si>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</si>
  <si>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</si>
  <si>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</si>
  <si>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</si>
  <si>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</si>
  <si>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</si>
  <si>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</si>
  <si>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</si>
  <si>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</si>
  <si>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</si>
  <si>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</si>
  <si>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</si>
  <si>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</si>
  <si>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</si>
  <si>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</si>
  <si>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</si>
  <si>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</si>
  <si>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</si>
  <si>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</si>
  <si>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</si>
  <si>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</si>
  <si>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</si>
  <si>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</si>
  <si>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</si>
  <si>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</si>
  <si>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</si>
  <si>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</si>
  <si>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</si>
  <si>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</si>
  <si>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</si>
  <si>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</si>
  <si>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</si>
  <si>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</si>
  <si>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</si>
  <si>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</si>
  <si>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</si>
  <si>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</si>
  <si>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</si>
  <si>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</si>
  <si>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</si>
  <si>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</si>
  <si>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</si>
  <si>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</si>
  <si>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</si>
  <si>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</si>
  <si>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</si>
  <si>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</si>
  <si>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</si>
  <si>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</si>
  <si>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</si>
  <si>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</si>
  <si>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</si>
  <si>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</si>
  <si>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</si>
  <si>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</si>
  <si>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</si>
  <si>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</si>
  <si>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</si>
  <si>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</si>
  <si>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</si>
  <si>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</si>
  <si>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</si>
  <si>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</si>
  <si>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</si>
  <si>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</si>
  <si>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</si>
  <si>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</si>
  <si>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</si>
  <si>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</si>
  <si>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</si>
  <si>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</si>
  <si>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</si>
  <si>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</si>
  <si>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</si>
  <si>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</si>
  <si>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</si>
  <si>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</si>
  <si>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</si>
  <si>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</si>
  <si>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</si>
  <si>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</si>
  <si>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</si>
  <si>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</si>
  <si>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</si>
  <si>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</si>
  <si>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</si>
  <si>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</si>
  <si>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</si>
  <si>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</si>
  <si>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</si>
  <si>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</si>
  <si>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</si>
  <si>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</si>
  <si>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</si>
  <si>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</si>
  <si>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</si>
  <si>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</si>
  <si>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</si>
  <si>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</si>
  <si>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</si>
  <si>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</si>
  <si>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</si>
  <si>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</si>
  <si>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</si>
  <si>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</si>
  <si>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</si>
  <si>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</si>
  <si>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</si>
  <si>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</si>
  <si>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</si>
  <si>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</si>
  <si>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</si>
  <si>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</si>
  <si>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</si>
  <si>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</si>
  <si>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</si>
  <si>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</si>
  <si>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</si>
  <si>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</si>
  <si>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</si>
  <si>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</si>
  <si>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</si>
  <si>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</si>
  <si>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</si>
  <si>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</si>
  <si>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</si>
  <si>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</si>
  <si>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</si>
  <si>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</si>
  <si>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</si>
  <si>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</si>
  <si>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</si>
  <si>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</si>
  <si>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</si>
  <si>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</si>
  <si>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</si>
  <si>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</si>
  <si>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</si>
  <si>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</si>
  <si>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</si>
  <si>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</si>
  <si>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</si>
  <si>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</si>
  <si>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</si>
  <si>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</si>
  <si>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</si>
  <si>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</si>
  <si>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</si>
  <si>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</si>
  <si>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</si>
  <si>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</si>
  <si>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</si>
  <si>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</si>
  <si>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</si>
  <si>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</si>
  <si>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</si>
  <si>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</si>
  <si>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</si>
  <si>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</si>
  <si>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</si>
  <si>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</si>
  <si>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</si>
  <si>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</si>
  <si>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</si>
  <si>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</si>
  <si>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</si>
  <si>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</si>
  <si>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</si>
  <si>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</si>
  <si>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</si>
  <si>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</si>
  <si>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</si>
  <si>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</si>
  <si>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</si>
  <si>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</si>
  <si>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</si>
  <si>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</si>
  <si>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</si>
  <si>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</si>
  <si>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</si>
  <si>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</si>
  <si>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</si>
  <si>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</si>
  <si>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</si>
  <si>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</si>
  <si>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</si>
  <si>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</si>
  <si>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</si>
  <si>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</si>
  <si>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</si>
  <si>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</si>
  <si>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</si>
  <si>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</si>
  <si>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</si>
  <si>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</si>
  <si>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</si>
  <si>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</si>
  <si>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</si>
  <si>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</si>
  <si>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</si>
  <si>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</si>
  <si>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</si>
  <si>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</si>
  <si>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</si>
  <si>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</si>
  <si>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</si>
  <si>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</si>
  <si>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</si>
  <si>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</si>
  <si>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</si>
  <si>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</si>
  <si>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</si>
  <si>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</si>
  <si>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</si>
  <si>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</si>
  <si>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</si>
  <si>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</si>
  <si>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</si>
  <si>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</si>
  <si>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</si>
  <si>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</si>
  <si>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</si>
  <si>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</si>
  <si>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</si>
  <si>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</si>
  <si>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</si>
  <si>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</si>
  <si>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</si>
  <si>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</si>
  <si>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</si>
  <si>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</si>
  <si>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</si>
  <si>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</si>
  <si>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</si>
  <si>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</si>
  <si>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</si>
  <si>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</si>
  <si>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</si>
  <si>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</si>
  <si>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</si>
  <si>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</si>
  <si>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</si>
  <si>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</si>
  <si>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</si>
  <si>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</si>
  <si>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</si>
  <si>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</si>
  <si>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</si>
  <si>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</si>
  <si>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</si>
  <si>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</si>
  <si>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</si>
  <si>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</si>
  <si>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</si>
  <si>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</si>
  <si>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</si>
  <si>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</si>
  <si>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</si>
  <si>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</si>
  <si>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</si>
  <si>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</si>
  <si>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</si>
  <si>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</si>
  <si>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</si>
  <si>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</si>
  <si>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</si>
  <si>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</si>
  <si>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</si>
  <si>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</si>
  <si>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</si>
  <si>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</si>
  <si>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</si>
  <si>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</si>
  <si>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</si>
  <si>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</si>
  <si>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</si>
  <si>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</si>
  <si>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</si>
  <si>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</si>
  <si>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</si>
  <si>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</si>
  <si>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</si>
  <si>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</si>
  <si>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</si>
  <si>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</si>
  <si>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</si>
  <si>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</si>
  <si>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</si>
  <si>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</si>
  <si>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</si>
  <si>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</si>
  <si>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</si>
  <si>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</si>
  <si>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</si>
  <si>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</si>
  <si>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</si>
  <si>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</si>
  <si>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</si>
  <si>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</si>
  <si>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</si>
  <si>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</si>
  <si>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</si>
  <si>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</si>
  <si>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</si>
  <si>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</si>
  <si>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</si>
  <si>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</si>
  <si>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</si>
  <si>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</si>
  <si>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</si>
  <si>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</si>
  <si>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</si>
  <si>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</si>
  <si>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</si>
  <si>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</si>
  <si>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</si>
  <si>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</si>
  <si>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</si>
  <si>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</si>
  <si>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</si>
  <si>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</si>
  <si>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</si>
  <si>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</si>
  <si>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</si>
  <si>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</si>
  <si>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</si>
  <si>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</si>
  <si>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</si>
  <si>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</si>
  <si>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</si>
  <si>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</si>
  <si>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</si>
  <si>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</si>
  <si>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</si>
  <si>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</si>
  <si>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</si>
  <si>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</si>
  <si>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</si>
  <si>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</si>
  <si>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</si>
  <si>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</si>
  <si>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</si>
  <si>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</si>
  <si>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</si>
  <si>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</si>
  <si>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</si>
  <si>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</si>
  <si>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</si>
  <si>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</si>
  <si>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</si>
  <si>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</si>
  <si>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</si>
  <si>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</si>
  <si>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</si>
  <si>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</si>
  <si>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</si>
  <si>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</si>
  <si>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</si>
  <si>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</si>
  <si>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</si>
  <si>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</si>
  <si>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</si>
  <si>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</si>
  <si>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</si>
  <si>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</si>
  <si>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</si>
  <si>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</si>
  <si>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</si>
  <si>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</si>
  <si>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</si>
  <si>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</si>
  <si>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</si>
  <si>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</si>
  <si>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</si>
  <si>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</si>
  <si>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</si>
  <si>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</si>
  <si>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</si>
  <si>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</si>
  <si>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</si>
  <si>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</si>
  <si>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</si>
  <si>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</si>
  <si>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</si>
  <si>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</si>
  <si>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</si>
  <si>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</si>
  <si>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</si>
  <si>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</si>
  <si>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</si>
  <si>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</si>
  <si>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</si>
  <si>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</si>
  <si>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</si>
  <si>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</si>
  <si>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</si>
  <si>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</si>
  <si>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</si>
  <si>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</si>
  <si>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</si>
  <si>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</si>
  <si>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</si>
  <si>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</si>
  <si>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</si>
  <si>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</si>
  <si>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</si>
  <si>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</si>
  <si>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</si>
  <si>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</si>
  <si>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</si>
  <si>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</si>
  <si>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</si>
  <si>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</si>
  <si>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</si>
  <si>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</si>
  <si>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</si>
  <si>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</si>
  <si>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</si>
  <si>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</si>
  <si>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</si>
  <si>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</si>
  <si>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</si>
  <si>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</si>
  <si>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</si>
  <si>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</si>
  <si>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</si>
  <si>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</si>
  <si>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</si>
  <si>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</si>
  <si>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</si>
  <si>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</si>
  <si>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</si>
  <si>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</si>
  <si>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</si>
  <si>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</si>
  <si>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</si>
  <si>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</si>
  <si>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</si>
  <si>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</si>
  <si>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</si>
  <si>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</si>
  <si>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</si>
  <si>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</si>
  <si>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</si>
  <si>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</si>
  <si>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</si>
  <si>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</si>
  <si>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</si>
  <si>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</si>
  <si>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</si>
  <si>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</si>
  <si>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</si>
  <si>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</si>
  <si>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</si>
  <si>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</si>
  <si>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</si>
  <si>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</si>
  <si>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</si>
  <si>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</si>
  <si>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</si>
  <si>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</si>
  <si>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</si>
  <si>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</si>
  <si>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</si>
  <si>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</si>
  <si>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</si>
  <si>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</si>
  <si>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</si>
  <si>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</si>
  <si>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</si>
  <si>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</si>
  <si>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</si>
  <si>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</si>
  <si>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</si>
  <si>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</si>
  <si>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</si>
  <si>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</si>
  <si>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</si>
  <si>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</si>
  <si>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</si>
  <si>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</si>
  <si>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</si>
  <si>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</si>
  <si>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</si>
  <si>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</si>
  <si>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</si>
  <si>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</si>
  <si>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</si>
  <si>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</si>
  <si>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</si>
  <si>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</si>
  <si>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</si>
  <si>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</si>
  <si>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</si>
  <si>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</si>
  <si>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</si>
  <si>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</si>
  <si>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</si>
  <si>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</si>
  <si>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</si>
  <si>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</si>
  <si>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</si>
  <si>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</si>
  <si>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</si>
  <si>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</si>
  <si>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</si>
  <si>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</si>
  <si>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</si>
  <si>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</si>
  <si>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</si>
  <si>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</si>
  <si>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</si>
  <si>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</si>
  <si>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</si>
  <si>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</si>
  <si>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</si>
  <si>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</si>
  <si>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</si>
  <si>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</si>
  <si>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</si>
  <si>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</si>
  <si>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</si>
  <si>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</si>
  <si>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</si>
  <si>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</si>
  <si>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</si>
  <si>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</si>
  <si>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</si>
  <si>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</si>
  <si>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</si>
  <si>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</si>
  <si>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</si>
  <si>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</si>
  <si>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</si>
  <si>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</si>
  <si>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</si>
  <si>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</si>
  <si>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</si>
  <si>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</si>
  <si>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</si>
  <si>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</si>
  <si>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</si>
  <si>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</si>
  <si>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</si>
  <si>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</si>
  <si>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</si>
  <si>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</si>
  <si>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</si>
  <si>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</si>
  <si>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</si>
  <si>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</si>
  <si>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</si>
  <si>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</si>
  <si>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</si>
  <si>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</si>
  <si>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</si>
  <si>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</si>
  <si>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</si>
  <si>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</si>
  <si>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</si>
  <si>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</si>
  <si>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</si>
  <si>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</si>
  <si>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</si>
  <si>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</si>
  <si>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</si>
  <si>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</si>
  <si>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</si>
  <si>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</si>
  <si>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</si>
  <si>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</si>
  <si>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</si>
  <si>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</si>
  <si>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</si>
  <si>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</si>
  <si>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</si>
  <si>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</si>
  <si>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</si>
  <si>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</si>
  <si>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</si>
  <si>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</si>
  <si>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</si>
  <si>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</si>
  <si>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</si>
  <si>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</si>
  <si>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</si>
  <si>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</si>
  <si>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</si>
  <si>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</si>
  <si>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</si>
  <si>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</si>
  <si>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</si>
  <si>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</si>
  <si>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</si>
  <si>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</si>
  <si>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</si>
  <si>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</si>
  <si>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</si>
  <si>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</si>
  <si>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</si>
  <si>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</si>
  <si>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</si>
  <si>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</si>
  <si>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</si>
  <si>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</si>
  <si>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</si>
  <si>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</si>
  <si>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</si>
  <si>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</si>
  <si>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</si>
  <si>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</si>
  <si>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</si>
  <si>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</si>
  <si>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</si>
  <si>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</si>
  <si>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</si>
  <si>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</si>
  <si>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</si>
  <si>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</si>
  <si>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</si>
  <si>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</si>
  <si>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</si>
  <si>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</si>
  <si>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</si>
  <si>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</si>
  <si>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</si>
  <si>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</si>
  <si>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</si>
  <si>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</si>
  <si>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</si>
  <si>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</si>
  <si>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</si>
  <si>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</si>
  <si>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</si>
  <si>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</si>
  <si>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</si>
  <si>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</si>
  <si>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</si>
  <si>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</si>
  <si>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</si>
  <si>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</si>
  <si>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</si>
  <si>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</si>
  <si>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</si>
  <si>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</si>
  <si>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</si>
  <si>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</si>
  <si>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</si>
  <si>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</si>
  <si>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</si>
  <si>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</si>
  <si>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</si>
  <si>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</si>
  <si>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</si>
  <si>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</si>
  <si>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</si>
  <si>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</si>
  <si>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</si>
  <si>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</si>
  <si>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</si>
  <si>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</si>
  <si>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</si>
  <si>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</si>
  <si>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</si>
  <si>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</si>
  <si>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</si>
  <si>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</si>
  <si>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</si>
  <si>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</si>
  <si>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</si>
  <si>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</si>
  <si>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</si>
  <si>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</si>
  <si>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</si>
  <si>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</si>
  <si>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</si>
  <si>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</si>
  <si>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</si>
  <si>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</si>
  <si>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</si>
  <si>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</si>
  <si>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</si>
  <si>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</si>
  <si>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</si>
  <si>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</si>
  <si>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</si>
  <si>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</si>
  <si>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</si>
  <si>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</si>
  <si>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</si>
  <si>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</si>
  <si>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</si>
  <si>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</si>
  <si>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</si>
  <si>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</si>
  <si>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</si>
  <si>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</si>
  <si>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</si>
  <si>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</si>
  <si>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</si>
  <si>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</si>
  <si>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</si>
  <si>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</si>
  <si>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</si>
  <si>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</si>
  <si>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</si>
  <si>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</si>
  <si>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</si>
  <si>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</si>
  <si>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</si>
  <si>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</si>
  <si>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</si>
  <si>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</si>
  <si>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</si>
  <si>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</si>
  <si>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</si>
  <si>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</si>
  <si>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</si>
  <si>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</si>
  <si>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</si>
  <si>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</si>
  <si>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</si>
  <si>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</si>
  <si>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</si>
  <si>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</si>
  <si>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</si>
  <si>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</si>
  <si>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</si>
  <si>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</si>
  <si>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</si>
  <si>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</si>
  <si>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</si>
  <si>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</si>
  <si>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</si>
  <si>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</si>
  <si>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</si>
  <si>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</si>
  <si>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</si>
  <si>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</si>
  <si>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</si>
  <si>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</si>
  <si>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</si>
  <si>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</si>
  <si>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</si>
  <si>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</si>
  <si>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</si>
  <si>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</si>
  <si>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</si>
  <si>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</si>
  <si>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</si>
  <si>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</si>
  <si>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</si>
  <si>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</si>
  <si>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</si>
  <si>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</si>
  <si>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</si>
  <si>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</si>
  <si>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</si>
  <si>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</si>
  <si>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</si>
  <si>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</si>
  <si>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</si>
  <si>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</si>
  <si>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</si>
  <si>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</si>
  <si>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</si>
  <si>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</si>
  <si>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</si>
  <si>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</si>
  <si>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</si>
  <si>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</si>
  <si>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</si>
  <si>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</si>
  <si>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</si>
  <si>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</si>
  <si>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</si>
  <si>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</si>
  <si>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</si>
  <si>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</si>
  <si>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</si>
  <si>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</si>
  <si>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</si>
  <si>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</si>
  <si>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</si>
  <si>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</si>
  <si>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</si>
  <si>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</si>
  <si>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</si>
  <si>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</si>
  <si>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</si>
  <si>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</si>
  <si>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</si>
  <si>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</si>
  <si>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</si>
  <si>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</si>
  <si>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</si>
  <si>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</si>
  <si>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</si>
  <si>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</si>
  <si>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</si>
  <si>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</si>
  <si>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</si>
  <si>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</si>
  <si>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</si>
  <si>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</si>
  <si>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</si>
  <si>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</si>
  <si>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</si>
  <si>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</si>
  <si>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</si>
  <si>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</si>
  <si>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</si>
  <si>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</si>
  <si>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</si>
  <si>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</si>
  <si>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</si>
  <si>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</si>
  <si>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</si>
  <si>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</si>
  <si>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</si>
  <si>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</si>
  <si>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</si>
  <si>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</si>
  <si>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</si>
  <si>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</si>
  <si>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</si>
  <si>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</si>
  <si>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</si>
  <si>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</si>
  <si>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</si>
  <si>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</si>
  <si>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</si>
  <si>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</si>
  <si>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</si>
  <si>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</si>
  <si>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</si>
  <si>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</si>
  <si>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</si>
  <si>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</si>
  <si>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</si>
  <si>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</si>
  <si>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</si>
  <si>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</si>
  <si>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</si>
  <si>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</si>
  <si>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</si>
  <si>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</si>
  <si>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</si>
  <si>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</si>
  <si>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</si>
  <si>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</si>
  <si>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</si>
  <si>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</si>
  <si>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</si>
  <si>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</si>
  <si>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</si>
  <si>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</si>
  <si>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</si>
  <si>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</si>
  <si>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</si>
  <si>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</si>
  <si>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</si>
  <si>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</si>
  <si>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</si>
  <si>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</si>
  <si>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</si>
  <si>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</si>
  <si>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</si>
  <si>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</si>
  <si>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</si>
  <si>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</si>
  <si>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</si>
  <si>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</si>
  <si>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</si>
  <si>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</si>
  <si>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</si>
  <si>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</si>
  <si>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</si>
  <si>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</si>
  <si>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</si>
  <si>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</si>
  <si>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</si>
  <si>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</si>
  <si>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</si>
  <si>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</si>
  <si>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</si>
  <si>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</si>
  <si>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</si>
  <si>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</si>
  <si>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</si>
  <si>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</si>
  <si>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</si>
  <si>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</si>
  <si>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</si>
  <si>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</si>
  <si>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</si>
  <si>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</si>
  <si>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</si>
  <si>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</si>
  <si>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</si>
  <si>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</si>
  <si>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</si>
  <si>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</si>
  <si>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</si>
  <si>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</si>
  <si>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</si>
  <si>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</si>
  <si>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</si>
  <si>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</si>
  <si>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</si>
  <si>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</si>
  <si>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</si>
  <si>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</si>
  <si>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</si>
  <si>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</si>
  <si>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</si>
  <si>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</si>
  <si>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</si>
  <si>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</si>
  <si>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</si>
  <si>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</si>
  <si>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</si>
  <si>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</si>
  <si>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</si>
  <si>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</si>
  <si>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</si>
  <si>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</si>
  <si>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</si>
  <si>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</si>
  <si>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</si>
  <si>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</si>
  <si>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</si>
  <si>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</si>
  <si>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</si>
  <si>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</si>
  <si>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</si>
  <si>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</si>
  <si>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</si>
  <si>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</si>
  <si>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</si>
  <si>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</si>
  <si>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</si>
  <si>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</si>
  <si>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</si>
  <si>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</si>
  <si>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</si>
  <si>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</si>
  <si>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</si>
  <si>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</si>
  <si>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</si>
  <si>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</si>
  <si>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</si>
  <si>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</si>
  <si>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</si>
  <si>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</si>
  <si>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</si>
  <si>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</si>
  <si>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</si>
  <si>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</si>
  <si>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</si>
  <si>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</si>
  <si>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</si>
  <si>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</si>
  <si>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</si>
  <si>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</si>
  <si>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</si>
  <si>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</si>
  <si>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</si>
  <si>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</si>
  <si>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</si>
  <si>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</si>
  <si>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</si>
  <si>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</si>
  <si>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</si>
  <si>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</si>
  <si>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</si>
  <si>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</si>
  <si>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</si>
  <si>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</si>
  <si>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</si>
  <si>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</si>
  <si>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</si>
  <si>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</si>
  <si>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</si>
  <si>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</si>
  <si>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</si>
  <si>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</si>
  <si>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</si>
  <si>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</si>
  <si>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</si>
  <si>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</si>
  <si>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</si>
  <si>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</si>
  <si>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</si>
  <si>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</si>
  <si>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</si>
  <si>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</si>
  <si>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</si>
  <si>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</si>
  <si>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</si>
  <si>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</si>
  <si>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</si>
  <si>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</si>
  <si>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</si>
  <si>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</si>
  <si>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</si>
  <si>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</si>
  <si>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</si>
  <si>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</si>
  <si>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</si>
  <si>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</si>
  <si>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</si>
  <si>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</si>
  <si>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</si>
  <si>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</si>
  <si>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</si>
  <si>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</si>
  <si>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</si>
  <si>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</si>
  <si>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</si>
  <si>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</si>
  <si>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</si>
  <si>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</si>
  <si>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</si>
  <si>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</si>
  <si>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</si>
  <si>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</si>
  <si>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</si>
  <si>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</si>
  <si>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</si>
  <si>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</si>
  <si>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</si>
  <si>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</si>
  <si>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</si>
  <si>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</si>
  <si>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</si>
  <si>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</si>
  <si>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</si>
  <si>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</si>
  <si>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</si>
  <si>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</si>
  <si>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</si>
  <si>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</si>
  <si>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</si>
  <si>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</si>
  <si>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</si>
  <si>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</si>
  <si>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</si>
  <si>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</si>
  <si>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</si>
  <si>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</si>
  <si>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</si>
  <si>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</si>
  <si>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</si>
  <si>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</si>
  <si>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</si>
  <si>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</si>
  <si>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</si>
  <si>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</si>
  <si>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</si>
  <si>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</si>
  <si>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</si>
  <si>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</si>
  <si>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</si>
  <si>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</si>
  <si>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</si>
  <si>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</si>
  <si>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</si>
  <si>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</si>
  <si>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</si>
  <si>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</si>
  <si>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</si>
  <si>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</si>
  <si>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</si>
  <si>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</si>
  <si>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</si>
  <si>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</si>
  <si>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</si>
  <si>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</si>
  <si>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</si>
  <si>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</si>
  <si>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</si>
  <si>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</si>
  <si>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</si>
  <si>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</si>
  <si>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</si>
  <si>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</si>
  <si>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</si>
  <si>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</si>
  <si>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</si>
  <si>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</si>
  <si>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</si>
  <si>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</si>
  <si>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</si>
  <si>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</si>
  <si>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</si>
  <si>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</si>
  <si>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</si>
  <si>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</si>
  <si>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</si>
  <si>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</si>
  <si>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</si>
  <si>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</si>
  <si>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</si>
  <si>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</si>
  <si>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</si>
  <si>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</si>
  <si>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</si>
  <si>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</si>
  <si>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</si>
  <si>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</si>
  <si>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</si>
  <si>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</si>
  <si>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</si>
  <si>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</si>
  <si>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</si>
  <si>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</si>
  <si>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</si>
  <si>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</si>
  <si>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</si>
  <si>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</si>
  <si>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</si>
  <si>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</si>
  <si>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</si>
  <si>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</si>
  <si>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</si>
  <si>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</si>
  <si>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</si>
  <si>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</si>
  <si>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</si>
  <si>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</si>
  <si>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</si>
  <si>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</si>
  <si>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</si>
  <si>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</si>
  <si>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</si>
  <si>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</si>
  <si>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</si>
  <si>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</si>
  <si>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</si>
  <si>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</si>
  <si>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</si>
  <si>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</si>
  <si>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</si>
  <si>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</si>
  <si>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</si>
  <si>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</si>
  <si>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</si>
  <si>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</si>
  <si>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</si>
  <si>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</si>
  <si>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</si>
  <si>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</si>
  <si>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</si>
  <si>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</si>
  <si>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</si>
  <si>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</si>
  <si>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</si>
  <si>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</si>
  <si>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</si>
  <si>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</si>
  <si>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</si>
  <si>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</si>
  <si>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</si>
  <si>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</si>
  <si>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</si>
  <si>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</si>
  <si>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</si>
  <si>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</si>
  <si>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100 North Amos Avenue</t>
  </si>
  <si>
    <t>Springfield</t>
  </si>
  <si>
    <t>IL</t>
  </si>
  <si>
    <t>(217) 787-0563</t>
  </si>
  <si>
    <t>(217) 787-9266</t>
  </si>
  <si>
    <t>060-004845</t>
  </si>
  <si>
    <t>x</t>
  </si>
  <si>
    <t>2500 Taylor Ave</t>
  </si>
  <si>
    <t>Springfield, IL</t>
  </si>
  <si>
    <t>dfitzgerald@p-dcpas.com</t>
  </si>
  <si>
    <t>Dorinda L Fitzgerald</t>
  </si>
  <si>
    <t>Mark Strawn, Director</t>
  </si>
  <si>
    <t>strawn@sased.com</t>
  </si>
  <si>
    <t>(217) 786-3250</t>
  </si>
  <si>
    <t>(217) 786-3652</t>
  </si>
  <si>
    <t>Part C, 23 - Other than cash basis, the Auditor's Report is qualified due to SASED not having a formal record keeping system to track fixed assets accounted for in the General Fixed Asset Account Group.</t>
  </si>
  <si>
    <t>Outreach - Admin Assessment Fee</t>
  </si>
  <si>
    <t>US Department of Education passed through the IL State Board of Education:</t>
  </si>
  <si>
    <t>Special Education Grants to States-Fed.- Sp. Ed. - IDEA Flow Through  (M)</t>
  </si>
  <si>
    <t>84.027A</t>
  </si>
  <si>
    <t>2018-4620</t>
  </si>
  <si>
    <t>2019-4620</t>
  </si>
  <si>
    <t xml:space="preserve">     Total CFDA 84.027A</t>
  </si>
  <si>
    <t xml:space="preserve">   Total CFDA 84.173A</t>
  </si>
  <si>
    <t>Special Education Grants to States-Fed.- Sp. Ed. - Preschool Flow Through  (M)</t>
  </si>
  <si>
    <t>84.173A</t>
  </si>
  <si>
    <t>2018-4600</t>
  </si>
  <si>
    <t>2019-4600</t>
  </si>
  <si>
    <t>IL Department of Education passed through the IL Department of Human Services:</t>
  </si>
  <si>
    <t>Rehabilitation Svcs-Vocational Rehabilitation Grants to States</t>
  </si>
  <si>
    <t>TOTAL US DEPT OF EDUC PASSED THROUGH THE IL DEPT OF HUMAN SVC - CFDA #84.126</t>
  </si>
  <si>
    <t>TOTAL US DEPT OF EDUC PASSED THROUGH THE IL STATE BOARD OF EDUC - SPECIAL EDUC CLUSTER</t>
  </si>
  <si>
    <t>46CWF00001</t>
  </si>
  <si>
    <t>46CXF00001</t>
  </si>
  <si>
    <t>Medicaid Assistance Program-Administrative Outreach</t>
  </si>
  <si>
    <t>TOTAL US DEPT OF HEALTH &amp; HUMAN SVC PASSED THROUGH IL DEPT OF HEALTHCARE &amp; FAMILY</t>
  </si>
  <si>
    <t>SERVICES - CFDA #93.778</t>
  </si>
  <si>
    <t>US Dept of Health &amp; Human Svc passed through the IL Dept of Healthcare &amp; Family Svc:</t>
  </si>
  <si>
    <t>TOTAL FEDERAL FUNDING</t>
  </si>
  <si>
    <t>n/a</t>
  </si>
  <si>
    <t>Of the federal expenditures presented in the schedule, SASED provided federal awards to subrecipients as follows:</t>
  </si>
  <si>
    <t>The accompanying Schedule of Expenditures of Federal Awards includes the federal grant activity of Sangamon Area Special Educatin District (SASED)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</si>
  <si>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SASED and </t>
    </r>
    <r>
      <rPr>
        <b/>
        <sz val="9"/>
        <rFont val="Calibri"/>
        <family val="2"/>
        <scheme val="minor"/>
      </rPr>
      <t>should be</t>
    </r>
    <r>
      <rPr>
        <sz val="9"/>
        <rFont val="Calibri"/>
        <family val="2"/>
        <scheme val="minor"/>
      </rPr>
      <t xml:space="preserve"> included in the Schedule of Expenditures of Federal Awards:</t>
    </r>
  </si>
  <si>
    <t>A-C Central CUSD #262</t>
  </si>
  <si>
    <t>Athens CUSD #213</t>
  </si>
  <si>
    <t>Auburn CUSD #10</t>
  </si>
  <si>
    <t>Greenview CUSD #200</t>
  </si>
  <si>
    <t>New Berlin CUSD #16</t>
  </si>
  <si>
    <t>North Mac CUSD #34</t>
  </si>
  <si>
    <t>Pawnee CUSD #11</t>
  </si>
  <si>
    <t>Pleasant Plains CUSD #8</t>
  </si>
  <si>
    <t>Porta CUSD #202</t>
  </si>
  <si>
    <t>Riverton CUSD #14</t>
  </si>
  <si>
    <t>Tri-City CUSD #1</t>
  </si>
  <si>
    <t>Virginia CUSD #64</t>
  </si>
  <si>
    <t>Williamsville CUSD #15</t>
  </si>
  <si>
    <t>Adverse-GAAP, Qualified-Regulatory Basis</t>
  </si>
  <si>
    <t>Unmodified</t>
  </si>
  <si>
    <t>Special Education Cluster</t>
  </si>
  <si>
    <t>Special Education Grants to States-Fed.- Sp. Ed. - IDEA Flow Through</t>
  </si>
  <si>
    <t>Special Education Grants to States-Fed.- Sp. Ed. - Preschool Flow Through</t>
  </si>
  <si>
    <t>N/A</t>
  </si>
  <si>
    <t>NO FINANCIAL STATEMENT FINDINGS NOTED</t>
  </si>
  <si>
    <t>2019-4620, 2019-4600</t>
  </si>
  <si>
    <t>84.027A, 84.173A</t>
  </si>
  <si>
    <t>Illinois State Board of Education</t>
  </si>
  <si>
    <t>US Department of Education</t>
  </si>
  <si>
    <t>Subrecipient Monitoring - Uniform Guidance requires a pass through entity to perform adequate subrecipient monitoring of each agency it provides federal funds to and document risk assessment on each agency.</t>
  </si>
  <si>
    <t>SASED did not have proper documentation to support adequate monitoring and risk assessment of each subrecipient that receives pass through funding.</t>
  </si>
  <si>
    <t>None</t>
  </si>
  <si>
    <t>The possibility of federal funds passed through to subrecipients not being spent according to guidelines established by the funding source and/or not being properly included as flow through federal funding on the financial statements.</t>
  </si>
  <si>
    <t>SASED's approved policy on subrecipient monitoring does not adequately address risk assessment and documentation requirements.</t>
  </si>
  <si>
    <t>Review Uniform Guidance requirement for subrecipient monitoring and revise current policy to include risk assessment procedures and documentation of assessment results required to stay in compliance with the Uniform Guidance.</t>
  </si>
  <si>
    <t>Management is in agreement with the finding.  They obtained additional education in this area and are currently in the process of revising the subrecipient monitoring policy.</t>
  </si>
  <si>
    <t>Under the Uniform Guidance, methods of procurement for small purchases should use the simple and informal procurement method for securing services, supplies or other property and adequately documented.</t>
  </si>
  <si>
    <t>SASED's approved policy on procurement is not being consistantly followed.</t>
  </si>
  <si>
    <t>Federal disbursements were sampled and reviewed for compliance with approved policy.  Adequate documentation for rate quotes/vendor selection was either not available to review or was not performed.  Purchase was approved without proper documentation.</t>
  </si>
  <si>
    <t>Management is in agreement with the finding.</t>
  </si>
  <si>
    <t>Review current approved policy to see if procurement policy dollar thresholds appear to restrictive.  Revise if needed.  Inform SASED personnel of procurement requirement and establish guidelines to ensure compliance with policy.</t>
  </si>
  <si>
    <t>2018-001</t>
  </si>
  <si>
    <t>Adopted procurement policy did not adequately</t>
  </si>
  <si>
    <t xml:space="preserve">address procurement methods for small </t>
  </si>
  <si>
    <t>purchases</t>
  </si>
  <si>
    <t>Partially implemented - repeat finding</t>
  </si>
  <si>
    <t>Bretcht's Data Solutions, Inc</t>
  </si>
  <si>
    <t>ED-Data Processing Services-Supplies</t>
  </si>
  <si>
    <t>10-2660-400</t>
  </si>
  <si>
    <t xml:space="preserve">Sangamon                 </t>
  </si>
  <si>
    <t xml:space="preserve">Pehlman and Dold, P.C.                </t>
  </si>
  <si>
    <t>Pehlman and Dold, P. C.</t>
  </si>
  <si>
    <t>Education Fund Acct 4999 - DHS DORS Grant Proceeds</t>
  </si>
  <si>
    <t>PDF in Opinion Page with Signature</t>
  </si>
  <si>
    <t>Without performing adequate subrecipient monitoring and risk assessment, there is a possibility of a subrecipient not properly accounting for pass through funds on their financial statements and spending the funds according to applicable guidelines.</t>
  </si>
  <si>
    <t>SASED did not have proper documentation to support informal rate/price quotes or vendor choice in accordance with their approved procurement policy.  Such documentation is required to be attached to purchase order for approval.</t>
  </si>
  <si>
    <t>Without proper documentation supporting an expenditure of federal funds, there is the possibility that the best price for a particular product or service was not obtained.</t>
  </si>
  <si>
    <t>Sangamon Area Spec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</si>
</sst>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211282</xdr:colOff>
          <xdr:row>2</xdr:row>
          <xdr:rowOff>149803</xdr:rowOff>
        </xdr:from>
        <xdr:to>
          <xdr:col>1</xdr:col>
          <xdr:colOff>1125682</xdr:colOff>
          <xdr:row>7</xdr:row>
          <xdr:rowOff>25978</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1294534</xdr:colOff>
          <xdr:row>2</xdr:row>
          <xdr:rowOff>147205</xdr:rowOff>
        </xdr:from>
        <xdr:to>
          <xdr:col>1</xdr:col>
          <xdr:colOff>2210666</xdr:colOff>
          <xdr:row>7</xdr:row>
          <xdr:rowOff>20782</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5" t="s">
        <v>405</v>
      </c>
      <c r="J1" s="1986"/>
      <c r="K1" s="1986"/>
      <c r="L1" s="1986"/>
      <c r="M1" s="1986"/>
      <c r="N1" s="1986"/>
      <c r="O1" s="1986"/>
      <c r="P1" s="1986"/>
      <c r="Q1" s="1986"/>
      <c r="R1" s="1986"/>
      <c r="S1" s="1986"/>
    </row>
    <row r="2" spans="1:28" ht="12" customHeight="1" x14ac:dyDescent="0.2">
      <c r="A2" s="47" t="s">
        <v>1990</v>
      </c>
      <c r="D2" s="48"/>
      <c r="I2" s="1987" t="s">
        <v>979</v>
      </c>
      <c r="J2" s="1986"/>
      <c r="K2" s="1986"/>
      <c r="L2" s="1986"/>
      <c r="M2" s="1986"/>
      <c r="N2" s="1986"/>
      <c r="O2" s="1986"/>
      <c r="P2" s="1986"/>
      <c r="Q2" s="1986"/>
      <c r="R2" s="1986"/>
      <c r="S2" s="1986"/>
    </row>
    <row r="3" spans="1:28" ht="12" customHeight="1" x14ac:dyDescent="0.2">
      <c r="A3" s="155" t="s">
        <v>1942</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c r="C5" s="26" t="s">
        <v>910</v>
      </c>
      <c r="D5" s="84"/>
      <c r="E5" s="84"/>
      <c r="H5" s="38"/>
      <c r="I5" s="1995" t="s">
        <v>680</v>
      </c>
      <c r="J5" s="1994"/>
      <c r="K5" s="1994"/>
      <c r="L5" s="1994"/>
      <c r="M5" s="1994"/>
      <c r="N5" s="1994"/>
      <c r="O5" s="1994"/>
      <c r="P5" s="1994"/>
      <c r="Q5" s="1994"/>
      <c r="R5" s="1994"/>
      <c r="S5" s="1994"/>
    </row>
    <row r="6" spans="1:28" ht="14.1" customHeight="1" x14ac:dyDescent="0.2">
      <c r="B6" s="104" t="s">
        <v>2067</v>
      </c>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2067</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51084010061</v>
      </c>
      <c r="B13" s="2021"/>
      <c r="C13" s="2021"/>
      <c r="D13" s="2021"/>
      <c r="E13" s="2021"/>
      <c r="F13" s="2021"/>
      <c r="G13" s="2021"/>
      <c r="H13" s="2022"/>
      <c r="I13" s="31"/>
      <c r="J13" s="30"/>
      <c r="K13" s="28"/>
      <c r="L13" s="30"/>
      <c r="M13" s="30"/>
      <c r="N13" s="30"/>
      <c r="O13" s="30"/>
      <c r="P13" s="30"/>
      <c r="Q13" s="30"/>
      <c r="R13" s="30"/>
      <c r="S13" s="30"/>
      <c r="T13" s="2025" t="s">
        <v>2149</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2148</v>
      </c>
      <c r="B15" s="2023"/>
      <c r="C15" s="2023"/>
      <c r="D15" s="2023"/>
      <c r="E15" s="2023"/>
      <c r="F15" s="2023"/>
      <c r="G15" s="2023"/>
      <c r="H15" s="2024"/>
      <c r="T15" s="2029" t="s">
        <v>2071</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2156</v>
      </c>
      <c r="B17" s="1980"/>
      <c r="C17" s="1980"/>
      <c r="D17" s="1980"/>
      <c r="E17" s="1980"/>
      <c r="F17" s="1980"/>
      <c r="G17" s="1980"/>
      <c r="H17" s="2005"/>
      <c r="T17" s="2036" t="s">
        <v>2061</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2068</v>
      </c>
      <c r="B19" s="1965"/>
      <c r="C19" s="1965"/>
      <c r="D19" s="1965"/>
      <c r="E19" s="1965"/>
      <c r="F19" s="1965"/>
      <c r="G19" s="1965"/>
      <c r="H19" s="1945"/>
      <c r="I19" s="30"/>
      <c r="J19" s="99"/>
      <c r="K19" s="40"/>
      <c r="L19" s="38"/>
      <c r="M19" s="112" t="s">
        <v>315</v>
      </c>
      <c r="P19" s="27"/>
      <c r="Q19" s="27"/>
      <c r="R19" s="27"/>
      <c r="S19" s="31"/>
      <c r="T19" s="2019" t="s">
        <v>2062</v>
      </c>
      <c r="U19" s="1944"/>
      <c r="V19" s="1944"/>
      <c r="W19" s="1945"/>
      <c r="X19" s="2034" t="s">
        <v>2063</v>
      </c>
      <c r="Y19" s="2035"/>
      <c r="Z19" s="2032">
        <v>62702</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2069</v>
      </c>
      <c r="B21" s="1944"/>
      <c r="C21" s="1944"/>
      <c r="D21" s="1944"/>
      <c r="E21" s="1944"/>
      <c r="F21" s="1944"/>
      <c r="G21" s="1944"/>
      <c r="H21" s="1945"/>
      <c r="I21" s="1999" t="s">
        <v>678</v>
      </c>
      <c r="J21" s="1994"/>
      <c r="K21" s="1994"/>
      <c r="L21" s="1994"/>
      <c r="M21" s="1994"/>
      <c r="N21" s="1994"/>
      <c r="O21" s="1994"/>
      <c r="P21" s="1994"/>
      <c r="Q21" s="1994"/>
      <c r="R21" s="1994"/>
      <c r="S21" s="2000"/>
      <c r="T21" s="2043" t="s">
        <v>2064</v>
      </c>
      <c r="U21" s="2044"/>
      <c r="V21" s="2044"/>
      <c r="W21" s="2044"/>
      <c r="X21" s="2049" t="s">
        <v>2065</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c r="B23" s="1997"/>
      <c r="C23" s="1997"/>
      <c r="D23" s="1997"/>
      <c r="E23" s="1997"/>
      <c r="F23" s="1997"/>
      <c r="G23" s="1997"/>
      <c r="H23" s="1998"/>
      <c r="T23" s="1979" t="s">
        <v>2066</v>
      </c>
      <c r="U23" s="2042"/>
      <c r="V23" s="2042"/>
      <c r="W23" s="2042"/>
      <c r="X23" s="2046">
        <v>43831</v>
      </c>
      <c r="Y23" s="2047"/>
      <c r="Z23" s="2047"/>
      <c r="AA23" s="2048"/>
    </row>
    <row r="24" spans="1:27" ht="14.1" customHeight="1" x14ac:dyDescent="0.2">
      <c r="A24" s="88" t="s">
        <v>677</v>
      </c>
      <c r="B24" s="49"/>
      <c r="C24" s="49"/>
      <c r="D24" s="49"/>
      <c r="E24" s="49"/>
      <c r="F24" s="49"/>
      <c r="G24" s="49"/>
      <c r="H24" s="61"/>
      <c r="J24" s="1966" t="str">
        <f>IF(B5="x",IF(AUDITCHECK!D29="AFR form Incomplete.","",IF(AUDITCHECK!D29="Deficit reduction plan is required.","School District must complete a deficit reduction plan in the 2019-2020 Budget",)),"")</f>
        <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62703</v>
      </c>
      <c r="B25" s="1944"/>
      <c r="C25" s="1944"/>
      <c r="D25" s="1944"/>
      <c r="E25" s="1944"/>
      <c r="F25" s="1944"/>
      <c r="G25" s="1944"/>
      <c r="H25" s="1945"/>
      <c r="I25" s="113"/>
      <c r="J25" s="1968"/>
      <c r="K25" s="1968"/>
      <c r="L25" s="1968"/>
      <c r="M25" s="1968"/>
      <c r="N25" s="1968"/>
      <c r="O25" s="1968"/>
      <c r="P25" s="1968"/>
      <c r="Q25" s="1968"/>
      <c r="R25" s="1968"/>
      <c r="S25" s="1969"/>
      <c r="T25" s="2039" t="s">
        <v>2070</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2067</v>
      </c>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2072</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2073</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2074</v>
      </c>
      <c r="B42" s="1963"/>
      <c r="C42" s="1964"/>
      <c r="D42" s="1962" t="s">
        <v>2075</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1" sqref="A11:H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1799</v>
      </c>
      <c r="B2" s="1528" t="s">
        <v>1948</v>
      </c>
      <c r="C2" s="714" t="s">
        <v>1949</v>
      </c>
      <c r="D2" s="714" t="s">
        <v>1950</v>
      </c>
      <c r="E2" s="714" t="s">
        <v>1951</v>
      </c>
      <c r="F2" s="714" t="s">
        <v>1952</v>
      </c>
    </row>
    <row r="3" spans="1:6" ht="12" customHeight="1" x14ac:dyDescent="0.2">
      <c r="A3" s="2186"/>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1" sqref="A11:H1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1799</v>
      </c>
      <c r="B2" s="2213"/>
      <c r="C2" s="1884" t="s">
        <v>1953</v>
      </c>
      <c r="D2" s="723" t="s">
        <v>1954</v>
      </c>
      <c r="E2" s="723" t="s">
        <v>1955</v>
      </c>
      <c r="F2" s="1884" t="s">
        <v>1956</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11" sqref="A11:H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1809</v>
      </c>
      <c r="K2" s="762" t="s">
        <v>138</v>
      </c>
    </row>
    <row r="3" spans="1:11" x14ac:dyDescent="0.2">
      <c r="A3" s="2238" t="s">
        <v>1961</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1810</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0</v>
      </c>
      <c r="I12" s="1758">
        <f>SUM(I5:I11)</f>
        <v>0</v>
      </c>
      <c r="J12" s="1758">
        <f>SUM(J5:J11)</f>
        <v>0</v>
      </c>
      <c r="K12" s="1758">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1806</v>
      </c>
      <c r="B19" s="2228"/>
      <c r="C19" s="2228"/>
      <c r="D19" s="2228"/>
      <c r="E19" s="2229"/>
      <c r="F19" s="789" t="s">
        <v>933</v>
      </c>
      <c r="G19" s="782"/>
      <c r="H19" s="782"/>
      <c r="I19" s="782"/>
      <c r="J19" s="765"/>
      <c r="K19" s="795"/>
    </row>
    <row r="20" spans="1:11" x14ac:dyDescent="0.2">
      <c r="A20" s="2230" t="s">
        <v>1811</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1812</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0</v>
      </c>
      <c r="I23" s="1758">
        <f>SUM(I14:I16,I21,I22)</f>
        <v>0</v>
      </c>
      <c r="J23" s="1758">
        <f>SUM(J14:J16,J21,J22)</f>
        <v>0</v>
      </c>
      <c r="K23" s="1758">
        <f>SUM(K14:K16,K21,K22)</f>
        <v>0</v>
      </c>
    </row>
    <row r="24" spans="1:11" ht="14.25" thickTop="1" thickBot="1" x14ac:dyDescent="0.25">
      <c r="A24" s="2250" t="s">
        <v>1962</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1" sqref="A11:H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1906</v>
      </c>
      <c r="B1" s="2256"/>
      <c r="C1" s="2257"/>
      <c r="D1" s="826"/>
      <c r="E1" s="827"/>
      <c r="F1" s="827"/>
      <c r="G1" s="828"/>
      <c r="H1" s="829"/>
      <c r="I1" s="830"/>
      <c r="J1" s="2253"/>
      <c r="K1" s="2254"/>
      <c r="L1" s="2254"/>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28700</v>
      </c>
      <c r="D5" s="841"/>
      <c r="E5" s="841"/>
      <c r="F5" s="1760">
        <f>(C5+D5)-E5</f>
        <v>28700</v>
      </c>
      <c r="G5" s="837"/>
      <c r="H5" s="842"/>
      <c r="I5" s="842"/>
      <c r="J5" s="842"/>
      <c r="K5" s="793"/>
      <c r="L5" s="1769">
        <f>F5-K5</f>
        <v>28700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1293010</v>
      </c>
      <c r="D8" s="844">
        <v>251771</v>
      </c>
      <c r="E8" s="844"/>
      <c r="F8" s="1760">
        <f>(C8+D8)-E8</f>
        <v>1544781</v>
      </c>
      <c r="G8" s="843">
        <v>50</v>
      </c>
      <c r="H8" s="765">
        <v>524748</v>
      </c>
      <c r="I8" s="765">
        <v>30896</v>
      </c>
      <c r="J8" s="765"/>
      <c r="K8" s="1769">
        <f>(H8+I8)-J8</f>
        <v>555644</v>
      </c>
      <c r="L8" s="1769">
        <f>F8-K8</f>
        <v>989137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70283</v>
      </c>
      <c r="D10" s="846"/>
      <c r="E10" s="846"/>
      <c r="F10" s="1764">
        <f>(C10+D10)-E10</f>
        <v>70283</v>
      </c>
      <c r="G10" s="843">
        <v>20</v>
      </c>
      <c r="H10" s="847">
        <v>70283</v>
      </c>
      <c r="I10" s="847"/>
      <c r="J10" s="847"/>
      <c r="K10" s="1769">
        <f>(H10+I10)-J10</f>
        <v>70283</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231114</v>
      </c>
      <c r="D12" s="844">
        <v>50103</v>
      </c>
      <c r="E12" s="844">
        <v>16212</v>
      </c>
      <c r="F12" s="1760">
        <f>(C12+D12)-E12</f>
        <v>265005</v>
      </c>
      <c r="G12" s="843">
        <v>10</v>
      </c>
      <c r="H12" s="765">
        <v>117456</v>
      </c>
      <c r="I12" s="765">
        <v>26056</v>
      </c>
      <c r="J12" s="765">
        <v>16212</v>
      </c>
      <c r="K12" s="1769">
        <f>(H12+I12)-J12</f>
        <v>127300</v>
      </c>
      <c r="L12" s="1769">
        <f>F12-K12</f>
        <v>137705</v>
      </c>
    </row>
    <row r="13" spans="1:14" ht="14.25" thickTop="1" thickBot="1" x14ac:dyDescent="0.25">
      <c r="A13" s="848" t="s">
        <v>1122</v>
      </c>
      <c r="B13" s="840">
        <v>252</v>
      </c>
      <c r="C13" s="844">
        <v>21100</v>
      </c>
      <c r="D13" s="844"/>
      <c r="E13" s="844"/>
      <c r="F13" s="1760">
        <f>(C13+D13)-E13</f>
        <v>21100</v>
      </c>
      <c r="G13" s="843">
        <v>5</v>
      </c>
      <c r="H13" s="765">
        <v>8440</v>
      </c>
      <c r="I13" s="765">
        <v>4220</v>
      </c>
      <c r="J13" s="765"/>
      <c r="K13" s="1769">
        <f>(H13+I13)-J13</f>
        <v>12660</v>
      </c>
      <c r="L13" s="1769">
        <f>F13-K13</f>
        <v>8440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176119</v>
      </c>
      <c r="D15" s="844"/>
      <c r="E15" s="844">
        <v>176119</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1820326</v>
      </c>
      <c r="D16" s="1760">
        <f>SUM(D3,D5:D6,D8:D10,D12:D15)</f>
        <v>301874</v>
      </c>
      <c r="E16" s="1760">
        <f>SUM(E3,E5:E6,E8:E10,E12:E15)</f>
        <v>192331</v>
      </c>
      <c r="F16" s="1760">
        <f>SUM(F3,F5:F6,F8:F10,F12:F15)</f>
        <v>1929869</v>
      </c>
      <c r="G16" s="843"/>
      <c r="H16" s="1760">
        <f>SUM(H3,H6,H8:H10,H12:H14,)</f>
        <v>720927</v>
      </c>
      <c r="I16" s="1760">
        <f>SUM(I3,I6,I8:I10,I12:I14,)</f>
        <v>61172</v>
      </c>
      <c r="J16" s="1760">
        <f>SUM(J3,J6,J8:J10,J12:J14,)</f>
        <v>16212</v>
      </c>
      <c r="K16" s="1760">
        <f>(H16+I16)-J16</f>
        <v>765887</v>
      </c>
      <c r="L16" s="1760">
        <f>F16-K16</f>
        <v>1163982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61172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11" sqref="A11:H11"/>
      <selection pane="bottomLeft" activeCell="A11" sqref="A11:H1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1972</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13636575</v>
      </c>
      <c r="G8" s="865"/>
    </row>
    <row r="9" spans="1:7" x14ac:dyDescent="0.2">
      <c r="A9" s="869" t="s">
        <v>460</v>
      </c>
      <c r="B9" s="870" t="s">
        <v>1874</v>
      </c>
      <c r="C9" s="871"/>
      <c r="D9" s="869" t="s">
        <v>501</v>
      </c>
      <c r="E9" s="868"/>
      <c r="F9" s="1909">
        <f>'Expenditures 15-22'!K151</f>
        <v>3925</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13640500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57603</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1120403</v>
      </c>
      <c r="G53" s="865"/>
    </row>
    <row r="54" spans="1:7" x14ac:dyDescent="0.2">
      <c r="A54" s="869" t="s">
        <v>459</v>
      </c>
      <c r="B54" s="869" t="s">
        <v>1476</v>
      </c>
      <c r="C54" s="889" t="s">
        <v>982</v>
      </c>
      <c r="D54" s="885" t="s">
        <v>1095</v>
      </c>
      <c r="E54" s="868"/>
      <c r="F54" s="1913">
        <f>'Expenditures 15-22'!G114</f>
        <v>125755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1303761</v>
      </c>
      <c r="G76" s="865"/>
    </row>
    <row r="77" spans="1:8" s="893" customFormat="1" ht="12" customHeight="1" thickTop="1" thickBot="1" x14ac:dyDescent="0.25">
      <c r="A77" s="1779"/>
      <c r="B77" s="1776"/>
      <c r="C77" s="1772"/>
      <c r="D77" s="1777" t="s">
        <v>1897</v>
      </c>
      <c r="E77" s="1774"/>
      <c r="F77" s="1780">
        <f>(F14-F76)</f>
        <v>12336739</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5291</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3417320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148101</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699731</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164141</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4434584</v>
      </c>
    </row>
    <row r="175" spans="1:7" ht="12" customHeight="1" x14ac:dyDescent="0.2">
      <c r="A175" s="1770"/>
      <c r="B175" s="1784"/>
      <c r="C175" s="1785"/>
      <c r="D175" s="1786" t="s">
        <v>2054</v>
      </c>
      <c r="E175" s="1787"/>
      <c r="F175" s="1789">
        <f>'PCTC-OEPP 27-28'!F77-F174</f>
        <v>7902155</v>
      </c>
    </row>
    <row r="176" spans="1:7" ht="12" customHeight="1" x14ac:dyDescent="0.2">
      <c r="A176" s="1770"/>
      <c r="B176" s="1784"/>
      <c r="C176" s="1785"/>
      <c r="D176" s="1786" t="s">
        <v>1814</v>
      </c>
      <c r="E176" s="1787"/>
      <c r="F176" s="1789">
        <f>'Cap Outlay Deprec 26'!I18</f>
        <v>61172</v>
      </c>
    </row>
    <row r="177" spans="1:7" ht="12" customHeight="1" x14ac:dyDescent="0.2">
      <c r="A177" s="1770"/>
      <c r="B177" s="1784"/>
      <c r="C177" s="1785"/>
      <c r="D177" s="1786" t="s">
        <v>2055</v>
      </c>
      <c r="E177" s="1787"/>
      <c r="F177" s="1789">
        <f>F175+F176</f>
        <v>7963327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23" sqref="C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1815</v>
      </c>
      <c r="B4" s="2273"/>
      <c r="C4" s="2273"/>
      <c r="D4" s="2273"/>
      <c r="E4" s="2273"/>
      <c r="F4" s="2273"/>
      <c r="G4" s="2274"/>
    </row>
    <row r="5" spans="1:7" x14ac:dyDescent="0.25">
      <c r="A5" s="2275"/>
      <c r="B5" s="2276"/>
      <c r="C5" s="2276"/>
      <c r="D5" s="2276"/>
      <c r="E5" s="2276"/>
      <c r="F5" s="2276"/>
      <c r="G5" s="2277"/>
    </row>
    <row r="6" spans="1:7" ht="18.75" x14ac:dyDescent="0.25">
      <c r="A6" s="1534" t="s">
        <v>1816</v>
      </c>
      <c r="B6" s="1535"/>
      <c r="C6" s="1535"/>
      <c r="D6" s="1535"/>
      <c r="E6" s="1535"/>
      <c r="F6" s="1535"/>
      <c r="G6" s="1536"/>
    </row>
    <row r="7" spans="1:7" ht="30.75" customHeight="1" x14ac:dyDescent="0.25">
      <c r="A7" s="2278" t="s">
        <v>1929</v>
      </c>
      <c r="B7" s="2279"/>
      <c r="C7" s="2279"/>
      <c r="D7" s="2279"/>
      <c r="E7" s="2279"/>
      <c r="F7" s="2279"/>
      <c r="G7" s="2280"/>
    </row>
    <row r="8" spans="1:7" ht="15.75" customHeight="1" x14ac:dyDescent="0.25">
      <c r="A8" s="2281" t="s">
        <v>1904</v>
      </c>
      <c r="B8" s="2282"/>
      <c r="C8" s="2282"/>
      <c r="D8" s="2282"/>
      <c r="E8" s="2282"/>
      <c r="F8" s="2282"/>
      <c r="G8" s="2283"/>
    </row>
    <row r="9" spans="1:7" ht="35.25" customHeight="1" x14ac:dyDescent="0.25">
      <c r="A9" s="2278" t="s">
        <v>1932</v>
      </c>
      <c r="B9" s="2279"/>
      <c r="C9" s="2279"/>
      <c r="D9" s="2279"/>
      <c r="E9" s="2279"/>
      <c r="F9" s="2279"/>
      <c r="G9" s="2280"/>
    </row>
    <row r="10" spans="1:7" ht="15" customHeight="1" x14ac:dyDescent="0.25">
      <c r="A10" s="1537" t="s">
        <v>1817</v>
      </c>
      <c r="B10" s="1538"/>
      <c r="C10" s="1538"/>
      <c r="D10" s="1538"/>
      <c r="E10" s="1538"/>
      <c r="F10" s="1538"/>
      <c r="G10" s="1539"/>
    </row>
    <row r="11" spans="1:7" ht="17.25" customHeight="1" x14ac:dyDescent="0.25">
      <c r="A11" s="2278" t="s">
        <v>1931</v>
      </c>
      <c r="B11" s="2279"/>
      <c r="C11" s="2279"/>
      <c r="D11" s="2279"/>
      <c r="E11" s="2279"/>
      <c r="F11" s="2279"/>
      <c r="G11" s="2280"/>
    </row>
    <row r="12" spans="1:7" ht="15" customHeight="1" x14ac:dyDescent="0.25">
      <c r="A12" s="1537" t="s">
        <v>1822</v>
      </c>
      <c r="B12" s="1538"/>
      <c r="C12" s="1538"/>
      <c r="D12" s="1538"/>
      <c r="E12" s="1538"/>
      <c r="F12" s="1538"/>
      <c r="G12" s="1539"/>
    </row>
    <row r="13" spans="1:7" ht="32.25" customHeight="1" x14ac:dyDescent="0.25">
      <c r="A13" s="2269" t="s">
        <v>1973</v>
      </c>
      <c r="B13" s="2270"/>
      <c r="C13" s="2270"/>
      <c r="D13" s="2270"/>
      <c r="E13" s="2270"/>
      <c r="F13" s="2270"/>
      <c r="G13" s="2271"/>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c r="B17" s="1941"/>
      <c r="C17" s="1942"/>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0"/>
      <c r="B18" s="1941"/>
      <c r="C18" s="1942"/>
      <c r="D18" s="1844"/>
      <c r="E18" s="1540">
        <f t="shared" ref="E18:E140" si="2">IF(D18&lt;=25000,D18,IF(D18&gt;25000,25000,0))</f>
        <v>0</v>
      </c>
      <c r="F18" s="1932">
        <f t="shared" si="1"/>
        <v>0</v>
      </c>
      <c r="G18" s="1793">
        <f t="shared" ref="G18:G140" si="3">IF(F18=0,0,D18-F18)</f>
        <v>0</v>
      </c>
    </row>
    <row r="19" spans="1:8" x14ac:dyDescent="0.25">
      <c r="A19" s="1940"/>
      <c r="B19" s="1941"/>
      <c r="C19" s="1942"/>
      <c r="D19" s="1844"/>
      <c r="E19" s="1540">
        <f t="shared" si="2"/>
        <v>0</v>
      </c>
      <c r="F19" s="1932">
        <f t="shared" si="1"/>
        <v>0</v>
      </c>
      <c r="G19" s="1793">
        <f t="shared" si="3"/>
        <v>0</v>
      </c>
    </row>
    <row r="20" spans="1:8" x14ac:dyDescent="0.25">
      <c r="A20" s="1940"/>
      <c r="B20" s="1941"/>
      <c r="C20" s="1942"/>
      <c r="D20" s="1844"/>
      <c r="E20" s="1540">
        <f t="shared" si="2"/>
        <v>0</v>
      </c>
      <c r="F20" s="1932">
        <f t="shared" si="1"/>
        <v>0</v>
      </c>
      <c r="G20" s="1793">
        <f t="shared" si="3"/>
        <v>0</v>
      </c>
    </row>
    <row r="21" spans="1:8" x14ac:dyDescent="0.25">
      <c r="A21" s="1940"/>
      <c r="B21" s="1941"/>
      <c r="C21" s="1942"/>
      <c r="D21" s="1844"/>
      <c r="E21" s="1540">
        <f t="shared" si="2"/>
        <v>0</v>
      </c>
      <c r="F21" s="1932">
        <f t="shared" si="1"/>
        <v>0</v>
      </c>
      <c r="G21" s="1793">
        <f t="shared" si="3"/>
        <v>0</v>
      </c>
    </row>
    <row r="22" spans="1:8" x14ac:dyDescent="0.25">
      <c r="A22" s="1940"/>
      <c r="B22" s="1941"/>
      <c r="C22" s="1942"/>
      <c r="D22" s="1844"/>
      <c r="E22" s="1540">
        <f t="shared" si="2"/>
        <v>0</v>
      </c>
      <c r="F22" s="1932">
        <f t="shared" si="1"/>
        <v>0</v>
      </c>
      <c r="G22" s="1793">
        <f t="shared" si="3"/>
        <v>0</v>
      </c>
    </row>
    <row r="23" spans="1:8" x14ac:dyDescent="0.25">
      <c r="A23" s="1940"/>
      <c r="B23" s="1941"/>
      <c r="C23" s="1942"/>
      <c r="D23" s="1844"/>
      <c r="E23" s="1540">
        <f t="shared" si="2"/>
        <v>0</v>
      </c>
      <c r="F23" s="1932">
        <f t="shared" si="1"/>
        <v>0</v>
      </c>
      <c r="G23" s="1793">
        <f t="shared" si="3"/>
        <v>0</v>
      </c>
    </row>
    <row r="24" spans="1:8" x14ac:dyDescent="0.25">
      <c r="A24" s="1940"/>
      <c r="B24" s="1941"/>
      <c r="C24" s="1942"/>
      <c r="D24" s="1844"/>
      <c r="E24" s="1540">
        <f t="shared" si="2"/>
        <v>0</v>
      </c>
      <c r="F24" s="1932">
        <f t="shared" si="1"/>
        <v>0</v>
      </c>
      <c r="G24" s="1793">
        <f t="shared" si="3"/>
        <v>0</v>
      </c>
    </row>
    <row r="25" spans="1:8" x14ac:dyDescent="0.25">
      <c r="A25" s="1940"/>
      <c r="B25" s="1941"/>
      <c r="C25" s="1942"/>
      <c r="D25" s="1844"/>
      <c r="E25" s="1540">
        <f t="shared" si="2"/>
        <v>0</v>
      </c>
      <c r="F25" s="1932">
        <f t="shared" si="1"/>
        <v>0</v>
      </c>
      <c r="G25" s="1793">
        <f t="shared" si="3"/>
        <v>0</v>
      </c>
    </row>
    <row r="26" spans="1:8" x14ac:dyDescent="0.25">
      <c r="A26" s="1940" t="s">
        <v>2146</v>
      </c>
      <c r="B26" s="1941" t="s">
        <v>2147</v>
      </c>
      <c r="C26" s="1942" t="s">
        <v>2145</v>
      </c>
      <c r="D26" s="1844">
        <v>55000</v>
      </c>
      <c r="E26" s="1540">
        <f t="shared" si="2"/>
        <v>25000</v>
      </c>
      <c r="F26" s="1932">
        <f t="shared" si="1"/>
        <v>25000</v>
      </c>
      <c r="G26" s="1793">
        <f t="shared" si="3"/>
        <v>30000</v>
      </c>
    </row>
    <row r="27" spans="1:8" x14ac:dyDescent="0.25">
      <c r="A27" s="1940"/>
      <c r="B27" s="1941"/>
      <c r="C27" s="1942"/>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55000</v>
      </c>
      <c r="E141" s="1541">
        <f t="shared" si="0"/>
        <v>25000</v>
      </c>
      <c r="F141" s="1933">
        <f>SUM(F17:F140)</f>
        <v>25000</v>
      </c>
      <c r="G141" s="1795">
        <f>SUM(G17:G140)</f>
        <v>30000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1" sqref="A11:H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9" t="s">
        <v>1974</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7321678</v>
      </c>
      <c r="F19" s="1799"/>
      <c r="G19" s="1801">
        <f>'Expenditures 15-22'!K33-SUM('Expenditures 15-22'!G33,'Expenditures 15-22'!I33)+'Expenditures 15-22'!D229</f>
        <v>7321678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3145955</v>
      </c>
      <c r="F21" s="1802"/>
      <c r="G21" s="1805">
        <f>'Expenditures 15-22'!K42-SUM('Expenditures 15-22'!G42,'Expenditures 15-22'!I42)+'Expenditures 15-22'!K120-SUM('Expenditures 15-22'!G120,'Expenditures 15-22'!I120)+'Expenditures 15-22'!K180-SUM('Expenditures 15-22'!G180,'Expenditures 15-22'!I180)+'Expenditures 15-22'!D238</f>
        <v>3145955</v>
      </c>
      <c r="H21" s="987"/>
      <c r="I21" s="162"/>
    </row>
    <row r="22" spans="1:9" s="668" customFormat="1" ht="12" customHeight="1" x14ac:dyDescent="0.2">
      <c r="A22" s="994" t="s">
        <v>564</v>
      </c>
      <c r="B22" s="995"/>
      <c r="C22" s="993">
        <v>2200</v>
      </c>
      <c r="D22" s="1802"/>
      <c r="E22" s="1804">
        <f>'Expenditures 15-22'!K47-SUM('Expenditures 15-22'!G47,'Expenditures 15-22'!I47)+'Expenditures 15-22'!D243</f>
        <v>294181</v>
      </c>
      <c r="F22" s="1802"/>
      <c r="G22" s="1805">
        <f>'Expenditures 15-22'!K47-SUM('Expenditures 15-22'!G47,'Expenditures 15-22'!I47)+'Expenditures 15-22'!D243</f>
        <v>294181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1107861</v>
      </c>
      <c r="F23" s="1802"/>
      <c r="G23" s="1804">
        <f>'Expenditures 15-22'!K53-SUM('Expenditures 15-22'!G53,'Expenditures 15-22'!I53)+'Expenditures 15-22'!D257+'Expenditures 15-22'!K330-SUM('Expenditures 15-22'!G330,'Expenditures 15-22'!I330)</f>
        <v>1107861</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273103</v>
      </c>
      <c r="E26" s="1804">
        <f>'Expenditures 15-22'!K122-SUM('Expenditures 15-22'!G122,'Expenditures 15-22'!I122)+E7</f>
        <v>0</v>
      </c>
      <c r="F26" s="1804">
        <f>'Expenditures 15-22'!K59-SUM('Expenditures 15-22'!G59,'Expenditures 15-22'!I59)+'Expenditures 15-22'!D263-E7</f>
        <v>273103</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192639</v>
      </c>
      <c r="F28" s="1806">
        <f>'Expenditures 15-22'!K61-SUM('Expenditures 15-22'!G61,'Expenditures 15-22'!I61)+'Expenditures 15-22'!K124-SUM('Expenditures 15-22'!G124,'Expenditures 15-22'!I124)+'Expenditures 15-22'!D266-E9</f>
        <v>192639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55000</v>
      </c>
      <c r="E37" s="1804">
        <f>E14</f>
        <v>0</v>
      </c>
      <c r="F37" s="1804">
        <f>'Expenditures 15-22'!K71-SUM('Expenditures 15-22'!G71,'Expenditures 15-22'!I71)+'Expenditures 15-22'!D276-E14</f>
        <v>55000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-30000</v>
      </c>
      <c r="F40" s="1802"/>
      <c r="G40" s="1806">
        <f>-'Contracts Paid in CY 29'!G141</f>
        <v>-30000</v>
      </c>
    </row>
    <row r="41" spans="1:7" ht="12" customHeight="1" x14ac:dyDescent="0.2">
      <c r="A41" s="998" t="s">
        <v>156</v>
      </c>
      <c r="B41" s="999"/>
      <c r="C41" s="1000"/>
      <c r="D41" s="1806">
        <f>SUM(D19:D39)</f>
        <v>328103</v>
      </c>
      <c r="E41" s="1806">
        <f>SUM(E19:E40)</f>
        <v>12032314</v>
      </c>
      <c r="F41" s="1806">
        <f>SUM(F19:F39)</f>
        <v>520742</v>
      </c>
      <c r="G41" s="1806">
        <f>SUM(G19:G40)</f>
        <v>11839675</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328103</v>
      </c>
      <c r="F43" s="1807" t="s">
        <v>473</v>
      </c>
      <c r="G43" s="1808">
        <f>F41</f>
        <v>520742</v>
      </c>
    </row>
    <row r="44" spans="1:7" ht="12" customHeight="1" x14ac:dyDescent="0.2">
      <c r="A44" s="987"/>
      <c r="B44" s="162"/>
      <c r="C44" s="1001"/>
      <c r="D44" s="1807" t="s">
        <v>474</v>
      </c>
      <c r="E44" s="1808">
        <f>E41</f>
        <v>12032314</v>
      </c>
      <c r="F44" s="1807" t="s">
        <v>474</v>
      </c>
      <c r="G44" s="1808">
        <f>G41</f>
        <v>11839675</v>
      </c>
    </row>
    <row r="45" spans="1:7" ht="12" customHeight="1" x14ac:dyDescent="0.2">
      <c r="A45" s="987"/>
      <c r="B45" s="162"/>
      <c r="C45" s="162"/>
      <c r="D45" s="1809" t="s">
        <v>1006</v>
      </c>
      <c r="E45" s="1810">
        <f>(E43/E44)</f>
        <v>2.726848717545104E-2</v>
      </c>
      <c r="F45" s="1809" t="s">
        <v>1006</v>
      </c>
      <c r="G45" s="1810">
        <f>(G43/G44)</f>
        <v>4.3982795135846214E-2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11" sqref="A11:H11"/>
      <selection pane="bottomLeft" activeCell="A11" sqref="A11:H1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Sangamon Area Spec Ed Dist</v>
      </c>
      <c r="D6" s="2310"/>
      <c r="E6" s="2310"/>
      <c r="F6" s="1852"/>
    </row>
    <row r="7" spans="1:10" ht="11.25" customHeight="1" thickBot="1" x14ac:dyDescent="0.3">
      <c r="A7" s="1850"/>
      <c r="B7" s="1851"/>
      <c r="C7" s="2311">
        <f>COVER!A13</f>
        <v>51084010061</v>
      </c>
      <c r="D7" s="2311"/>
      <c r="E7" s="2311"/>
      <c r="F7" s="1852"/>
    </row>
    <row r="8" spans="1:10" ht="25.5" customHeight="1" thickBot="1" x14ac:dyDescent="0.25">
      <c r="A8" s="1893" t="s">
        <v>1905</v>
      </c>
      <c r="B8" s="1853" t="s">
        <v>2067</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1" sqref="A11:H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Sangamon Area Spec Ed Dist</v>
      </c>
      <c r="J6" s="2320"/>
      <c r="Q6" s="1664"/>
    </row>
    <row r="7" spans="1:17" x14ac:dyDescent="0.2">
      <c r="A7" s="2321" t="s">
        <v>869</v>
      </c>
      <c r="B7" s="2322"/>
      <c r="C7" s="2322"/>
      <c r="D7" s="2322"/>
      <c r="E7" s="2323"/>
      <c r="F7" s="1017"/>
      <c r="G7" s="1009"/>
      <c r="H7" s="1016" t="s">
        <v>372</v>
      </c>
      <c r="I7" s="2324">
        <f>COVER!A13</f>
        <v>51084010061</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188155</v>
      </c>
      <c r="F12" s="1039"/>
      <c r="G12" s="1811">
        <f t="shared" ref="G12:G18" si="0">SUM(E12:F12)</f>
        <v>188155</v>
      </c>
      <c r="H12" s="1040"/>
      <c r="I12" s="1039"/>
      <c r="J12" s="1811">
        <f t="shared" ref="J12:J18" si="1">SUM(H12:I12)</f>
        <v>0</v>
      </c>
    </row>
    <row r="13" spans="1:17" ht="15" customHeight="1" x14ac:dyDescent="0.2">
      <c r="A13" s="1035">
        <v>2</v>
      </c>
      <c r="B13" s="1036" t="s">
        <v>42</v>
      </c>
      <c r="C13" s="1037"/>
      <c r="D13" s="1038">
        <v>2330</v>
      </c>
      <c r="E13" s="1811">
        <f>'Expenditures 15-22'!K51</f>
        <v>700867</v>
      </c>
      <c r="F13" s="1039"/>
      <c r="G13" s="1811">
        <f t="shared" si="0"/>
        <v>700867</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304576</v>
      </c>
      <c r="F15" s="1811">
        <f>'Expenditures 15-22'!K122</f>
        <v>0</v>
      </c>
      <c r="G15" s="1811">
        <f t="shared" si="0"/>
        <v>304576</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1193598</v>
      </c>
      <c r="F19" s="1813">
        <f t="shared" si="2"/>
        <v>0</v>
      </c>
      <c r="G19" s="1813">
        <f t="shared" si="2"/>
        <v>1193598</v>
      </c>
      <c r="H19" s="1813">
        <f t="shared" si="2"/>
        <v>0</v>
      </c>
      <c r="I19" s="1813">
        <f t="shared" si="2"/>
        <v>0</v>
      </c>
      <c r="J19" s="1813">
        <f t="shared" si="2"/>
        <v>0</v>
      </c>
    </row>
    <row r="20" spans="1:10" ht="13.5" thickTop="1" x14ac:dyDescent="0.2">
      <c r="A20" s="1035">
        <v>9</v>
      </c>
      <c r="B20" s="2331" t="s">
        <v>1978</v>
      </c>
      <c r="C20" s="2331"/>
      <c r="D20" s="2332"/>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1980</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1" sqref="A11:H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2151</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Sangamon Area Spec Ed Dist</v>
      </c>
    </row>
    <row r="65" spans="2:2" x14ac:dyDescent="0.2">
      <c r="B65" s="1070">
        <f>COVER!A13</f>
        <v>51084010061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1" sqref="A11:H1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1" sqref="A11:H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1</xdr:col>
                <xdr:colOff>209550</xdr:colOff>
                <xdr:row>2</xdr:row>
                <xdr:rowOff>152400</xdr:rowOff>
              </from>
              <to>
                <xdr:col>1</xdr:col>
                <xdr:colOff>1123950</xdr:colOff>
                <xdr:row>7</xdr:row>
                <xdr:rowOff>28575</xdr:rowOff>
              </to>
            </anchor>
          </objectPr>
        </oleObject>
      </mc:Choice>
      <mc:Fallback>
        <oleObject progId="Acrobat Document" dvAspect="DVASPECT_ICON" shapeId="51202"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1295400</xdr:colOff>
                <xdr:row>2</xdr:row>
                <xdr:rowOff>142875</xdr:rowOff>
              </from>
              <to>
                <xdr:col>1</xdr:col>
                <xdr:colOff>2209800</xdr:colOff>
                <xdr:row>7</xdr:row>
                <xdr:rowOff>19050</xdr:rowOff>
              </to>
            </anchor>
          </objectPr>
        </oleObject>
      </mc:Choice>
      <mc:Fallback>
        <oleObject progId="Acrobat Document" dvAspect="DVASPECT_ICON" shapeId="5120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1" sqref="A11:H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1984</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1985</v>
      </c>
      <c r="B4" s="2359"/>
      <c r="C4" s="2359"/>
      <c r="D4" s="2359"/>
      <c r="E4" s="2359"/>
      <c r="F4" s="2360"/>
      <c r="G4" s="1074"/>
      <c r="H4" s="1074"/>
    </row>
    <row r="5" spans="1:8" ht="14.25" customHeight="1" x14ac:dyDescent="0.2">
      <c r="A5" s="2361" t="s">
        <v>1981</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14579508</v>
      </c>
      <c r="C8" s="1815">
        <f>'Acct Summary 7-8'!D8</f>
        <v>20122</v>
      </c>
      <c r="D8" s="1815">
        <f>'Acct Summary 7-8'!F8</f>
        <v>0</v>
      </c>
      <c r="E8" s="1815">
        <f>'Acct Summary 7-8'!I8</f>
        <v>0</v>
      </c>
      <c r="F8" s="1815">
        <f>SUM(B8:E8)</f>
        <v>14599630</v>
      </c>
    </row>
    <row r="9" spans="1:8" s="1079" customFormat="1" ht="14.25" customHeight="1" thickBot="1" x14ac:dyDescent="0.25">
      <c r="A9" s="1078" t="s">
        <v>1369</v>
      </c>
      <c r="B9" s="1816">
        <f>'Acct Summary 7-8'!C17</f>
        <v>13636575</v>
      </c>
      <c r="C9" s="1816">
        <f>'Acct Summary 7-8'!D17</f>
        <v>3925</v>
      </c>
      <c r="D9" s="1816">
        <f>'Acct Summary 7-8'!F17</f>
        <v>0</v>
      </c>
      <c r="E9" s="1815"/>
      <c r="F9" s="1815">
        <f>SUM(B9:E9)</f>
        <v>13640500</v>
      </c>
    </row>
    <row r="10" spans="1:8" s="1079" customFormat="1" ht="14.25" thickTop="1" thickBot="1" x14ac:dyDescent="0.25">
      <c r="A10" s="1080" t="s">
        <v>1370</v>
      </c>
      <c r="B10" s="1817">
        <f>(B8-B9)</f>
        <v>942933</v>
      </c>
      <c r="C10" s="1817">
        <f>(C8-C9)</f>
        <v>16197</v>
      </c>
      <c r="D10" s="1817">
        <f>(D8-D9)</f>
        <v>0</v>
      </c>
      <c r="E10" s="1816">
        <f>(E8-E9)</f>
        <v>0</v>
      </c>
      <c r="F10" s="1818">
        <f>SUM(F8-F9)</f>
        <v>959130</v>
      </c>
    </row>
    <row r="11" spans="1:8" s="1079" customFormat="1" ht="14.25" thickTop="1" thickBot="1" x14ac:dyDescent="0.25">
      <c r="A11" s="1081" t="s">
        <v>1982</v>
      </c>
      <c r="B11" s="1819">
        <f>'Acct Summary 7-8'!C81</f>
        <v>1213623</v>
      </c>
      <c r="C11" s="1819">
        <f>'Acct Summary 7-8'!D81</f>
        <v>366512</v>
      </c>
      <c r="D11" s="1819">
        <f>'Acct Summary 7-8'!F81</f>
        <v>0</v>
      </c>
      <c r="E11" s="1819">
        <f>'Acct Summary 7-8'!I81</f>
        <v>0</v>
      </c>
      <c r="F11" s="1820">
        <f>SUM(B11:E11)</f>
        <v>1580135</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A11" sqref="A11:H1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51084010061</v>
      </c>
    </row>
    <row r="3" spans="1:2" x14ac:dyDescent="0.2">
      <c r="A3" t="s">
        <v>956</v>
      </c>
      <c r="B3" s="138" t="str">
        <f>COVER!A15</f>
        <v xml:space="preserve">Sangamon                 </v>
      </c>
    </row>
    <row r="4" spans="1:2" x14ac:dyDescent="0.2">
      <c r="A4" t="s">
        <v>1007</v>
      </c>
      <c r="B4" s="138" t="str">
        <f>COVER!A17</f>
        <v>Sangamon Area Spec Ed Dist</v>
      </c>
    </row>
    <row r="5" spans="1:2" x14ac:dyDescent="0.2">
      <c r="A5" t="s">
        <v>704</v>
      </c>
      <c r="B5" s="138" t="str">
        <f>COVER!A38</f>
        <v>Mark Strawn, Director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060-004845</v>
      </c>
    </row>
    <row r="16" spans="1:2" x14ac:dyDescent="0.2">
      <c r="A16" t="s">
        <v>422</v>
      </c>
      <c r="B16" s="138" t="str">
        <f>COVER!T13</f>
        <v xml:space="preserve">Pehlman and Dold, P.C.                </v>
      </c>
    </row>
    <row r="17" spans="1:2" x14ac:dyDescent="0.2">
      <c r="A17" t="s">
        <v>884</v>
      </c>
      <c r="B17" s="138" t="str">
        <f>COVER!T15</f>
        <v>Dorinda L Fitzgerald</v>
      </c>
    </row>
    <row r="18" spans="1:2" x14ac:dyDescent="0.2">
      <c r="A18" t="s">
        <v>1150</v>
      </c>
      <c r="B18" s="138" t="str">
        <f>COVER!T17</f>
        <v>100 North Amos Avenue</v>
      </c>
    </row>
    <row r="19" spans="1:2" x14ac:dyDescent="0.2">
      <c r="A19" t="s">
        <v>886</v>
      </c>
      <c r="B19" s="138" t="str">
        <f>COVER!T25</f>
        <v>dfitzgerald@p-dcpas.com</v>
      </c>
    </row>
    <row r="20" spans="1:2" x14ac:dyDescent="0.2">
      <c r="A20" t="s">
        <v>887</v>
      </c>
      <c r="B20" s="138" t="str">
        <f>COVER!T19</f>
        <v>Springfield</v>
      </c>
    </row>
    <row r="21" spans="1:2" x14ac:dyDescent="0.2">
      <c r="A21" t="s">
        <v>479</v>
      </c>
      <c r="B21" s="138" t="str">
        <f>COVER!X19</f>
        <v>IL</v>
      </c>
    </row>
    <row r="22" spans="1:2" x14ac:dyDescent="0.2">
      <c r="A22" t="s">
        <v>888</v>
      </c>
      <c r="B22" s="138">
        <f>COVER!Z19</f>
        <v>62702</v>
      </c>
    </row>
    <row r="23" spans="1:2" x14ac:dyDescent="0.2">
      <c r="A23" t="s">
        <v>1152</v>
      </c>
      <c r="B23" s="138" t="str">
        <f>COVER!T21</f>
        <v>(217) 787-0563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1216781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3158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3158</v>
      </c>
      <c r="C91" s="2" t="s">
        <v>573</v>
      </c>
      <c r="D91" s="2" t="str">
        <f t="shared" si="0"/>
        <v>Error?</v>
      </c>
    </row>
    <row r="92" spans="1:4" x14ac:dyDescent="0.2">
      <c r="A92" s="5">
        <v>31</v>
      </c>
      <c r="B92" s="138">
        <f>'Assets-Liab 5-6'!C39</f>
        <v>1213623</v>
      </c>
      <c r="D92" s="2" t="str">
        <f t="shared" si="0"/>
        <v>Error?</v>
      </c>
    </row>
    <row r="93" spans="1:4" x14ac:dyDescent="0.2">
      <c r="A93" s="5">
        <v>32</v>
      </c>
      <c r="B93" s="138">
        <f>'Assets-Liab 5-6'!C41</f>
        <v>1216781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366512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366512</v>
      </c>
      <c r="D123" s="2" t="str">
        <f t="shared" si="0"/>
        <v>Error?</v>
      </c>
    </row>
    <row r="124" spans="1:4" x14ac:dyDescent="0.2">
      <c r="A124" s="5">
        <v>63</v>
      </c>
      <c r="B124" s="138">
        <f>'Assets-Liab 5-6'!D41</f>
        <v>366512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28700</v>
      </c>
      <c r="D273" s="2" t="str">
        <f t="shared" si="3"/>
        <v>Error?</v>
      </c>
    </row>
    <row r="274" spans="1:4" x14ac:dyDescent="0.2">
      <c r="A274" s="5">
        <v>213</v>
      </c>
      <c r="B274" s="138">
        <f>'Assets-Liab 5-6'!M17</f>
        <v>1544781</v>
      </c>
      <c r="D274" s="2" t="str">
        <f t="shared" si="3"/>
        <v>Error?</v>
      </c>
    </row>
    <row r="275" spans="1:4" x14ac:dyDescent="0.2">
      <c r="A275" s="5">
        <v>214</v>
      </c>
      <c r="B275" s="138">
        <f>'Assets-Liab 5-6'!M18</f>
        <v>70283</v>
      </c>
      <c r="D275" s="2" t="str">
        <f t="shared" si="3"/>
        <v>Error?</v>
      </c>
    </row>
    <row r="276" spans="1:4" x14ac:dyDescent="0.2">
      <c r="A276" s="5">
        <v>215</v>
      </c>
      <c r="B276" s="138">
        <f>'Assets-Liab 5-6'!M19</f>
        <v>286105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1929869</v>
      </c>
      <c r="C279" s="2" t="s">
        <v>573</v>
      </c>
      <c r="D279" s="2" t="str">
        <f t="shared" si="3"/>
        <v>Error?</v>
      </c>
    </row>
    <row r="280" spans="1:4" x14ac:dyDescent="0.2">
      <c r="A280" s="5">
        <v>219</v>
      </c>
      <c r="B280" s="138">
        <f>'Assets-Liab 5-6'!M40</f>
        <v>1929869</v>
      </c>
      <c r="D280" s="2" t="str">
        <f t="shared" si="3"/>
        <v>Error?</v>
      </c>
    </row>
    <row r="281" spans="1:4" x14ac:dyDescent="0.2">
      <c r="A281" s="5">
        <v>220</v>
      </c>
      <c r="B281" s="138">
        <f>'Assets-Liab 5-6'!M41</f>
        <v>1929869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229064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44523</v>
      </c>
      <c r="D719" s="2" t="str">
        <f t="shared" si="10"/>
        <v>Error?</v>
      </c>
    </row>
    <row r="720" spans="1:4" x14ac:dyDescent="0.2">
      <c r="A720" s="5">
        <v>659</v>
      </c>
      <c r="B720" s="138">
        <f>'Expenditures 15-22'!C33</f>
        <v>4550393</v>
      </c>
      <c r="C720" s="2" t="s">
        <v>573</v>
      </c>
      <c r="D720" s="2" t="str">
        <f t="shared" si="10"/>
        <v>Error?</v>
      </c>
    </row>
    <row r="721" spans="1:4" x14ac:dyDescent="0.2">
      <c r="A721" s="5">
        <v>660</v>
      </c>
      <c r="B721" s="138">
        <f>'Expenditures 15-22'!C36</f>
        <v>579238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635313</v>
      </c>
      <c r="D723" s="2" t="str">
        <f t="shared" si="10"/>
        <v>Error?</v>
      </c>
    </row>
    <row r="724" spans="1:4" x14ac:dyDescent="0.2">
      <c r="A724" s="5">
        <v>663</v>
      </c>
      <c r="B724" s="138">
        <f>'Expenditures 15-22'!C39</f>
        <v>475225</v>
      </c>
      <c r="D724" s="2" t="str">
        <f t="shared" si="10"/>
        <v>Error?</v>
      </c>
    </row>
    <row r="725" spans="1:4" x14ac:dyDescent="0.2">
      <c r="A725" s="5">
        <v>664</v>
      </c>
      <c r="B725" s="138">
        <f>'Expenditures 15-22'!C40</f>
        <v>685733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2375509</v>
      </c>
      <c r="C727" s="2" t="s">
        <v>573</v>
      </c>
      <c r="D727" s="2" t="str">
        <f t="shared" si="10"/>
        <v>Error?</v>
      </c>
    </row>
    <row r="728" spans="1:4" x14ac:dyDescent="0.2">
      <c r="A728" s="5">
        <v>667</v>
      </c>
      <c r="B728" s="138">
        <f>'Expenditures 15-22'!C44</f>
        <v>91749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91749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143966</v>
      </c>
      <c r="D733" s="2" t="str">
        <f t="shared" si="10"/>
        <v>Error?</v>
      </c>
    </row>
    <row r="734" spans="1:4" x14ac:dyDescent="0.2">
      <c r="A734" s="5">
        <v>673</v>
      </c>
      <c r="B734" s="138">
        <f>'Expenditures 15-22'!C53</f>
        <v>712892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187955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47964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235919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3416069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7966462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50731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12932</v>
      </c>
      <c r="D777" s="2" t="str">
        <f t="shared" si="11"/>
        <v>Error?</v>
      </c>
    </row>
    <row r="778" spans="1:4" x14ac:dyDescent="0.2">
      <c r="A778" s="5">
        <v>717</v>
      </c>
      <c r="B778" s="138">
        <f>'Expenditures 15-22'!D33</f>
        <v>1586017</v>
      </c>
      <c r="C778" s="2" t="s">
        <v>573</v>
      </c>
      <c r="D778" s="2" t="str">
        <f t="shared" si="11"/>
        <v>Error?</v>
      </c>
    </row>
    <row r="779" spans="1:4" x14ac:dyDescent="0.2">
      <c r="A779" s="5">
        <v>718</v>
      </c>
      <c r="B779" s="138">
        <f>'Expenditures 15-22'!D36</f>
        <v>132299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207663</v>
      </c>
      <c r="D781" s="2" t="str">
        <f t="shared" si="11"/>
        <v>Error?</v>
      </c>
    </row>
    <row r="782" spans="1:4" x14ac:dyDescent="0.2">
      <c r="A782" s="5">
        <v>721</v>
      </c>
      <c r="B782" s="138">
        <f>'Expenditures 15-22'!D39</f>
        <v>124461</v>
      </c>
      <c r="D782" s="2" t="str">
        <f t="shared" si="11"/>
        <v>Error?</v>
      </c>
    </row>
    <row r="783" spans="1:4" x14ac:dyDescent="0.2">
      <c r="A783" s="5">
        <v>722</v>
      </c>
      <c r="B783" s="138">
        <f>'Expenditures 15-22'!D40</f>
        <v>173615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638038</v>
      </c>
      <c r="C785" s="2" t="s">
        <v>573</v>
      </c>
      <c r="D785" s="2" t="str">
        <f t="shared" si="11"/>
        <v>Error?</v>
      </c>
    </row>
    <row r="786" spans="1:4" x14ac:dyDescent="0.2">
      <c r="A786" s="5">
        <v>725</v>
      </c>
      <c r="B786" s="138">
        <f>'Expenditures 15-22'!D44</f>
        <v>30610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30610</v>
      </c>
      <c r="C789" s="2" t="s">
        <v>573</v>
      </c>
      <c r="D789" s="2" t="str">
        <f t="shared" si="11"/>
        <v>Error?</v>
      </c>
    </row>
    <row r="790" spans="1:4" x14ac:dyDescent="0.2">
      <c r="A790" s="5">
        <v>729</v>
      </c>
      <c r="B790" s="138">
        <f>'Expenditures 15-22'!D49</f>
        <v>27163</v>
      </c>
      <c r="D790" s="2" t="str">
        <f t="shared" si="11"/>
        <v>Error?</v>
      </c>
    </row>
    <row r="791" spans="1:4" x14ac:dyDescent="0.2">
      <c r="A791" s="5">
        <v>730</v>
      </c>
      <c r="B791" s="138">
        <f>'Expenditures 15-22'!D50</f>
        <v>30191</v>
      </c>
      <c r="D791" s="2" t="str">
        <f t="shared" si="11"/>
        <v>Error?</v>
      </c>
    </row>
    <row r="792" spans="1:4" x14ac:dyDescent="0.2">
      <c r="A792" s="5">
        <v>731</v>
      </c>
      <c r="B792" s="138">
        <f>'Expenditures 15-22'!D53</f>
        <v>173788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66090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18909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84999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927435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2513452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7001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150717</v>
      </c>
      <c r="C836" s="2" t="s">
        <v>573</v>
      </c>
      <c r="D836" s="2" t="str">
        <f t="shared" si="12"/>
        <v>Error?</v>
      </c>
    </row>
    <row r="837" spans="1:4" x14ac:dyDescent="0.2">
      <c r="A837" s="5">
        <v>776</v>
      </c>
      <c r="B837" s="138">
        <f>'Expenditures 15-22'!E36</f>
        <v>10152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26572</v>
      </c>
      <c r="D839" s="2" t="str">
        <f t="shared" si="12"/>
        <v>Error?</v>
      </c>
    </row>
    <row r="840" spans="1:4" x14ac:dyDescent="0.2">
      <c r="A840" s="5">
        <v>779</v>
      </c>
      <c r="B840" s="138">
        <f>'Expenditures 15-22'!E39</f>
        <v>11622</v>
      </c>
      <c r="D840" s="2" t="str">
        <f t="shared" si="12"/>
        <v>Error?</v>
      </c>
    </row>
    <row r="841" spans="1:4" x14ac:dyDescent="0.2">
      <c r="A841" s="5">
        <v>780</v>
      </c>
      <c r="B841" s="138">
        <f>'Expenditures 15-22'!E40</f>
        <v>70763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119109</v>
      </c>
      <c r="C843" s="2" t="s">
        <v>573</v>
      </c>
      <c r="D843" s="2" t="str">
        <f t="shared" si="12"/>
        <v>Error?</v>
      </c>
    </row>
    <row r="844" spans="1:4" x14ac:dyDescent="0.2">
      <c r="A844" s="5">
        <v>783</v>
      </c>
      <c r="B844" s="138">
        <f>'Expenditures 15-22'!E44</f>
        <v>35959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35959</v>
      </c>
      <c r="C847" s="2" t="s">
        <v>573</v>
      </c>
      <c r="D847" s="2" t="str">
        <f t="shared" si="12"/>
        <v>Error?</v>
      </c>
    </row>
    <row r="848" spans="1:4" x14ac:dyDescent="0.2">
      <c r="A848" s="5">
        <v>787</v>
      </c>
      <c r="B848" s="138">
        <f>'Expenditures 15-22'!E49</f>
        <v>72715</v>
      </c>
      <c r="D848" s="2" t="str">
        <f t="shared" si="12"/>
        <v>Error?</v>
      </c>
    </row>
    <row r="849" spans="1:4" x14ac:dyDescent="0.2">
      <c r="A849" s="5">
        <v>788</v>
      </c>
      <c r="B849" s="138">
        <f>'Expenditures 15-22'!E50</f>
        <v>11176</v>
      </c>
      <c r="D849" s="2" t="str">
        <f t="shared" si="12"/>
        <v>Error?</v>
      </c>
    </row>
    <row r="850" spans="1:4" x14ac:dyDescent="0.2">
      <c r="A850" s="5">
        <v>789</v>
      </c>
      <c r="B850" s="138">
        <f>'Expenditures 15-22'!E53</f>
        <v>99398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12271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107377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119648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374114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536081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148</v>
      </c>
      <c r="D893" s="2" t="str">
        <f t="shared" si="12"/>
        <v>Error?</v>
      </c>
    </row>
    <row r="894" spans="1:4" x14ac:dyDescent="0.2">
      <c r="A894" s="5">
        <v>833</v>
      </c>
      <c r="B894" s="138">
        <f>'Expenditures 15-22'!F33</f>
        <v>38093</v>
      </c>
      <c r="C894" s="2" t="s">
        <v>573</v>
      </c>
      <c r="D894" s="2" t="str">
        <f t="shared" si="12"/>
        <v>Error?</v>
      </c>
    </row>
    <row r="895" spans="1:4" x14ac:dyDescent="0.2">
      <c r="A895" s="5">
        <v>834</v>
      </c>
      <c r="B895" s="138">
        <f>'Expenditures 15-22'!F36</f>
        <v>1088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5547</v>
      </c>
      <c r="D897" s="2" t="str">
        <f t="shared" si="13"/>
        <v>Error?</v>
      </c>
    </row>
    <row r="898" spans="1:4" x14ac:dyDescent="0.2">
      <c r="A898" s="5">
        <v>837</v>
      </c>
      <c r="B898" s="138">
        <f>'Expenditures 15-22'!F39</f>
        <v>3759</v>
      </c>
      <c r="D898" s="2" t="str">
        <f t="shared" si="13"/>
        <v>Error?</v>
      </c>
    </row>
    <row r="899" spans="1:4" x14ac:dyDescent="0.2">
      <c r="A899" s="5">
        <v>838</v>
      </c>
      <c r="B899" s="138">
        <f>'Expenditures 15-22'!F40</f>
        <v>2905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13299</v>
      </c>
      <c r="C901" s="2" t="s">
        <v>573</v>
      </c>
      <c r="D901" s="2" t="str">
        <f t="shared" si="13"/>
        <v>Error?</v>
      </c>
    </row>
    <row r="902" spans="1:4" x14ac:dyDescent="0.2">
      <c r="A902" s="5">
        <v>841</v>
      </c>
      <c r="B902" s="138">
        <f>'Expenditures 15-22'!F44</f>
        <v>135863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135863</v>
      </c>
      <c r="C905" s="2" t="s">
        <v>573</v>
      </c>
      <c r="D905" s="2" t="str">
        <f t="shared" si="13"/>
        <v>Error?</v>
      </c>
    </row>
    <row r="906" spans="1:4" x14ac:dyDescent="0.2">
      <c r="A906" s="5">
        <v>845</v>
      </c>
      <c r="B906" s="138">
        <f>'Expenditures 15-22'!F49</f>
        <v>1563</v>
      </c>
      <c r="D906" s="2" t="str">
        <f t="shared" si="13"/>
        <v>Error?</v>
      </c>
    </row>
    <row r="907" spans="1:4" x14ac:dyDescent="0.2">
      <c r="A907" s="5">
        <v>846</v>
      </c>
      <c r="B907" s="138">
        <f>'Expenditures 15-22'!F50</f>
        <v>2822</v>
      </c>
      <c r="D907" s="2" t="str">
        <f t="shared" si="13"/>
        <v>Error?</v>
      </c>
    </row>
    <row r="908" spans="1:4" x14ac:dyDescent="0.2">
      <c r="A908" s="5">
        <v>847</v>
      </c>
      <c r="B908" s="138">
        <f>'Expenditures 15-22'!F53</f>
        <v>4385</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6787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18389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25176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55000</v>
      </c>
      <c r="D925" s="2" t="str">
        <f t="shared" si="13"/>
        <v>Error?</v>
      </c>
    </row>
    <row r="926" spans="1:4" x14ac:dyDescent="0.2">
      <c r="A926" s="10">
        <v>865</v>
      </c>
      <c r="D926" s="2" t="str">
        <f t="shared" si="13"/>
        <v>OK</v>
      </c>
    </row>
    <row r="927" spans="1:4" x14ac:dyDescent="0.2">
      <c r="A927" s="5">
        <v>866</v>
      </c>
      <c r="B927" s="138">
        <f>'Expenditures 15-22'!F72</f>
        <v>55000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233723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271816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18630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18630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31473</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75652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107125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125755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125755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996458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117398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117398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117398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1109153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2223009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286796</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57603</v>
      </c>
      <c r="C1107" s="2" t="s">
        <v>573</v>
      </c>
      <c r="D1107" s="2" t="str">
        <f t="shared" si="16"/>
        <v>Error?</v>
      </c>
    </row>
    <row r="1108" spans="1:4" x14ac:dyDescent="0.2">
      <c r="A1108" s="5">
        <v>1047</v>
      </c>
      <c r="B1108" s="138">
        <f>'Expenditures 15-22'!K33</f>
        <v>7321678</v>
      </c>
      <c r="C1108" s="2" t="s">
        <v>573</v>
      </c>
      <c r="D1108" s="2" t="str">
        <f t="shared" si="16"/>
        <v>Error?</v>
      </c>
    </row>
    <row r="1109" spans="1:4" x14ac:dyDescent="0.2">
      <c r="A1109" s="5">
        <v>1048</v>
      </c>
      <c r="B1109" s="138">
        <f>'Expenditures 15-22'!K36</f>
        <v>722777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875095</v>
      </c>
      <c r="C1111" s="2" t="s">
        <v>573</v>
      </c>
      <c r="D1111" s="2" t="str">
        <f t="shared" si="16"/>
        <v>Error?</v>
      </c>
    </row>
    <row r="1112" spans="1:4" x14ac:dyDescent="0.2">
      <c r="A1112" s="5">
        <v>1051</v>
      </c>
      <c r="B1112" s="138">
        <f>'Expenditures 15-22'!K39</f>
        <v>615067</v>
      </c>
      <c r="C1112" s="2" t="s">
        <v>573</v>
      </c>
      <c r="D1112" s="2" t="str">
        <f t="shared" si="16"/>
        <v>Error?</v>
      </c>
    </row>
    <row r="1113" spans="1:4" x14ac:dyDescent="0.2">
      <c r="A1113" s="5">
        <v>1052</v>
      </c>
      <c r="B1113" s="138">
        <f>'Expenditures 15-22'!K40</f>
        <v>933016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3145955</v>
      </c>
      <c r="C1115" s="2" t="s">
        <v>573</v>
      </c>
      <c r="D1115" s="2" t="str">
        <f t="shared" si="16"/>
        <v>Error?</v>
      </c>
    </row>
    <row r="1116" spans="1:4" x14ac:dyDescent="0.2">
      <c r="A1116" s="5">
        <v>1055</v>
      </c>
      <c r="B1116" s="138">
        <f>'Expenditures 15-22'!K44</f>
        <v>312811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312811</v>
      </c>
      <c r="C1119" s="2" t="s">
        <v>573</v>
      </c>
      <c r="D1119" s="2" t="str">
        <f t="shared" si="16"/>
        <v>Error?</v>
      </c>
    </row>
    <row r="1120" spans="1:4" x14ac:dyDescent="0.2">
      <c r="A1120" s="5">
        <v>1059</v>
      </c>
      <c r="B1120" s="138">
        <f>'Expenditures 15-22'!K49</f>
        <v>218839</v>
      </c>
      <c r="C1120" s="2" t="s">
        <v>573</v>
      </c>
      <c r="D1120" s="2" t="str">
        <f t="shared" si="16"/>
        <v>Error?</v>
      </c>
    </row>
    <row r="1121" spans="1:4" x14ac:dyDescent="0.2">
      <c r="A1121" s="5">
        <v>1060</v>
      </c>
      <c r="B1121" s="138">
        <f>'Expenditures 15-22'!K50</f>
        <v>188155</v>
      </c>
      <c r="C1121" s="2" t="s">
        <v>573</v>
      </c>
      <c r="D1121" s="2" t="str">
        <f t="shared" si="16"/>
        <v>Error?</v>
      </c>
    </row>
    <row r="1122" spans="1:4" x14ac:dyDescent="0.2">
      <c r="A1122" s="5">
        <v>1061</v>
      </c>
      <c r="B1122" s="138">
        <f>'Expenditures 15-22'!K53</f>
        <v>1107861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304576</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268291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572867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55000</v>
      </c>
      <c r="C1139" s="2" t="s">
        <v>573</v>
      </c>
      <c r="D1139" s="2" t="str">
        <f t="shared" si="16"/>
        <v>Error?</v>
      </c>
    </row>
    <row r="1140" spans="1:4" x14ac:dyDescent="0.2">
      <c r="A1140" s="10">
        <v>1079</v>
      </c>
      <c r="D1140" s="2" t="str">
        <f t="shared" si="16"/>
        <v>OK</v>
      </c>
    </row>
    <row r="1141" spans="1:4" x14ac:dyDescent="0.2">
      <c r="A1141" s="5">
        <v>1080</v>
      </c>
      <c r="B1141" s="138">
        <f>'Expenditures 15-22'!K72</f>
        <v>55000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5194494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1120403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13636575</v>
      </c>
      <c r="C1152" s="2" t="s">
        <v>573</v>
      </c>
      <c r="D1152" s="2" t="str">
        <f t="shared" si="17"/>
        <v>Error?</v>
      </c>
    </row>
    <row r="1153" spans="1:4" x14ac:dyDescent="0.2">
      <c r="A1153" s="5">
        <v>1092</v>
      </c>
      <c r="B1153" s="138">
        <f>'Expenditures 15-22'!K115</f>
        <v>942933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3925</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3925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3925</v>
      </c>
      <c r="C1241" s="2" t="s">
        <v>573</v>
      </c>
      <c r="D1241" s="2" t="str">
        <f t="shared" si="18"/>
        <v>Error?</v>
      </c>
    </row>
    <row r="1242" spans="1:4" x14ac:dyDescent="0.2">
      <c r="A1242" s="5">
        <v>1181</v>
      </c>
      <c r="B1242" s="138">
        <f>'Expenditures 15-22'!E151</f>
        <v>3925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3925</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3925</v>
      </c>
      <c r="C1288" s="2" t="s">
        <v>573</v>
      </c>
      <c r="D1288" s="2" t="str">
        <f t="shared" si="19"/>
        <v>Error?</v>
      </c>
    </row>
    <row r="1289" spans="1:4" x14ac:dyDescent="0.2">
      <c r="A1289" s="5">
        <v>1228</v>
      </c>
      <c r="B1289" s="138">
        <f>'Expenditures 15-22'!K152</f>
        <v>16197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319469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1213623</v>
      </c>
      <c r="C1630" s="2" t="s">
        <v>573</v>
      </c>
      <c r="D1630" s="2" t="str">
        <f t="shared" si="24"/>
        <v>Error?</v>
      </c>
    </row>
    <row r="1631" spans="1:4" x14ac:dyDescent="0.2">
      <c r="A1631" s="5">
        <v>1570</v>
      </c>
      <c r="B1631" s="138">
        <f>'Acct Summary 7-8'!D79</f>
        <v>301536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366512</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28700</v>
      </c>
      <c r="D2008" s="2" t="str">
        <f t="shared" si="30"/>
        <v>Error?</v>
      </c>
    </row>
    <row r="2009" spans="1:4" x14ac:dyDescent="0.2">
      <c r="A2009" s="5">
        <v>1948</v>
      </c>
      <c r="B2009" s="138">
        <f>'Cap Outlay Deprec 26'!C8</f>
        <v>1293010</v>
      </c>
      <c r="D2009" s="2" t="str">
        <f t="shared" si="30"/>
        <v>Error?</v>
      </c>
    </row>
    <row r="2010" spans="1:4" x14ac:dyDescent="0.2">
      <c r="A2010" s="5">
        <v>1949</v>
      </c>
      <c r="B2010" s="138">
        <f>'Cap Outlay Deprec 26'!C10</f>
        <v>70283</v>
      </c>
      <c r="D2010" s="2" t="str">
        <f t="shared" si="30"/>
        <v>Error?</v>
      </c>
    </row>
    <row r="2011" spans="1:4" x14ac:dyDescent="0.2">
      <c r="A2011" s="5">
        <v>1950</v>
      </c>
      <c r="B2011" s="138">
        <f>'Cap Outlay Deprec 26'!C12</f>
        <v>231114</v>
      </c>
      <c r="D2011" s="2" t="str">
        <f t="shared" si="30"/>
        <v>Error?</v>
      </c>
    </row>
    <row r="2012" spans="1:4" x14ac:dyDescent="0.2">
      <c r="A2012" s="5">
        <v>1951</v>
      </c>
      <c r="B2012" s="138">
        <f>'Cap Outlay Deprec 26'!C13</f>
        <v>21100</v>
      </c>
      <c r="D2012" s="2" t="str">
        <f t="shared" si="30"/>
        <v>Error?</v>
      </c>
    </row>
    <row r="2013" spans="1:4" x14ac:dyDescent="0.2">
      <c r="A2013" s="5">
        <v>1952</v>
      </c>
      <c r="B2013" s="138">
        <f>'Cap Outlay Deprec 26'!C16</f>
        <v>1820326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251771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50103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301874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16212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192331</v>
      </c>
      <c r="C2025" s="2" t="s">
        <v>573</v>
      </c>
      <c r="D2025" s="2" t="str">
        <f t="shared" si="30"/>
        <v>Error?</v>
      </c>
    </row>
    <row r="2026" spans="1:4" x14ac:dyDescent="0.2">
      <c r="A2026" s="5">
        <v>1965</v>
      </c>
      <c r="B2026" s="138">
        <f>'Cap Outlay Deprec 26'!F5</f>
        <v>28700</v>
      </c>
      <c r="C2026" s="2" t="s">
        <v>573</v>
      </c>
      <c r="D2026" s="2" t="str">
        <f t="shared" si="30"/>
        <v>Error?</v>
      </c>
    </row>
    <row r="2027" spans="1:4" x14ac:dyDescent="0.2">
      <c r="A2027" s="5">
        <v>1966</v>
      </c>
      <c r="B2027" s="138">
        <f>'Cap Outlay Deprec 26'!F8</f>
        <v>1544781</v>
      </c>
      <c r="C2027" s="2" t="s">
        <v>573</v>
      </c>
      <c r="D2027" s="2" t="str">
        <f t="shared" si="30"/>
        <v>Error?</v>
      </c>
    </row>
    <row r="2028" spans="1:4" x14ac:dyDescent="0.2">
      <c r="A2028" s="5">
        <v>1967</v>
      </c>
      <c r="B2028" s="138">
        <f>'Cap Outlay Deprec 26'!F10</f>
        <v>70283</v>
      </c>
      <c r="C2028" s="2" t="s">
        <v>573</v>
      </c>
      <c r="D2028" s="2" t="str">
        <f t="shared" si="30"/>
        <v>Error?</v>
      </c>
    </row>
    <row r="2029" spans="1:4" x14ac:dyDescent="0.2">
      <c r="A2029" s="5">
        <v>1968</v>
      </c>
      <c r="B2029" s="138">
        <f>'Cap Outlay Deprec 26'!F12</f>
        <v>265005</v>
      </c>
      <c r="C2029" s="2" t="s">
        <v>573</v>
      </c>
      <c r="D2029" s="2" t="str">
        <f t="shared" si="30"/>
        <v>Error?</v>
      </c>
    </row>
    <row r="2030" spans="1:4" x14ac:dyDescent="0.2">
      <c r="A2030" s="5">
        <v>1969</v>
      </c>
      <c r="B2030" s="138">
        <f>'Cap Outlay Deprec 26'!F13</f>
        <v>21100</v>
      </c>
      <c r="C2030" s="2" t="s">
        <v>573</v>
      </c>
      <c r="D2030" s="2" t="str">
        <f t="shared" si="30"/>
        <v>Error?</v>
      </c>
    </row>
    <row r="2031" spans="1:4" x14ac:dyDescent="0.2">
      <c r="A2031" s="5">
        <v>1970</v>
      </c>
      <c r="B2031" s="138">
        <f>'Cap Outlay Deprec 26'!F16</f>
        <v>1929869</v>
      </c>
      <c r="C2031" s="2" t="s">
        <v>573</v>
      </c>
      <c r="D2031" s="2" t="str">
        <f t="shared" si="30"/>
        <v>Error?</v>
      </c>
    </row>
    <row r="2032" spans="1:4" x14ac:dyDescent="0.2">
      <c r="A2032" s="10">
        <v>1971</v>
      </c>
      <c r="D2032" s="2" t="str">
        <f t="shared" si="30"/>
        <v>OK</v>
      </c>
    </row>
    <row r="2033" spans="1:4" x14ac:dyDescent="0.2">
      <c r="A2033" s="5">
        <v>1972</v>
      </c>
      <c r="B2033" s="138">
        <f>'Cap Outlay Deprec 26'!H8</f>
        <v>524748</v>
      </c>
      <c r="D2033" s="2" t="str">
        <f t="shared" si="30"/>
        <v>Error?</v>
      </c>
    </row>
    <row r="2034" spans="1:4" x14ac:dyDescent="0.2">
      <c r="A2034" s="5">
        <v>1973</v>
      </c>
      <c r="B2034" s="138">
        <f>'Cap Outlay Deprec 26'!H10</f>
        <v>70283</v>
      </c>
      <c r="D2034" s="2" t="str">
        <f t="shared" si="30"/>
        <v>Error?</v>
      </c>
    </row>
    <row r="2035" spans="1:4" x14ac:dyDescent="0.2">
      <c r="A2035" s="5">
        <v>1974</v>
      </c>
      <c r="B2035" s="138">
        <f>'Cap Outlay Deprec 26'!H12</f>
        <v>117456</v>
      </c>
      <c r="D2035" s="2" t="str">
        <f t="shared" si="30"/>
        <v>Error?</v>
      </c>
    </row>
    <row r="2036" spans="1:4" x14ac:dyDescent="0.2">
      <c r="A2036" s="5">
        <v>1975</v>
      </c>
      <c r="B2036" s="138">
        <f>'Cap Outlay Deprec 26'!H13</f>
        <v>8440</v>
      </c>
      <c r="D2036" s="2" t="str">
        <f t="shared" si="30"/>
        <v>Error?</v>
      </c>
    </row>
    <row r="2037" spans="1:4" x14ac:dyDescent="0.2">
      <c r="A2037" s="5">
        <v>1976</v>
      </c>
      <c r="B2037" s="138">
        <f>'Cap Outlay Deprec 26'!H16</f>
        <v>720927</v>
      </c>
      <c r="C2037" s="2" t="s">
        <v>573</v>
      </c>
      <c r="D2037" s="2" t="str">
        <f t="shared" si="30"/>
        <v>Error?</v>
      </c>
    </row>
    <row r="2038" spans="1:4" x14ac:dyDescent="0.2">
      <c r="A2038" s="10">
        <v>1977</v>
      </c>
      <c r="D2038" s="2" t="str">
        <f t="shared" si="30"/>
        <v>OK</v>
      </c>
    </row>
    <row r="2039" spans="1:4" x14ac:dyDescent="0.2">
      <c r="A2039" s="5">
        <v>1978</v>
      </c>
      <c r="B2039" s="138">
        <f>'Cap Outlay Deprec 26'!I8</f>
        <v>30896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26056</v>
      </c>
      <c r="D2041" s="2" t="str">
        <f t="shared" si="30"/>
        <v>Error?</v>
      </c>
    </row>
    <row r="2042" spans="1:4" x14ac:dyDescent="0.2">
      <c r="A2042" s="5">
        <v>1981</v>
      </c>
      <c r="B2042" s="138">
        <f>'Cap Outlay Deprec 26'!I13</f>
        <v>4220</v>
      </c>
      <c r="D2042" s="2" t="str">
        <f t="shared" si="30"/>
        <v>Error?</v>
      </c>
    </row>
    <row r="2043" spans="1:4" x14ac:dyDescent="0.2">
      <c r="A2043" s="5">
        <v>1982</v>
      </c>
      <c r="B2043" s="138">
        <f>'Cap Outlay Deprec 26'!I16</f>
        <v>61172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16212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16212</v>
      </c>
      <c r="C2049" s="2" t="s">
        <v>573</v>
      </c>
      <c r="D2049" s="2" t="str">
        <f t="shared" si="31"/>
        <v>Error?</v>
      </c>
    </row>
    <row r="2050" spans="1:4" x14ac:dyDescent="0.2">
      <c r="A2050" s="10">
        <v>1989</v>
      </c>
      <c r="D2050" s="2" t="str">
        <f t="shared" si="31"/>
        <v>OK</v>
      </c>
    </row>
    <row r="2051" spans="1:4" x14ac:dyDescent="0.2">
      <c r="A2051" s="5">
        <v>1990</v>
      </c>
      <c r="B2051" s="138">
        <f>'Cap Outlay Deprec 26'!K8</f>
        <v>555644</v>
      </c>
      <c r="C2051" s="2" t="s">
        <v>573</v>
      </c>
      <c r="D2051" s="2" t="str">
        <f t="shared" si="31"/>
        <v>Error?</v>
      </c>
    </row>
    <row r="2052" spans="1:4" x14ac:dyDescent="0.2">
      <c r="A2052" s="5">
        <v>1991</v>
      </c>
      <c r="B2052" s="138">
        <f>'Cap Outlay Deprec 26'!K10</f>
        <v>70283</v>
      </c>
      <c r="C2052" s="2" t="s">
        <v>573</v>
      </c>
      <c r="D2052" s="2" t="str">
        <f t="shared" si="31"/>
        <v>Error?</v>
      </c>
    </row>
    <row r="2053" spans="1:4" x14ac:dyDescent="0.2">
      <c r="A2053" s="5">
        <v>1992</v>
      </c>
      <c r="B2053" s="138">
        <f>'Cap Outlay Deprec 26'!K12</f>
        <v>127300</v>
      </c>
      <c r="C2053" s="2" t="s">
        <v>573</v>
      </c>
      <c r="D2053" s="2" t="str">
        <f t="shared" si="31"/>
        <v>Error?</v>
      </c>
    </row>
    <row r="2054" spans="1:4" x14ac:dyDescent="0.2">
      <c r="A2054" s="5">
        <v>1993</v>
      </c>
      <c r="B2054" s="138">
        <f>'Cap Outlay Deprec 26'!K13</f>
        <v>12660</v>
      </c>
      <c r="C2054" s="2" t="s">
        <v>573</v>
      </c>
      <c r="D2054" s="2" t="str">
        <f t="shared" si="31"/>
        <v>Error?</v>
      </c>
    </row>
    <row r="2055" spans="1:4" x14ac:dyDescent="0.2">
      <c r="A2055" s="5">
        <v>1994</v>
      </c>
      <c r="B2055" s="138">
        <f>'Cap Outlay Deprec 26'!K16</f>
        <v>765887</v>
      </c>
      <c r="C2055" s="2" t="s">
        <v>573</v>
      </c>
      <c r="D2055" s="2" t="str">
        <f t="shared" si="31"/>
        <v>Error?</v>
      </c>
    </row>
    <row r="2056" spans="1:4" x14ac:dyDescent="0.2">
      <c r="A2056" s="5">
        <v>1995</v>
      </c>
      <c r="B2056" s="138">
        <f>'Cap Outlay Deprec 26'!L5</f>
        <v>28700</v>
      </c>
      <c r="C2056" s="2" t="s">
        <v>573</v>
      </c>
      <c r="D2056" s="2" t="str">
        <f t="shared" si="31"/>
        <v>Error?</v>
      </c>
    </row>
    <row r="2057" spans="1:4" x14ac:dyDescent="0.2">
      <c r="A2057" s="5">
        <v>1996</v>
      </c>
      <c r="B2057" s="138">
        <f>'Cap Outlay Deprec 26'!L8</f>
        <v>989137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137705</v>
      </c>
      <c r="C2059" s="2" t="s">
        <v>573</v>
      </c>
      <c r="D2059" s="2" t="str">
        <f t="shared" si="31"/>
        <v>Error?</v>
      </c>
    </row>
    <row r="2060" spans="1:4" x14ac:dyDescent="0.2">
      <c r="A2060" s="5">
        <v>1999</v>
      </c>
      <c r="B2060" s="138">
        <f>'Cap Outlay Deprec 26'!L13</f>
        <v>8440</v>
      </c>
      <c r="C2060" s="2" t="s">
        <v>573</v>
      </c>
      <c r="D2060" s="2" t="str">
        <f t="shared" si="31"/>
        <v>Error?</v>
      </c>
    </row>
    <row r="2061" spans="1:4" x14ac:dyDescent="0.2">
      <c r="A2061" s="5">
        <v>2000</v>
      </c>
      <c r="B2061" s="138">
        <f>'Cap Outlay Deprec 26'!L16</f>
        <v>1163982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1109153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1120403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8586976</v>
      </c>
      <c r="C2551" s="2" t="s">
        <v>573</v>
      </c>
      <c r="D2551" s="2" t="str">
        <f t="shared" si="38"/>
        <v>Error?</v>
      </c>
    </row>
    <row r="2552" spans="1:4" x14ac:dyDescent="0.2">
      <c r="A2552" s="10">
        <v>2491</v>
      </c>
      <c r="D2552" s="2" t="str">
        <f t="shared" si="38"/>
        <v>OK</v>
      </c>
    </row>
    <row r="2553" spans="1:4" x14ac:dyDescent="0.2">
      <c r="A2553" s="5">
        <v>2492</v>
      </c>
      <c r="B2553" s="138">
        <f>'Acct Summary 7-8'!C6</f>
        <v>1393629</v>
      </c>
      <c r="C2553" s="2" t="s">
        <v>573</v>
      </c>
      <c r="D2553" s="2" t="str">
        <f t="shared" si="38"/>
        <v>Error?</v>
      </c>
    </row>
    <row r="2554" spans="1:4" x14ac:dyDescent="0.2">
      <c r="A2554" s="5">
        <v>2493</v>
      </c>
      <c r="B2554" s="138">
        <f>'Acct Summary 7-8'!C7</f>
        <v>4598903</v>
      </c>
      <c r="C2554" s="2" t="s">
        <v>573</v>
      </c>
      <c r="D2554" s="2" t="str">
        <f t="shared" si="38"/>
        <v>Error?</v>
      </c>
    </row>
    <row r="2555" spans="1:4" x14ac:dyDescent="0.2">
      <c r="A2555" s="5">
        <v>2494</v>
      </c>
      <c r="B2555" s="138">
        <f>'Acct Summary 7-8'!C8</f>
        <v>14579508</v>
      </c>
      <c r="C2555" s="2" t="s">
        <v>573</v>
      </c>
      <c r="D2555" s="2" t="str">
        <f t="shared" si="38"/>
        <v>Error?</v>
      </c>
    </row>
    <row r="2556" spans="1:4" x14ac:dyDescent="0.2">
      <c r="A2556" s="5">
        <v>2495</v>
      </c>
      <c r="B2556" s="138">
        <f>'Acct Summary 7-8'!C12</f>
        <v>7321678</v>
      </c>
      <c r="C2556" s="2" t="s">
        <v>573</v>
      </c>
      <c r="D2556" s="2" t="str">
        <f t="shared" si="38"/>
        <v>Error?</v>
      </c>
    </row>
    <row r="2557" spans="1:4" x14ac:dyDescent="0.2">
      <c r="A2557" s="5">
        <v>2496</v>
      </c>
      <c r="B2557" s="138">
        <f>'Acct Summary 7-8'!C13</f>
        <v>5194494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1120403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13636575</v>
      </c>
      <c r="C2561" s="2" t="s">
        <v>573</v>
      </c>
      <c r="D2561" s="2" t="str">
        <f t="shared" si="39"/>
        <v>Error?</v>
      </c>
    </row>
    <row r="2562" spans="1:4" x14ac:dyDescent="0.2">
      <c r="A2562" s="5">
        <v>2501</v>
      </c>
      <c r="B2562" s="138">
        <f>'Acct Summary 7-8'!C20</f>
        <v>942933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20122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20122</v>
      </c>
      <c r="C2568" s="2" t="s">
        <v>573</v>
      </c>
      <c r="D2568" s="2" t="str">
        <f t="shared" si="39"/>
        <v>Error?</v>
      </c>
    </row>
    <row r="2569" spans="1:4" x14ac:dyDescent="0.2">
      <c r="A2569" s="5">
        <v>2508</v>
      </c>
      <c r="B2569" s="138">
        <f>'Acct Summary 7-8'!D13</f>
        <v>3925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3925</v>
      </c>
      <c r="C2573" s="2" t="s">
        <v>573</v>
      </c>
      <c r="D2573" s="2" t="str">
        <f t="shared" si="39"/>
        <v>Error?</v>
      </c>
    </row>
    <row r="2574" spans="1:4" x14ac:dyDescent="0.2">
      <c r="A2574" s="5">
        <v>2513</v>
      </c>
      <c r="B2574" s="138">
        <f>'Acct Summary 7-8'!D20</f>
        <v>16197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568926</v>
      </c>
      <c r="D2718" s="2" t="str">
        <f t="shared" si="41"/>
        <v>Error?</v>
      </c>
    </row>
    <row r="2719" spans="1:4" x14ac:dyDescent="0.2">
      <c r="A2719" s="5">
        <v>2658</v>
      </c>
      <c r="B2719" s="138">
        <f>'Expenditures 15-22'!D51</f>
        <v>116434</v>
      </c>
      <c r="D2719" s="2" t="str">
        <f t="shared" si="41"/>
        <v>Error?</v>
      </c>
    </row>
    <row r="2720" spans="1:4" x14ac:dyDescent="0.2">
      <c r="A2720" s="5">
        <v>2659</v>
      </c>
      <c r="B2720" s="138">
        <f>'Expenditures 15-22'!E51</f>
        <v>15507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700867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48779</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11250</v>
      </c>
      <c r="C2789" s="2" t="s">
        <v>573</v>
      </c>
      <c r="D2789" s="2" t="str">
        <f t="shared" si="42"/>
        <v>Error?</v>
      </c>
    </row>
    <row r="2790" spans="1:4" x14ac:dyDescent="0.2">
      <c r="A2790" s="5">
        <v>2729</v>
      </c>
      <c r="B2790" s="138">
        <f>'Expenditures 15-22'!E102</f>
        <v>11250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48779</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717</v>
      </c>
      <c r="D2914" s="2" t="str">
        <f t="shared" si="44"/>
        <v>Error?</v>
      </c>
    </row>
    <row r="2915" spans="1:4" x14ac:dyDescent="0.2">
      <c r="A2915" s="10">
        <v>2854</v>
      </c>
      <c r="D2915" s="2" t="str">
        <f t="shared" si="44"/>
        <v>OK</v>
      </c>
    </row>
    <row r="2916" spans="1:4" x14ac:dyDescent="0.2">
      <c r="A2916" s="5">
        <v>2855</v>
      </c>
      <c r="B2916" s="138">
        <f>'Assets-Liab 5-6'!L34</f>
        <v>717</v>
      </c>
      <c r="C2916" s="2" t="s">
        <v>573</v>
      </c>
      <c r="D2916" s="2" t="str">
        <f t="shared" si="44"/>
        <v>Error?</v>
      </c>
    </row>
    <row r="2917" spans="1:4" x14ac:dyDescent="0.2">
      <c r="A2917" s="5">
        <v>2856</v>
      </c>
      <c r="B2917" s="138">
        <f>'Assets-Liab 5-6'!L41</f>
        <v>717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11250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1109153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1120403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48779</v>
      </c>
      <c r="C3231" s="2" t="s">
        <v>573</v>
      </c>
      <c r="D3231" s="2" t="str">
        <f t="shared" si="49"/>
        <v>Error?</v>
      </c>
    </row>
    <row r="3232" spans="1:4" x14ac:dyDescent="0.2">
      <c r="A3232" s="5">
        <v>3171</v>
      </c>
      <c r="B3232" s="138">
        <f>'Acct Summary 7-8'!C77</f>
        <v>-48779</v>
      </c>
      <c r="C3232" s="2" t="s">
        <v>573</v>
      </c>
      <c r="D3232" s="2" t="str">
        <f t="shared" si="49"/>
        <v>Error?</v>
      </c>
    </row>
    <row r="3233" spans="1:4" x14ac:dyDescent="0.2">
      <c r="A3233" s="5">
        <v>3172</v>
      </c>
      <c r="B3233" s="138">
        <f>'Acct Summary 7-8'!C78</f>
        <v>894154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48779</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48779</v>
      </c>
      <c r="C3238" s="2" t="s">
        <v>573</v>
      </c>
      <c r="D3238" s="2" t="str">
        <f t="shared" si="49"/>
        <v>Error?</v>
      </c>
    </row>
    <row r="3239" spans="1:4" x14ac:dyDescent="0.2">
      <c r="A3239" s="5">
        <v>3178</v>
      </c>
      <c r="B3239" s="138">
        <f>'Acct Summary 7-8'!D78</f>
        <v>64976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4276806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1522354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143716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37945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996458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6977279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1216781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366512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176119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176119</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4876491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19455999</v>
      </c>
      <c r="C4122" s="2" t="s">
        <v>573</v>
      </c>
      <c r="D4122" s="2" t="str">
        <f t="shared" si="63"/>
        <v>Error?</v>
      </c>
    </row>
    <row r="4123" spans="1:4" x14ac:dyDescent="0.2">
      <c r="A4123" s="5">
        <v>4062</v>
      </c>
      <c r="B4123" s="138">
        <f>'Acct Summary 7-8'!D10</f>
        <v>20122</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4876491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18513066</v>
      </c>
      <c r="C4136" s="2" t="s">
        <v>573</v>
      </c>
      <c r="D4136" s="2" t="str">
        <f t="shared" si="63"/>
        <v>Error?</v>
      </c>
    </row>
    <row r="4137" spans="1:4" x14ac:dyDescent="0.2">
      <c r="A4137" s="5">
        <v>4076</v>
      </c>
      <c r="B4137" s="138">
        <f>'Acct Summary 7-8'!D19</f>
        <v>3925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1580135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148101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699731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164141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8536465</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8536465</v>
      </c>
      <c r="C5087" s="2" t="s">
        <v>573</v>
      </c>
      <c r="D5087" s="2" t="str">
        <f t="shared" si="78"/>
        <v>Error?</v>
      </c>
    </row>
    <row r="5088" spans="1:4" x14ac:dyDescent="0.2">
      <c r="A5088" s="5">
        <v>5027</v>
      </c>
      <c r="B5088" s="138">
        <f>'Revenues 9-14'!C65</f>
        <v>48779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48779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1732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1732</v>
      </c>
      <c r="C5120" s="2" t="s">
        <v>573</v>
      </c>
      <c r="D5120" s="2" t="str">
        <f t="shared" si="79"/>
        <v>Error?</v>
      </c>
    </row>
    <row r="5121" spans="1:4" x14ac:dyDescent="0.2">
      <c r="A5121" s="5">
        <v>5060</v>
      </c>
      <c r="B5121" s="138">
        <f>'Revenues 9-14'!C109</f>
        <v>8586976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1388338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1388338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5291</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5291</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5291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1393629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169610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3417320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3586930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4598903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4598903</v>
      </c>
      <c r="C5326" s="2" t="s">
        <v>573</v>
      </c>
      <c r="D5326" s="2" t="str">
        <f t="shared" si="82"/>
        <v>Error?</v>
      </c>
    </row>
    <row r="5327" spans="1:5" x14ac:dyDescent="0.2">
      <c r="A5327" s="5">
        <v>5266</v>
      </c>
      <c r="B5327" s="138">
        <f>'Revenues 9-14'!C268</f>
        <v>14579508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20122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20122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20122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20122</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894154</v>
      </c>
      <c r="D6267" s="2" t="str">
        <f t="shared" si="96"/>
        <v>Error?</v>
      </c>
      <c r="E6267" s="2" t="s">
        <v>190</v>
      </c>
    </row>
    <row r="6268" spans="1:5" x14ac:dyDescent="0.2">
      <c r="A6268">
        <v>6207</v>
      </c>
      <c r="B6268" s="138">
        <f>'Acct Summary 7-8'!D82</f>
        <v>64976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0.73676421755355659</v>
      </c>
      <c r="D6276" s="2" t="str">
        <f t="shared" si="97"/>
        <v>Error?</v>
      </c>
      <c r="E6276" s="2" t="s">
        <v>190</v>
      </c>
    </row>
    <row r="6277" spans="1:5" x14ac:dyDescent="0.2">
      <c r="A6277">
        <v>6216</v>
      </c>
      <c r="B6277" s="138">
        <f>'Acct Summary 7-8'!D83</f>
        <v>0.17728205352075785</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61172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55000</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30000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1" sqref="A11:L1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1986</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Sangamon Area Spec Ed Dist</v>
      </c>
      <c r="B7" s="2387"/>
      <c r="C7" s="2387"/>
      <c r="D7" s="2424"/>
      <c r="E7" s="2425">
        <f>COVER!A13</f>
        <v>51084010061</v>
      </c>
      <c r="F7" s="2426"/>
      <c r="G7" s="2393" t="str">
        <f>COVER!T23</f>
        <v>060-004845</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 xml:space="preserve">Pehlman and Dold, P.C.                </v>
      </c>
      <c r="H9" s="2400"/>
      <c r="I9" s="2400"/>
      <c r="J9" s="2400"/>
      <c r="K9" s="2400"/>
      <c r="L9" s="2401"/>
    </row>
    <row r="10" spans="1:29" ht="13.5" customHeight="1" x14ac:dyDescent="0.2">
      <c r="A10" s="2383" t="str">
        <f>COVER!A38</f>
        <v>Mark Strawn, Director</v>
      </c>
      <c r="B10" s="2384"/>
      <c r="C10" s="2384"/>
      <c r="D10" s="2384"/>
      <c r="E10" s="2384"/>
      <c r="F10" s="2385"/>
      <c r="G10" s="2399" t="str">
        <f>COVER!T17</f>
        <v>100 North Amos Avenue</v>
      </c>
      <c r="H10" s="2412"/>
      <c r="I10" s="2412"/>
      <c r="J10" s="2412"/>
      <c r="K10" s="2412"/>
      <c r="L10" s="2413"/>
    </row>
    <row r="11" spans="1:29" ht="13.5" customHeight="1" x14ac:dyDescent="0.2">
      <c r="A11" s="1184" t="s">
        <v>1519</v>
      </c>
      <c r="B11" s="1185"/>
      <c r="C11" s="1186"/>
      <c r="D11" s="1191"/>
      <c r="E11" s="1186"/>
      <c r="F11" s="1190"/>
      <c r="G11" s="2399" t="str">
        <f>COVER!T19</f>
        <v>Springfield</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dfitzgerald@p-dcpas.com</v>
      </c>
      <c r="J13" s="2421"/>
      <c r="K13" s="2421"/>
      <c r="L13" s="2422"/>
    </row>
    <row r="14" spans="1:29" ht="13.5" customHeight="1" x14ac:dyDescent="0.2">
      <c r="A14" s="2399" t="str">
        <f>COVER!A19</f>
        <v>2500 Taylor Ave</v>
      </c>
      <c r="B14" s="2412"/>
      <c r="C14" s="2412"/>
      <c r="D14" s="2412"/>
      <c r="E14" s="2412"/>
      <c r="F14" s="2413"/>
      <c r="G14" s="1195" t="s">
        <v>1185</v>
      </c>
      <c r="H14" s="1193"/>
      <c r="I14" s="1193"/>
      <c r="J14" s="1193"/>
      <c r="K14" s="1193"/>
      <c r="L14" s="1194"/>
    </row>
    <row r="15" spans="1:29" ht="13.5" customHeight="1" x14ac:dyDescent="0.2">
      <c r="A15" s="2399" t="str">
        <f>COVER!A21</f>
        <v>Springfield, IL</v>
      </c>
      <c r="B15" s="2412"/>
      <c r="C15" s="2412"/>
      <c r="D15" s="2412"/>
      <c r="E15" s="2412"/>
      <c r="F15" s="2413"/>
      <c r="G15" s="2409" t="str">
        <f>COVER!T15</f>
        <v>Dorinda L Fitzgerald</v>
      </c>
      <c r="H15" s="2410"/>
      <c r="I15" s="2410"/>
      <c r="J15" s="2410"/>
      <c r="K15" s="2410"/>
      <c r="L15" s="2411"/>
    </row>
    <row r="16" spans="1:29" ht="12.2" customHeight="1" x14ac:dyDescent="0.2">
      <c r="A16" s="2389">
        <f>COVER!A25</f>
        <v>62703</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(217) 787-0563</v>
      </c>
      <c r="H18" s="2387"/>
      <c r="I18" s="2387"/>
      <c r="J18" s="2387"/>
      <c r="K18" s="2386" t="str">
        <f>COVER!X21</f>
        <v>(217) 787-9266</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11" sqref="A11:H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Sangamon Area Spec Ed Dist</v>
      </c>
      <c r="B1" s="2423"/>
      <c r="C1" s="2423"/>
      <c r="D1" s="2423"/>
    </row>
    <row r="2" spans="1:11" s="1212" customFormat="1" ht="12.75" x14ac:dyDescent="0.2">
      <c r="A2" s="2428">
        <f>'Single Audit Cover'!E7</f>
        <v>51084010061</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11" sqref="A11:H1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Sangamon Area Spec Ed Dist</v>
      </c>
      <c r="B1" s="2431"/>
      <c r="C1" s="2431"/>
      <c r="D1" s="2431"/>
      <c r="E1" s="2431"/>
    </row>
    <row r="2" spans="1:5" x14ac:dyDescent="0.2">
      <c r="A2" s="2432">
        <f>'Single Audit Cover'!E7</f>
        <v>51084010061</v>
      </c>
      <c r="B2" s="2432"/>
      <c r="C2" s="2432"/>
      <c r="D2" s="2432"/>
      <c r="E2" s="2432"/>
    </row>
    <row r="3" spans="1:5" ht="4.5" customHeight="1" x14ac:dyDescent="0.2"/>
    <row r="4" spans="1:5" x14ac:dyDescent="0.2">
      <c r="A4" s="2431" t="s">
        <v>1245</v>
      </c>
      <c r="B4" s="2431"/>
      <c r="C4" s="2431"/>
      <c r="D4" s="2431"/>
      <c r="E4" s="2431"/>
    </row>
    <row r="5" spans="1:5" x14ac:dyDescent="0.2">
      <c r="A5" s="2433" t="str">
        <f>'Single Audit Cover'!A4</f>
        <v>Year Ending June 30, 2019</v>
      </c>
      <c r="B5" s="2433"/>
      <c r="C5" s="2433"/>
      <c r="D5" s="2433"/>
      <c r="E5" s="2433"/>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4598903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-699731</v>
      </c>
    </row>
    <row r="19" spans="1:4" ht="13.5" thickBot="1" x14ac:dyDescent="0.25">
      <c r="A19" s="1262" t="s">
        <v>1235</v>
      </c>
      <c r="D19" s="1263">
        <f>SUM(D10:D17)</f>
        <v>3899172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2077</v>
      </c>
      <c r="B24" s="2430"/>
      <c r="D24" s="1265">
        <v>6171</v>
      </c>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3905343</v>
      </c>
    </row>
    <row r="33" spans="1:4" x14ac:dyDescent="0.2">
      <c r="D33" s="1266"/>
    </row>
    <row r="34" spans="1:4" x14ac:dyDescent="0.2">
      <c r="A34" s="317" t="s">
        <v>1232</v>
      </c>
    </row>
    <row r="35" spans="1:4" x14ac:dyDescent="0.2">
      <c r="A35" s="317" t="s">
        <v>1231</v>
      </c>
      <c r="B35" s="1255" t="s">
        <v>1230</v>
      </c>
      <c r="D35" s="1267">
        <v>3905343</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3905343</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11" sqref="A11:H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Sangamon Area Spec Ed Dist</v>
      </c>
      <c r="C1" s="2434"/>
      <c r="D1" s="2434"/>
      <c r="E1" s="2434"/>
      <c r="F1" s="2434"/>
      <c r="G1" s="2434"/>
      <c r="H1" s="2434"/>
      <c r="I1" s="2434"/>
      <c r="J1" s="2434"/>
      <c r="K1" s="2434"/>
      <c r="L1" s="2434"/>
      <c r="M1" s="2434"/>
    </row>
    <row r="2" spans="2:14" ht="15" x14ac:dyDescent="0.2">
      <c r="B2" s="2435">
        <f>'Single Audit Cover'!E7</f>
        <v>51084010061</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2078</v>
      </c>
      <c r="C11" s="1335"/>
      <c r="D11" s="1336"/>
      <c r="E11" s="1337"/>
      <c r="F11" s="1337"/>
      <c r="G11" s="1337"/>
      <c r="H11" s="1337"/>
      <c r="I11" s="1337"/>
      <c r="J11" s="1337"/>
      <c r="K11" s="1337"/>
      <c r="L11" s="1337"/>
      <c r="M11" s="1337"/>
    </row>
    <row r="12" spans="2:14" ht="20.100000000000001" customHeight="1" x14ac:dyDescent="0.2">
      <c r="B12" s="1334" t="s">
        <v>2079</v>
      </c>
      <c r="C12" s="1338" t="s">
        <v>2080</v>
      </c>
      <c r="D12" s="1339" t="s">
        <v>2081</v>
      </c>
      <c r="E12" s="1340">
        <v>2220837</v>
      </c>
      <c r="F12" s="1340">
        <v>1476890</v>
      </c>
      <c r="G12" s="1340">
        <v>3499677</v>
      </c>
      <c r="H12" s="1340">
        <v>1750000</v>
      </c>
      <c r="I12" s="1340">
        <v>198050</v>
      </c>
      <c r="J12" s="1340"/>
      <c r="K12" s="1340"/>
      <c r="L12" s="1337">
        <f t="shared" ref="L12:L25" si="0">+G12+I12+K12</f>
        <v>3697727</v>
      </c>
      <c r="M12" s="1340">
        <v>4094918</v>
      </c>
    </row>
    <row r="13" spans="2:14" ht="20.100000000000001" customHeight="1" x14ac:dyDescent="0.2">
      <c r="B13" s="1334" t="s">
        <v>2079</v>
      </c>
      <c r="C13" s="1338" t="s">
        <v>2080</v>
      </c>
      <c r="D13" s="1339" t="s">
        <v>2082</v>
      </c>
      <c r="E13" s="1340"/>
      <c r="F13" s="1340">
        <v>1940430</v>
      </c>
      <c r="G13" s="1340"/>
      <c r="H13" s="1340"/>
      <c r="I13" s="1340">
        <v>2700911</v>
      </c>
      <c r="J13" s="1340">
        <v>1000000</v>
      </c>
      <c r="K13" s="1340">
        <v>731233</v>
      </c>
      <c r="L13" s="1337">
        <f t="shared" si="0"/>
        <v>3432144</v>
      </c>
      <c r="M13" s="1340">
        <v>3555862</v>
      </c>
    </row>
    <row r="14" spans="2:14" ht="20.100000000000001" customHeight="1" x14ac:dyDescent="0.2">
      <c r="B14" s="1334" t="s">
        <v>2083</v>
      </c>
      <c r="C14" s="1338"/>
      <c r="D14" s="1339"/>
      <c r="E14" s="1340">
        <v>2220837</v>
      </c>
      <c r="F14" s="1340">
        <v>3417320</v>
      </c>
      <c r="G14" s="1340">
        <v>3499677</v>
      </c>
      <c r="H14" s="1340">
        <v>1750000</v>
      </c>
      <c r="I14" s="1340">
        <v>2898961</v>
      </c>
      <c r="J14" s="1340">
        <v>1000000</v>
      </c>
      <c r="K14" s="1340">
        <v>731233</v>
      </c>
      <c r="L14" s="1337">
        <f>+G14+I14+K14</f>
        <v>7129871</v>
      </c>
      <c r="M14" s="1340"/>
    </row>
    <row r="15" spans="2:14" ht="20.100000000000001" customHeight="1" x14ac:dyDescent="0.2">
      <c r="B15" s="1334" t="s">
        <v>2085</v>
      </c>
      <c r="C15" s="1338" t="s">
        <v>2086</v>
      </c>
      <c r="D15" s="1339" t="s">
        <v>2087</v>
      </c>
      <c r="E15" s="1340">
        <v>122613</v>
      </c>
      <c r="F15" s="1340">
        <v>93619</v>
      </c>
      <c r="G15" s="1340">
        <v>216232</v>
      </c>
      <c r="H15" s="1340">
        <v>216232</v>
      </c>
      <c r="I15" s="1340"/>
      <c r="J15" s="1340"/>
      <c r="K15" s="1340"/>
      <c r="L15" s="1337">
        <f t="shared" si="0"/>
        <v>216232</v>
      </c>
      <c r="M15" s="1340"/>
    </row>
    <row r="16" spans="2:14" ht="20.100000000000001" customHeight="1" x14ac:dyDescent="0.2">
      <c r="B16" s="1334" t="s">
        <v>2085</v>
      </c>
      <c r="C16" s="1338" t="s">
        <v>2086</v>
      </c>
      <c r="D16" s="1339" t="s">
        <v>2088</v>
      </c>
      <c r="E16" s="1340"/>
      <c r="F16" s="1340">
        <v>75991</v>
      </c>
      <c r="G16" s="1340"/>
      <c r="H16" s="1340"/>
      <c r="I16" s="1340">
        <v>109153</v>
      </c>
      <c r="J16" s="1340">
        <v>109153</v>
      </c>
      <c r="K16" s="1340"/>
      <c r="L16" s="1337">
        <f t="shared" si="0"/>
        <v>109153</v>
      </c>
      <c r="M16" s="1340">
        <v>109153</v>
      </c>
    </row>
    <row r="17" spans="2:14" ht="20.100000000000001" customHeight="1" x14ac:dyDescent="0.2">
      <c r="B17" s="1334" t="s">
        <v>2084</v>
      </c>
      <c r="C17" s="1338"/>
      <c r="D17" s="1339"/>
      <c r="E17" s="1340">
        <v>122613</v>
      </c>
      <c r="F17" s="1340">
        <v>169610</v>
      </c>
      <c r="G17" s="1340">
        <v>216232</v>
      </c>
      <c r="H17" s="1340">
        <v>216232</v>
      </c>
      <c r="I17" s="1340">
        <v>109153</v>
      </c>
      <c r="J17" s="1340">
        <v>109153</v>
      </c>
      <c r="K17" s="1340"/>
      <c r="L17" s="1337">
        <f t="shared" si="0"/>
        <v>325385</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2092</v>
      </c>
      <c r="C19" s="1338"/>
      <c r="D19" s="1339"/>
      <c r="E19" s="1340">
        <v>2343450</v>
      </c>
      <c r="F19" s="1340">
        <v>3586930</v>
      </c>
      <c r="G19" s="1340">
        <v>3715909</v>
      </c>
      <c r="H19" s="1340">
        <v>1966232</v>
      </c>
      <c r="I19" s="1340">
        <v>3008114</v>
      </c>
      <c r="J19" s="1340">
        <v>1109153</v>
      </c>
      <c r="K19" s="1340">
        <v>731233</v>
      </c>
      <c r="L19" s="1337">
        <f t="shared" si="0"/>
        <v>7455256</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2089</v>
      </c>
      <c r="C21" s="1338"/>
      <c r="D21" s="1339"/>
      <c r="E21" s="1340"/>
      <c r="F21" s="1340"/>
      <c r="G21" s="1340"/>
      <c r="H21" s="1340"/>
      <c r="I21" s="1340"/>
      <c r="J21" s="1340"/>
      <c r="K21" s="1340"/>
      <c r="L21" s="1337"/>
      <c r="M21" s="1340"/>
    </row>
    <row r="22" spans="2:14" ht="20.100000000000001" customHeight="1" x14ac:dyDescent="0.2">
      <c r="B22" s="1334" t="s">
        <v>2090</v>
      </c>
      <c r="C22" s="1338">
        <v>84.126000000000005</v>
      </c>
      <c r="D22" s="1339" t="s">
        <v>2093</v>
      </c>
      <c r="E22" s="1340">
        <v>123880</v>
      </c>
      <c r="F22" s="1340">
        <v>30970</v>
      </c>
      <c r="G22" s="1340">
        <v>154850</v>
      </c>
      <c r="H22" s="1340">
        <v>152168</v>
      </c>
      <c r="I22" s="1340"/>
      <c r="J22" s="1340"/>
      <c r="K22" s="1340"/>
      <c r="L22" s="1337">
        <f t="shared" si="0"/>
        <v>154850</v>
      </c>
      <c r="M22" s="1340">
        <v>154850</v>
      </c>
    </row>
    <row r="23" spans="2:14" ht="20.100000000000001" customHeight="1" x14ac:dyDescent="0.2">
      <c r="B23" s="1334" t="s">
        <v>2090</v>
      </c>
      <c r="C23" s="1338">
        <v>84.126000000000005</v>
      </c>
      <c r="D23" s="1339" t="s">
        <v>2094</v>
      </c>
      <c r="E23" s="1340"/>
      <c r="F23" s="1340">
        <v>133171</v>
      </c>
      <c r="G23" s="1340">
        <v>35481</v>
      </c>
      <c r="H23" s="1340">
        <v>35481</v>
      </c>
      <c r="I23" s="1340">
        <v>119369</v>
      </c>
      <c r="J23" s="1340">
        <v>98476</v>
      </c>
      <c r="K23" s="1340"/>
      <c r="L23" s="1337">
        <f t="shared" si="0"/>
        <v>154850</v>
      </c>
      <c r="M23" s="1340">
        <v>154850</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2091</v>
      </c>
      <c r="C25" s="1338"/>
      <c r="D25" s="1339"/>
      <c r="E25" s="1340">
        <v>123880</v>
      </c>
      <c r="F25" s="1340">
        <v>164141</v>
      </c>
      <c r="G25" s="1340">
        <v>190331</v>
      </c>
      <c r="H25" s="1340">
        <v>187649</v>
      </c>
      <c r="I25" s="1340">
        <v>119369</v>
      </c>
      <c r="J25" s="1340">
        <v>98476</v>
      </c>
      <c r="K25" s="1340">
        <v>0</v>
      </c>
      <c r="L25" s="1337">
        <f t="shared" si="0"/>
        <v>309700</v>
      </c>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C4F-8257-40CA-A2DE-2F2C0569A6CC}">
  <sheetPr>
    <pageSetUpPr fitToPage="1"/>
  </sheetPr>
  <dimension ref="B1:N152"/>
  <sheetViews>
    <sheetView showGridLines="0" topLeftCell="A5" zoomScaleNormal="100" workbookViewId="0">
      <selection activeCell="A11" sqref="A11:H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Sangamon Area Spec Ed Dist</v>
      </c>
      <c r="C1" s="2434"/>
      <c r="D1" s="2434"/>
      <c r="E1" s="2434"/>
      <c r="F1" s="2434"/>
      <c r="G1" s="2434"/>
      <c r="H1" s="2434"/>
      <c r="I1" s="2434"/>
      <c r="J1" s="2434"/>
      <c r="K1" s="2434"/>
      <c r="L1" s="2434"/>
      <c r="M1" s="2434"/>
    </row>
    <row r="2" spans="2:14" ht="15" x14ac:dyDescent="0.2">
      <c r="B2" s="2435">
        <f>'Single Audit Cover'!E7</f>
        <v>51084010061</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2098</v>
      </c>
      <c r="C11" s="1335"/>
      <c r="D11" s="1336"/>
      <c r="E11" s="1337"/>
      <c r="F11" s="1337"/>
      <c r="G11" s="1337"/>
      <c r="H11" s="1337"/>
      <c r="I11" s="1337"/>
      <c r="J11" s="1337"/>
      <c r="K11" s="1337"/>
      <c r="L11" s="1337">
        <f>+G11+I11+K11</f>
        <v>0</v>
      </c>
      <c r="M11" s="1337"/>
    </row>
    <row r="12" spans="2:14" ht="20.100000000000001" customHeight="1" x14ac:dyDescent="0.2">
      <c r="B12" s="1334" t="s">
        <v>2095</v>
      </c>
      <c r="C12" s="1338">
        <v>93.778000000000006</v>
      </c>
      <c r="D12" s="1339">
        <v>2018</v>
      </c>
      <c r="E12" s="1340">
        <v>118859</v>
      </c>
      <c r="F12" s="1340">
        <v>44232</v>
      </c>
      <c r="G12" s="1340">
        <v>163091</v>
      </c>
      <c r="H12" s="1340"/>
      <c r="I12" s="1340"/>
      <c r="J12" s="1340"/>
      <c r="K12" s="1340"/>
      <c r="L12" s="1337">
        <f t="shared" ref="L12:L19" si="0">+G12+I12+K12</f>
        <v>163091</v>
      </c>
      <c r="M12" s="1340" t="s">
        <v>2100</v>
      </c>
    </row>
    <row r="13" spans="2:14" ht="20.100000000000001" customHeight="1" x14ac:dyDescent="0.2">
      <c r="B13" s="1334" t="s">
        <v>2095</v>
      </c>
      <c r="C13" s="1338">
        <v>93.778000000000006</v>
      </c>
      <c r="D13" s="1339">
        <v>2019</v>
      </c>
      <c r="E13" s="1340"/>
      <c r="F13" s="1340">
        <v>110040</v>
      </c>
      <c r="G13" s="1340"/>
      <c r="H13" s="1340"/>
      <c r="I13" s="1340">
        <v>145210</v>
      </c>
      <c r="J13" s="1340"/>
      <c r="K13" s="1340"/>
      <c r="L13" s="1337">
        <f t="shared" si="0"/>
        <v>145210</v>
      </c>
      <c r="M13" s="1340" t="s">
        <v>2100</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2096</v>
      </c>
      <c r="C15" s="1338"/>
      <c r="D15" s="1339"/>
      <c r="E15" s="1340">
        <v>118859</v>
      </c>
      <c r="F15" s="1340">
        <v>154272</v>
      </c>
      <c r="G15" s="1340">
        <v>163091</v>
      </c>
      <c r="H15" s="1340">
        <v>0</v>
      </c>
      <c r="I15" s="1340">
        <v>145210</v>
      </c>
      <c r="J15" s="1340">
        <v>0</v>
      </c>
      <c r="K15" s="1340">
        <v>0</v>
      </c>
      <c r="L15" s="1337">
        <f t="shared" si="0"/>
        <v>308301</v>
      </c>
      <c r="M15" s="1340"/>
    </row>
    <row r="16" spans="2:14" ht="20.100000000000001" customHeight="1" x14ac:dyDescent="0.2">
      <c r="B16" s="1334" t="s">
        <v>2097</v>
      </c>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2099</v>
      </c>
      <c r="C19" s="1338"/>
      <c r="D19" s="1339"/>
      <c r="E19" s="1340">
        <v>2386189</v>
      </c>
      <c r="F19" s="1340">
        <v>3905343</v>
      </c>
      <c r="G19" s="1340">
        <v>4069331</v>
      </c>
      <c r="H19" s="1340">
        <v>2153881</v>
      </c>
      <c r="I19" s="1340">
        <v>3272693</v>
      </c>
      <c r="J19" s="1340">
        <v>1207629</v>
      </c>
      <c r="K19" s="1340">
        <v>731233</v>
      </c>
      <c r="L19" s="1337">
        <f t="shared" si="0"/>
        <v>8073257</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40-1&amp;R&amp;8Page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1" sqref="D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2067</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2076</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2150</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2152</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3" zoomScale="120" zoomScaleNormal="120" workbookViewId="0">
      <selection activeCell="A11" sqref="A11:H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Sangamon Area Spec Ed Dist</v>
      </c>
      <c r="B1" s="2439"/>
      <c r="C1" s="2439"/>
      <c r="D1" s="2439"/>
      <c r="E1" s="2439"/>
      <c r="F1" s="2439"/>
    </row>
    <row r="2" spans="1:7" ht="13.5" customHeight="1" x14ac:dyDescent="0.2">
      <c r="A2" s="2435">
        <f>'Single Audit Cover'!E7</f>
        <v>51084010061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2102</v>
      </c>
      <c r="B7" s="2438"/>
      <c r="C7" s="2438"/>
      <c r="D7" s="2438"/>
      <c r="E7" s="2438"/>
      <c r="F7" s="243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2067</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2101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2104</v>
      </c>
      <c r="C17" s="1282" t="s">
        <v>2080</v>
      </c>
      <c r="D17" s="2442">
        <v>34663</v>
      </c>
      <c r="E17" s="2442"/>
      <c r="F17" s="2442"/>
    </row>
    <row r="18" spans="1:6" ht="20.65" customHeight="1" x14ac:dyDescent="0.2">
      <c r="A18" s="1280"/>
      <c r="B18" s="1281" t="s">
        <v>2105</v>
      </c>
      <c r="C18" s="1282" t="s">
        <v>2080</v>
      </c>
      <c r="D18" s="2442">
        <v>81685</v>
      </c>
      <c r="E18" s="2442"/>
      <c r="F18" s="2442"/>
    </row>
    <row r="19" spans="1:6" ht="20.65" customHeight="1" x14ac:dyDescent="0.2">
      <c r="A19" s="1280"/>
      <c r="B19" s="1281" t="s">
        <v>2106</v>
      </c>
      <c r="C19" s="1282" t="s">
        <v>2080</v>
      </c>
      <c r="D19" s="2442">
        <v>108116</v>
      </c>
      <c r="E19" s="2442"/>
      <c r="F19" s="2442"/>
    </row>
    <row r="20" spans="1:6" ht="20.65" customHeight="1" x14ac:dyDescent="0.2">
      <c r="A20" s="1280"/>
      <c r="B20" s="1281" t="s">
        <v>2107</v>
      </c>
      <c r="C20" s="1282" t="s">
        <v>2080</v>
      </c>
      <c r="D20" s="2442">
        <v>20459</v>
      </c>
      <c r="E20" s="2442"/>
      <c r="F20" s="2442"/>
    </row>
    <row r="21" spans="1:6" ht="20.65" customHeight="1" x14ac:dyDescent="0.2">
      <c r="A21" s="1280"/>
      <c r="B21" s="1281" t="s">
        <v>2108</v>
      </c>
      <c r="C21" s="1282" t="s">
        <v>2080</v>
      </c>
      <c r="D21" s="2442">
        <v>70682</v>
      </c>
      <c r="E21" s="2442"/>
      <c r="F21" s="2442"/>
    </row>
    <row r="22" spans="1:6" ht="20.65" customHeight="1" x14ac:dyDescent="0.2">
      <c r="A22" s="1280"/>
      <c r="B22" s="1281" t="s">
        <v>2109</v>
      </c>
      <c r="C22" s="1282" t="s">
        <v>2080</v>
      </c>
      <c r="D22" s="2442">
        <v>132593</v>
      </c>
      <c r="E22" s="2442"/>
      <c r="F22" s="2442"/>
    </row>
    <row r="23" spans="1:6" ht="20.65" customHeight="1" x14ac:dyDescent="0.2">
      <c r="A23" s="1280"/>
      <c r="B23" s="1281" t="s">
        <v>2110</v>
      </c>
      <c r="C23" s="1282" t="s">
        <v>2080</v>
      </c>
      <c r="D23" s="2442">
        <v>51846</v>
      </c>
      <c r="E23" s="2442"/>
      <c r="F23" s="2442"/>
    </row>
    <row r="24" spans="1:6" ht="20.65" customHeight="1" x14ac:dyDescent="0.2">
      <c r="A24" s="1280"/>
      <c r="B24" s="1281" t="s">
        <v>2111</v>
      </c>
      <c r="C24" s="1282" t="s">
        <v>2080</v>
      </c>
      <c r="D24" s="2442">
        <v>91703</v>
      </c>
      <c r="E24" s="2442"/>
      <c r="F24" s="2442"/>
    </row>
    <row r="25" spans="1:6" ht="20.65" customHeight="1" x14ac:dyDescent="0.2">
      <c r="A25" s="1280"/>
      <c r="B25" s="1281" t="s">
        <v>2112</v>
      </c>
      <c r="C25" s="1282" t="s">
        <v>2080</v>
      </c>
      <c r="D25" s="2442">
        <v>102376</v>
      </c>
      <c r="E25" s="2442"/>
      <c r="F25" s="2442"/>
    </row>
    <row r="26" spans="1:6" ht="20.65" customHeight="1" x14ac:dyDescent="0.2">
      <c r="A26" s="1280"/>
      <c r="B26" s="1281" t="s">
        <v>2113</v>
      </c>
      <c r="C26" s="1282" t="s">
        <v>2080</v>
      </c>
      <c r="D26" s="2442">
        <v>120731</v>
      </c>
      <c r="E26" s="2442"/>
      <c r="F26" s="2442"/>
    </row>
    <row r="27" spans="1:6" ht="20.65" customHeight="1" x14ac:dyDescent="0.2">
      <c r="A27" s="1280"/>
      <c r="B27" s="1281" t="s">
        <v>2114</v>
      </c>
      <c r="C27" s="1282" t="s">
        <v>2080</v>
      </c>
      <c r="D27" s="2442">
        <v>52215</v>
      </c>
      <c r="E27" s="2442"/>
      <c r="F27" s="2442"/>
    </row>
    <row r="28" spans="1:6" ht="20.65" customHeight="1" x14ac:dyDescent="0.2">
      <c r="A28" s="1280"/>
      <c r="B28" s="1281" t="s">
        <v>2115</v>
      </c>
      <c r="C28" s="1282" t="s">
        <v>2080</v>
      </c>
      <c r="D28" s="2442">
        <v>31323</v>
      </c>
      <c r="E28" s="2442"/>
      <c r="F28" s="2442"/>
    </row>
    <row r="29" spans="1:6" ht="20.65" customHeight="1" x14ac:dyDescent="0.2">
      <c r="A29" s="1280"/>
      <c r="B29" s="1281" t="s">
        <v>2116</v>
      </c>
      <c r="C29" s="1282" t="s">
        <v>2080</v>
      </c>
      <c r="D29" s="2442">
        <v>101608</v>
      </c>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2103</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6164C-C2EB-4279-9552-5D80C699E5C5}">
  <sheetPr>
    <pageSetUpPr fitToPage="1"/>
  </sheetPr>
  <dimension ref="A1:G52"/>
  <sheetViews>
    <sheetView showGridLines="0" topLeftCell="A14" zoomScale="120" zoomScaleNormal="120" workbookViewId="0">
      <selection activeCell="A11" sqref="A11:H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Sangamon Area Spec Ed Dist</v>
      </c>
      <c r="B1" s="2439"/>
      <c r="C1" s="2439"/>
      <c r="D1" s="2439"/>
      <c r="E1" s="2439"/>
      <c r="F1" s="2439"/>
    </row>
    <row r="2" spans="1:7" ht="13.5" customHeight="1" x14ac:dyDescent="0.2">
      <c r="A2" s="2435">
        <f>'Single Audit Cover'!E7</f>
        <v>51084010061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2102</v>
      </c>
      <c r="B7" s="2438"/>
      <c r="C7" s="2438"/>
      <c r="D7" s="2438"/>
      <c r="E7" s="2438"/>
      <c r="F7" s="243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2067</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2101</v>
      </c>
      <c r="B13" s="2438"/>
      <c r="C13" s="2438"/>
      <c r="D13" s="2438"/>
      <c r="E13" s="2438"/>
      <c r="F13" s="2438"/>
    </row>
    <row r="14" spans="1:7" ht="9.75" customHeight="1" x14ac:dyDescent="0.2">
      <c r="C14" s="1257"/>
      <c r="D14" s="1257"/>
    </row>
    <row r="15" spans="1:7" ht="13.5" customHeight="1" x14ac:dyDescent="0.2">
      <c r="C15" s="1938" t="s">
        <v>1270</v>
      </c>
      <c r="D15" s="2443" t="s">
        <v>1269</v>
      </c>
      <c r="E15" s="2443"/>
      <c r="F15" s="2443"/>
    </row>
    <row r="16" spans="1:7" ht="13.5" customHeight="1" x14ac:dyDescent="0.2">
      <c r="A16" s="1279"/>
      <c r="B16" s="1273" t="s">
        <v>1268</v>
      </c>
      <c r="C16" s="1938" t="s">
        <v>1267</v>
      </c>
      <c r="D16" s="2444" t="s">
        <v>1588</v>
      </c>
      <c r="E16" s="2444"/>
      <c r="F16" s="2444"/>
    </row>
    <row r="17" spans="1:6" ht="20.45" customHeight="1" x14ac:dyDescent="0.2">
      <c r="A17" s="1280"/>
      <c r="B17" s="1281" t="s">
        <v>2104</v>
      </c>
      <c r="C17" s="1282" t="s">
        <v>2086</v>
      </c>
      <c r="D17" s="2442">
        <v>1542</v>
      </c>
      <c r="E17" s="2442"/>
      <c r="F17" s="2442"/>
    </row>
    <row r="18" spans="1:6" ht="20.65" customHeight="1" x14ac:dyDescent="0.2">
      <c r="A18" s="1280"/>
      <c r="B18" s="1281" t="s">
        <v>2105</v>
      </c>
      <c r="C18" s="1282" t="s">
        <v>2086</v>
      </c>
      <c r="D18" s="2442">
        <v>7976</v>
      </c>
      <c r="E18" s="2442"/>
      <c r="F18" s="2442"/>
    </row>
    <row r="19" spans="1:6" ht="20.65" customHeight="1" x14ac:dyDescent="0.2">
      <c r="A19" s="1280"/>
      <c r="B19" s="1281" t="s">
        <v>2106</v>
      </c>
      <c r="C19" s="1282" t="s">
        <v>2086</v>
      </c>
      <c r="D19" s="2442">
        <v>19676</v>
      </c>
      <c r="E19" s="2442"/>
      <c r="F19" s="2442"/>
    </row>
    <row r="20" spans="1:6" ht="20.65" customHeight="1" x14ac:dyDescent="0.2">
      <c r="A20" s="1280"/>
      <c r="B20" s="1281" t="s">
        <v>2107</v>
      </c>
      <c r="C20" s="1282" t="s">
        <v>2086</v>
      </c>
      <c r="D20" s="2442">
        <v>1503</v>
      </c>
      <c r="E20" s="2442"/>
      <c r="F20" s="2442"/>
    </row>
    <row r="21" spans="1:6" ht="20.65" customHeight="1" x14ac:dyDescent="0.2">
      <c r="A21" s="1280"/>
      <c r="B21" s="1281" t="s">
        <v>2108</v>
      </c>
      <c r="C21" s="1282" t="s">
        <v>2086</v>
      </c>
      <c r="D21" s="2442">
        <v>6971</v>
      </c>
      <c r="E21" s="2442"/>
      <c r="F21" s="2442"/>
    </row>
    <row r="22" spans="1:6" ht="20.65" customHeight="1" x14ac:dyDescent="0.2">
      <c r="A22" s="1280"/>
      <c r="B22" s="1281" t="s">
        <v>2109</v>
      </c>
      <c r="C22" s="1282" t="s">
        <v>2086</v>
      </c>
      <c r="D22" s="2442">
        <v>19693</v>
      </c>
      <c r="E22" s="2442"/>
      <c r="F22" s="2442"/>
    </row>
    <row r="23" spans="1:6" ht="20.65" customHeight="1" x14ac:dyDescent="0.2">
      <c r="A23" s="1280"/>
      <c r="B23" s="1281" t="s">
        <v>2110</v>
      </c>
      <c r="C23" s="1282" t="s">
        <v>2086</v>
      </c>
      <c r="D23" s="2442">
        <v>4485</v>
      </c>
      <c r="E23" s="2442"/>
      <c r="F23" s="2442"/>
    </row>
    <row r="24" spans="1:6" ht="20.65" customHeight="1" x14ac:dyDescent="0.2">
      <c r="A24" s="1280"/>
      <c r="B24" s="1281" t="s">
        <v>2111</v>
      </c>
      <c r="C24" s="1282" t="s">
        <v>2086</v>
      </c>
      <c r="D24" s="2442">
        <v>6076</v>
      </c>
      <c r="E24" s="2442"/>
      <c r="F24" s="2442"/>
    </row>
    <row r="25" spans="1:6" ht="20.65" customHeight="1" x14ac:dyDescent="0.2">
      <c r="A25" s="1280"/>
      <c r="B25" s="1281" t="s">
        <v>2112</v>
      </c>
      <c r="C25" s="1282" t="s">
        <v>2086</v>
      </c>
      <c r="D25" s="2442">
        <v>13325</v>
      </c>
      <c r="E25" s="2442"/>
      <c r="F25" s="2442"/>
    </row>
    <row r="26" spans="1:6" ht="20.65" customHeight="1" x14ac:dyDescent="0.2">
      <c r="A26" s="1280"/>
      <c r="B26" s="1281" t="s">
        <v>2113</v>
      </c>
      <c r="C26" s="1282" t="s">
        <v>2086</v>
      </c>
      <c r="D26" s="2442">
        <v>10473</v>
      </c>
      <c r="E26" s="2442"/>
      <c r="F26" s="2442"/>
    </row>
    <row r="27" spans="1:6" ht="20.65" customHeight="1" x14ac:dyDescent="0.2">
      <c r="A27" s="1280"/>
      <c r="B27" s="1281" t="s">
        <v>2114</v>
      </c>
      <c r="C27" s="1282" t="s">
        <v>2086</v>
      </c>
      <c r="D27" s="2442">
        <v>6421</v>
      </c>
      <c r="E27" s="2442"/>
      <c r="F27" s="2442"/>
    </row>
    <row r="28" spans="1:6" ht="20.65" customHeight="1" x14ac:dyDescent="0.2">
      <c r="A28" s="1280"/>
      <c r="B28" s="1281" t="s">
        <v>2115</v>
      </c>
      <c r="C28" s="1282" t="s">
        <v>2086</v>
      </c>
      <c r="D28" s="2442">
        <v>4915</v>
      </c>
      <c r="E28" s="2442"/>
      <c r="F28" s="2442"/>
    </row>
    <row r="29" spans="1:6" ht="20.65" customHeight="1" x14ac:dyDescent="0.2">
      <c r="A29" s="1280"/>
      <c r="B29" s="1281" t="s">
        <v>2116</v>
      </c>
      <c r="C29" s="1282" t="s">
        <v>2086</v>
      </c>
      <c r="D29" s="2442">
        <v>6097</v>
      </c>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2103</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937"/>
      <c r="C50" s="1937"/>
      <c r="D50" s="1937"/>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41-1&amp;R&amp;8Page 41-1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A4FD-8F02-4C9B-9DC9-45529C37A478}">
  <sheetPr>
    <pageSetUpPr fitToPage="1"/>
  </sheetPr>
  <dimension ref="A1:G52"/>
  <sheetViews>
    <sheetView showGridLines="0" topLeftCell="A12" zoomScale="120" zoomScaleNormal="120" workbookViewId="0">
      <selection activeCell="A11" sqref="A11:H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Sangamon Area Spec Ed Dist</v>
      </c>
      <c r="B1" s="2439"/>
      <c r="C1" s="2439"/>
      <c r="D1" s="2439"/>
      <c r="E1" s="2439"/>
      <c r="F1" s="2439"/>
    </row>
    <row r="2" spans="1:7" ht="13.5" customHeight="1" x14ac:dyDescent="0.2">
      <c r="A2" s="2435">
        <f>'Single Audit Cover'!E7</f>
        <v>51084010061</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2102</v>
      </c>
      <c r="B7" s="2438"/>
      <c r="C7" s="2438"/>
      <c r="D7" s="2438"/>
      <c r="E7" s="2438"/>
      <c r="F7" s="243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2067</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2101</v>
      </c>
      <c r="B13" s="2438"/>
      <c r="C13" s="2438"/>
      <c r="D13" s="2438"/>
      <c r="E13" s="2438"/>
      <c r="F13" s="2438"/>
    </row>
    <row r="14" spans="1:7" ht="9.75" customHeight="1" x14ac:dyDescent="0.2">
      <c r="C14" s="1257"/>
      <c r="D14" s="1257"/>
    </row>
    <row r="15" spans="1:7" ht="13.5" customHeight="1" x14ac:dyDescent="0.2">
      <c r="C15" s="1938" t="s">
        <v>1270</v>
      </c>
      <c r="D15" s="2443" t="s">
        <v>1269</v>
      </c>
      <c r="E15" s="2443"/>
      <c r="F15" s="2443"/>
    </row>
    <row r="16" spans="1:7" ht="13.5" customHeight="1" x14ac:dyDescent="0.2">
      <c r="A16" s="1279"/>
      <c r="B16" s="1273" t="s">
        <v>1268</v>
      </c>
      <c r="C16" s="1938" t="s">
        <v>1267</v>
      </c>
      <c r="D16" s="2444" t="s">
        <v>1588</v>
      </c>
      <c r="E16" s="2444"/>
      <c r="F16" s="2444"/>
    </row>
    <row r="17" spans="1:6" ht="20.45" customHeight="1" x14ac:dyDescent="0.2">
      <c r="A17" s="1280"/>
      <c r="B17" s="1281" t="s">
        <v>2104</v>
      </c>
      <c r="C17" s="1282">
        <v>84.126000000000005</v>
      </c>
      <c r="D17" s="2442">
        <v>4875</v>
      </c>
      <c r="E17" s="2442"/>
      <c r="F17" s="2442"/>
    </row>
    <row r="18" spans="1:6" ht="20.65" customHeight="1" x14ac:dyDescent="0.2">
      <c r="A18" s="1280"/>
      <c r="B18" s="1281" t="s">
        <v>2105</v>
      </c>
      <c r="C18" s="1282">
        <v>84.126000000000005</v>
      </c>
      <c r="D18" s="2442">
        <v>3900</v>
      </c>
      <c r="E18" s="2442"/>
      <c r="F18" s="2442"/>
    </row>
    <row r="19" spans="1:6" ht="20.65" customHeight="1" x14ac:dyDescent="0.2">
      <c r="A19" s="1280"/>
      <c r="B19" s="1281" t="s">
        <v>2106</v>
      </c>
      <c r="C19" s="1282">
        <v>84.126000000000005</v>
      </c>
      <c r="D19" s="2442">
        <v>4875</v>
      </c>
      <c r="E19" s="2442"/>
      <c r="F19" s="2442"/>
    </row>
    <row r="20" spans="1:6" ht="20.65" customHeight="1" x14ac:dyDescent="0.2">
      <c r="A20" s="1280"/>
      <c r="B20" s="1281" t="s">
        <v>2107</v>
      </c>
      <c r="C20" s="1282">
        <v>84.126000000000005</v>
      </c>
      <c r="D20" s="2442">
        <v>975</v>
      </c>
      <c r="E20" s="2442"/>
      <c r="F20" s="2442"/>
    </row>
    <row r="21" spans="1:6" ht="20.65" customHeight="1" x14ac:dyDescent="0.2">
      <c r="A21" s="1280"/>
      <c r="B21" s="1281" t="s">
        <v>2108</v>
      </c>
      <c r="C21" s="1282">
        <v>84.126000000000005</v>
      </c>
      <c r="D21" s="2442">
        <v>5850</v>
      </c>
      <c r="E21" s="2442"/>
      <c r="F21" s="2442"/>
    </row>
    <row r="22" spans="1:6" ht="20.65" customHeight="1" x14ac:dyDescent="0.2">
      <c r="A22" s="1280"/>
      <c r="B22" s="1281" t="s">
        <v>2109</v>
      </c>
      <c r="C22" s="1282">
        <v>84.126000000000005</v>
      </c>
      <c r="D22" s="2442">
        <v>6825</v>
      </c>
      <c r="E22" s="2442"/>
      <c r="F22" s="2442"/>
    </row>
    <row r="23" spans="1:6" ht="20.65" customHeight="1" x14ac:dyDescent="0.2">
      <c r="A23" s="1280"/>
      <c r="B23" s="1281" t="s">
        <v>2110</v>
      </c>
      <c r="C23" s="1282">
        <v>84.126000000000005</v>
      </c>
      <c r="D23" s="2442">
        <v>2925</v>
      </c>
      <c r="E23" s="2442"/>
      <c r="F23" s="2442"/>
    </row>
    <row r="24" spans="1:6" ht="20.65" customHeight="1" x14ac:dyDescent="0.2">
      <c r="A24" s="1280"/>
      <c r="B24" s="1281" t="s">
        <v>2111</v>
      </c>
      <c r="C24" s="1282">
        <v>84.126000000000005</v>
      </c>
      <c r="D24" s="2442">
        <v>7800</v>
      </c>
      <c r="E24" s="2442"/>
      <c r="F24" s="2442"/>
    </row>
    <row r="25" spans="1:6" ht="20.65" customHeight="1" x14ac:dyDescent="0.2">
      <c r="A25" s="1280"/>
      <c r="B25" s="1281" t="s">
        <v>2112</v>
      </c>
      <c r="C25" s="1282">
        <v>84.126000000000005</v>
      </c>
      <c r="D25" s="2442">
        <v>24376</v>
      </c>
      <c r="E25" s="2442"/>
      <c r="F25" s="2442"/>
    </row>
    <row r="26" spans="1:6" ht="20.65" customHeight="1" x14ac:dyDescent="0.2">
      <c r="A26" s="1280"/>
      <c r="B26" s="1281" t="s">
        <v>2113</v>
      </c>
      <c r="C26" s="1282">
        <v>84.126000000000005</v>
      </c>
      <c r="D26" s="2442">
        <v>18525</v>
      </c>
      <c r="E26" s="2442"/>
      <c r="F26" s="2442"/>
    </row>
    <row r="27" spans="1:6" ht="20.65" customHeight="1" x14ac:dyDescent="0.2">
      <c r="A27" s="1280"/>
      <c r="B27" s="1281" t="s">
        <v>2114</v>
      </c>
      <c r="C27" s="1282">
        <v>84.126000000000005</v>
      </c>
      <c r="D27" s="2442">
        <v>7800</v>
      </c>
      <c r="E27" s="2442"/>
      <c r="F27" s="2442"/>
    </row>
    <row r="28" spans="1:6" ht="20.65" customHeight="1" x14ac:dyDescent="0.2">
      <c r="A28" s="1280"/>
      <c r="B28" s="1281" t="s">
        <v>2115</v>
      </c>
      <c r="C28" s="1282">
        <v>84.126000000000005</v>
      </c>
      <c r="D28" s="2442">
        <v>1950</v>
      </c>
      <c r="E28" s="2442"/>
      <c r="F28" s="2442"/>
    </row>
    <row r="29" spans="1:6" ht="20.65" customHeight="1" x14ac:dyDescent="0.2">
      <c r="A29" s="1280"/>
      <c r="B29" s="1281" t="s">
        <v>2116</v>
      </c>
      <c r="C29" s="1282">
        <v>84.126000000000005</v>
      </c>
      <c r="D29" s="2442">
        <v>7800</v>
      </c>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2103</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937"/>
      <c r="C50" s="1937"/>
      <c r="D50" s="1937"/>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41-2&amp;R&amp;8Page 41-2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8" zoomScale="110" zoomScaleNormal="110" workbookViewId="0">
      <selection activeCell="A11" sqref="A11:H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Sangamon Area Spec Ed Dist</v>
      </c>
      <c r="C1" s="2455"/>
      <c r="D1" s="2455"/>
      <c r="E1" s="2455"/>
      <c r="F1" s="2455"/>
      <c r="G1" s="2455"/>
      <c r="H1" s="2455"/>
      <c r="I1" s="2455"/>
      <c r="J1" s="1406"/>
    </row>
    <row r="2" spans="2:10" s="317" customFormat="1" ht="12.75" customHeight="1" x14ac:dyDescent="0.2">
      <c r="B2" s="2456">
        <f>'Single Audit Cover'!E7</f>
        <v>51084010061</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t="s">
        <v>2117</v>
      </c>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2067</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2067</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2067</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2067</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2067</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t="s">
        <v>2118</v>
      </c>
      <c r="E29" s="2461"/>
      <c r="F29" s="2461"/>
      <c r="G29" s="2461"/>
      <c r="H29" s="2461"/>
      <c r="I29" s="246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2067</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2" t="s">
        <v>1748</v>
      </c>
      <c r="D37" s="2463"/>
      <c r="E37" s="2463"/>
      <c r="F37" s="2464"/>
      <c r="G37" s="2462" t="s">
        <v>1592</v>
      </c>
      <c r="H37" s="2463"/>
      <c r="I37" s="2464"/>
    </row>
    <row r="38" spans="2:9" ht="16.5" customHeight="1" x14ac:dyDescent="0.2">
      <c r="B38" s="1428"/>
      <c r="C38" s="2450" t="s">
        <v>2119</v>
      </c>
      <c r="D38" s="2451"/>
      <c r="E38" s="2451"/>
      <c r="F38" s="2452"/>
      <c r="G38" s="2465"/>
      <c r="H38" s="2466"/>
      <c r="I38" s="2467"/>
    </row>
    <row r="39" spans="2:9" ht="16.5" customHeight="1" x14ac:dyDescent="0.2">
      <c r="B39" s="1428" t="s">
        <v>2086</v>
      </c>
      <c r="C39" s="2450" t="s">
        <v>2120</v>
      </c>
      <c r="D39" s="2451"/>
      <c r="E39" s="2451"/>
      <c r="F39" s="2452"/>
      <c r="G39" s="2453">
        <v>2898961</v>
      </c>
      <c r="H39" s="2453"/>
      <c r="I39" s="2453"/>
    </row>
    <row r="40" spans="2:9" ht="16.5" customHeight="1" x14ac:dyDescent="0.2">
      <c r="B40" s="1428" t="s">
        <v>2080</v>
      </c>
      <c r="C40" s="2450" t="s">
        <v>2121</v>
      </c>
      <c r="D40" s="2451"/>
      <c r="E40" s="2451"/>
      <c r="F40" s="2452"/>
      <c r="G40" s="2453">
        <v>109153</v>
      </c>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3008114</v>
      </c>
      <c r="H43" s="2471"/>
      <c r="I43" s="2471"/>
    </row>
    <row r="44" spans="2:9" ht="12.75" customHeight="1" x14ac:dyDescent="0.2"/>
    <row r="45" spans="2:9" ht="12.75" customHeight="1" x14ac:dyDescent="0.2">
      <c r="B45" s="1419" t="s">
        <v>1838</v>
      </c>
      <c r="D45" s="2472">
        <v>3272693</v>
      </c>
      <c r="E45" s="2473"/>
    </row>
    <row r="46" spans="2:9" ht="5.25" customHeight="1" x14ac:dyDescent="0.2">
      <c r="B46" s="1429"/>
      <c r="D46" s="1430"/>
      <c r="E46" s="1431"/>
    </row>
    <row r="47" spans="2:9" ht="12.75" customHeight="1" x14ac:dyDescent="0.2">
      <c r="B47" s="1297" t="s">
        <v>1594</v>
      </c>
      <c r="C47" s="1297"/>
      <c r="D47" s="1432">
        <f>+G43/D45</f>
        <v>0.91915557004583071</v>
      </c>
      <c r="E47" s="1433"/>
      <c r="F47" s="1434"/>
      <c r="I47" s="1435"/>
    </row>
    <row r="48" spans="2:9" ht="9.9499999999999993" customHeight="1" x14ac:dyDescent="0.2"/>
    <row r="49" spans="1:9" x14ac:dyDescent="0.2">
      <c r="B49" s="1365" t="s">
        <v>1273</v>
      </c>
      <c r="C49" s="1279"/>
      <c r="D49" s="1279"/>
      <c r="E49" s="2474">
        <v>750000</v>
      </c>
      <c r="F49" s="2474"/>
      <c r="G49" s="2474"/>
      <c r="H49" s="322"/>
    </row>
    <row r="51" spans="1:9" ht="13.5" customHeight="1" x14ac:dyDescent="0.2">
      <c r="B51" s="1365" t="s">
        <v>1272</v>
      </c>
      <c r="C51" s="1279"/>
      <c r="E51" s="1422"/>
      <c r="F51" s="1297" t="s">
        <v>885</v>
      </c>
      <c r="G51" s="1422" t="s">
        <v>2067</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11" sqref="A11:H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Sangamon Area Spec Ed Dist</v>
      </c>
      <c r="C1" s="2454"/>
      <c r="D1" s="2454"/>
      <c r="E1" s="2454"/>
      <c r="F1" s="2454"/>
      <c r="G1" s="2454"/>
      <c r="H1" s="2454"/>
      <c r="I1" s="2454"/>
      <c r="J1" s="2454"/>
      <c r="K1" s="2454"/>
      <c r="L1" s="1371"/>
      <c r="M1" s="1371"/>
    </row>
    <row r="2" spans="1:13" ht="12" customHeight="1" x14ac:dyDescent="0.2">
      <c r="B2" s="2456">
        <f>'Single Audit Cover'!E7</f>
        <v>51084010061</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2122</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2123</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9" zoomScale="110" zoomScaleNormal="110" workbookViewId="0">
      <selection activeCell="A11" sqref="A11:H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Sangamon Area Spec Ed Dist</v>
      </c>
      <c r="C1" s="2481"/>
      <c r="D1" s="2481"/>
      <c r="E1" s="2481"/>
      <c r="F1" s="2481"/>
      <c r="G1" s="2481"/>
      <c r="H1" s="2481"/>
      <c r="I1" s="2481"/>
      <c r="J1" s="2481"/>
      <c r="K1" s="2481"/>
      <c r="L1" s="1449"/>
    </row>
    <row r="2" spans="1:12" ht="12.75" customHeight="1" x14ac:dyDescent="0.2">
      <c r="B2" s="2482">
        <f>'Single Audit Cover'!E7</f>
        <v>51084010061</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1</v>
      </c>
      <c r="E8" s="322"/>
      <c r="F8" s="1381" t="s">
        <v>1295</v>
      </c>
      <c r="G8" s="1453"/>
      <c r="H8" s="1454" t="s">
        <v>1307</v>
      </c>
      <c r="I8" s="1453" t="s">
        <v>2067</v>
      </c>
      <c r="J8" s="1455" t="s">
        <v>1306</v>
      </c>
      <c r="L8" s="322"/>
    </row>
    <row r="9" spans="1:12" ht="13.5" customHeight="1" x14ac:dyDescent="0.2">
      <c r="D9" s="322"/>
      <c r="E9" s="322"/>
      <c r="F9" s="322"/>
      <c r="G9" s="1380"/>
      <c r="H9" s="322"/>
      <c r="I9" s="1456" t="s">
        <v>1292</v>
      </c>
      <c r="J9" s="322"/>
      <c r="K9" s="1457">
        <v>2017</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t="s">
        <v>2119</v>
      </c>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t="s">
        <v>2124</v>
      </c>
      <c r="E14" s="2484"/>
      <c r="F14" s="2484"/>
      <c r="H14" s="1459" t="s">
        <v>1303</v>
      </c>
      <c r="I14" s="2485" t="s">
        <v>2125</v>
      </c>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t="s">
        <v>2126</v>
      </c>
      <c r="E16" s="2485"/>
      <c r="F16" s="2485"/>
      <c r="G16" s="2485"/>
      <c r="H16" s="2485"/>
      <c r="I16" s="2485"/>
      <c r="J16" s="2485"/>
      <c r="K16" s="2485"/>
      <c r="L16" s="322"/>
    </row>
    <row r="17" spans="2:12" ht="13.5" customHeight="1" x14ac:dyDescent="0.2">
      <c r="B17" s="1384" t="s">
        <v>1301</v>
      </c>
      <c r="C17" s="1384"/>
      <c r="D17" s="2486" t="s">
        <v>2127</v>
      </c>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t="s">
        <v>2128</v>
      </c>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6" t="s">
        <v>2129</v>
      </c>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6" t="s">
        <v>2130</v>
      </c>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6" t="s">
        <v>2153</v>
      </c>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t="s">
        <v>2131</v>
      </c>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t="s">
        <v>2132</v>
      </c>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t="s">
        <v>2133</v>
      </c>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6" t="s">
        <v>2134</v>
      </c>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7FD94-3F09-41D8-B626-447BEA126FA5}">
  <dimension ref="A1:L48"/>
  <sheetViews>
    <sheetView showGridLines="0" zoomScale="110" zoomScaleNormal="110" workbookViewId="0">
      <selection activeCell="A11" sqref="A11:H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Sangamon Area Spec Ed Dist</v>
      </c>
      <c r="C1" s="2481"/>
      <c r="D1" s="2481"/>
      <c r="E1" s="2481"/>
      <c r="F1" s="2481"/>
      <c r="G1" s="2481"/>
      <c r="H1" s="2481"/>
      <c r="I1" s="2481"/>
      <c r="J1" s="2481"/>
      <c r="K1" s="2481"/>
      <c r="L1" s="1449"/>
    </row>
    <row r="2" spans="1:12" ht="12.75" customHeight="1" x14ac:dyDescent="0.2">
      <c r="B2" s="2482">
        <f>'Single Audit Cover'!E7</f>
        <v>51084010061</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939"/>
    </row>
    <row r="4" spans="1:12" ht="12.75" customHeight="1" x14ac:dyDescent="0.2">
      <c r="B4" s="2477" t="str">
        <f>'Single Audit Cover'!A4</f>
        <v>Year Ending June 30, 2019</v>
      </c>
      <c r="C4" s="2477"/>
      <c r="D4" s="2477"/>
      <c r="E4" s="2477"/>
      <c r="F4" s="2477"/>
      <c r="G4" s="2477"/>
      <c r="H4" s="2477"/>
      <c r="I4" s="2477"/>
      <c r="J4" s="2477"/>
      <c r="K4" s="2477"/>
      <c r="L4" s="1939"/>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2</v>
      </c>
      <c r="E8" s="322"/>
      <c r="F8" s="1381" t="s">
        <v>1295</v>
      </c>
      <c r="G8" s="1453"/>
      <c r="H8" s="1454" t="s">
        <v>1307</v>
      </c>
      <c r="I8" s="1453" t="s">
        <v>2067</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t="s">
        <v>2119</v>
      </c>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t="s">
        <v>2124</v>
      </c>
      <c r="E14" s="2484"/>
      <c r="F14" s="2484"/>
      <c r="H14" s="1459" t="s">
        <v>1303</v>
      </c>
      <c r="I14" s="2485" t="s">
        <v>2125</v>
      </c>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t="s">
        <v>2126</v>
      </c>
      <c r="E16" s="2485"/>
      <c r="F16" s="2485"/>
      <c r="G16" s="2485"/>
      <c r="H16" s="2485"/>
      <c r="I16" s="2485"/>
      <c r="J16" s="2485"/>
      <c r="K16" s="2485"/>
      <c r="L16" s="322"/>
    </row>
    <row r="17" spans="2:12" ht="13.5" customHeight="1" x14ac:dyDescent="0.2">
      <c r="B17" s="1384" t="s">
        <v>1301</v>
      </c>
      <c r="C17" s="1384"/>
      <c r="D17" s="2486" t="s">
        <v>2127</v>
      </c>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t="s">
        <v>2135</v>
      </c>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6" t="s">
        <v>2154</v>
      </c>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6" t="s">
        <v>2130</v>
      </c>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6" t="s">
        <v>2137</v>
      </c>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t="s">
        <v>2155</v>
      </c>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t="s">
        <v>2136</v>
      </c>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t="s">
        <v>2139</v>
      </c>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6" t="s">
        <v>2138</v>
      </c>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44-1&amp;R&amp;8Page 44-1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11" sqref="A11:H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Sangamon Area Spec Ed Dist</v>
      </c>
      <c r="C1" s="2454"/>
      <c r="D1" s="2454"/>
      <c r="E1" s="1469"/>
    </row>
    <row r="2" spans="2:5" s="1279" customFormat="1" ht="12.75" customHeight="1" x14ac:dyDescent="0.2">
      <c r="B2" s="2456">
        <f>'Single Audit Cover'!E7</f>
        <v>51084010061</v>
      </c>
      <c r="C2" s="2456"/>
      <c r="D2" s="2456"/>
      <c r="E2" s="1470"/>
    </row>
    <row r="3" spans="2:5" ht="12.75" customHeight="1" x14ac:dyDescent="0.2">
      <c r="B3" s="2477" t="s">
        <v>1763</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2140</v>
      </c>
      <c r="C7" s="324" t="s">
        <v>2141</v>
      </c>
      <c r="D7" s="324"/>
      <c r="E7" s="324"/>
    </row>
    <row r="8" spans="2:5" ht="13.5" customHeight="1" x14ac:dyDescent="0.2">
      <c r="B8" s="1474"/>
      <c r="C8" s="324" t="s">
        <v>2142</v>
      </c>
      <c r="D8" s="324"/>
      <c r="E8" s="324"/>
    </row>
    <row r="9" spans="2:5" ht="13.5" customHeight="1" x14ac:dyDescent="0.2">
      <c r="B9" s="1475"/>
      <c r="C9" s="323" t="s">
        <v>2143</v>
      </c>
      <c r="D9" s="323" t="s">
        <v>2144</v>
      </c>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11" sqref="A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14599630</v>
      </c>
      <c r="E16" s="356"/>
      <c r="F16" s="1733">
        <f>SUM('Acct Summary 7-8'!C17,'Acct Summary 7-8'!D17,'Acct Summary 7-8'!F17)</f>
        <v>13640500</v>
      </c>
      <c r="G16" s="356"/>
      <c r="H16" s="1733">
        <f>SUM(D16-F16)</f>
        <v>959130</v>
      </c>
      <c r="I16" s="222"/>
      <c r="J16" s="1733">
        <f>SUM('Acct Summary 7-8'!C81,'Acct Summary 7-8'!D81,'Acct Summary 7-8'!F81,'Acct Summary 7-8'!I81)</f>
        <v>1580135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1" sqref="A11:H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Sangamon Area Spec Ed Dist</v>
      </c>
      <c r="E7" s="391"/>
      <c r="G7" s="252"/>
      <c r="H7" s="387"/>
      <c r="I7" s="387"/>
      <c r="J7" s="387"/>
      <c r="K7" s="387"/>
      <c r="L7" s="329"/>
      <c r="M7" s="329"/>
      <c r="N7" s="329"/>
      <c r="O7" s="329"/>
      <c r="P7" s="329"/>
    </row>
    <row r="8" spans="1:18" ht="12.75" x14ac:dyDescent="0.2">
      <c r="A8" s="329"/>
      <c r="B8" s="329"/>
      <c r="C8" s="389" t="s">
        <v>1125</v>
      </c>
      <c r="D8" s="392">
        <f>COVER!A13</f>
        <v>51084010061</v>
      </c>
      <c r="E8" s="393"/>
      <c r="G8" s="329"/>
      <c r="H8" s="329"/>
      <c r="I8" s="329"/>
      <c r="J8" s="329"/>
      <c r="K8" s="329"/>
      <c r="L8" s="329"/>
      <c r="M8" s="329"/>
      <c r="N8" s="329"/>
      <c r="O8" s="329"/>
      <c r="P8" s="329"/>
    </row>
    <row r="9" spans="1:18" ht="12.75" x14ac:dyDescent="0.2">
      <c r="A9" s="329"/>
      <c r="B9" s="329"/>
      <c r="C9" s="389" t="s">
        <v>713</v>
      </c>
      <c r="D9" s="394" t="str">
        <f>COVER!A15</f>
        <v xml:space="preserve">Sangamon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1580135</v>
      </c>
      <c r="I12" s="404"/>
      <c r="J12" s="404"/>
      <c r="K12" s="405">
        <f>TRUNC((H12/H13*100000),5)/100000</f>
        <v>0.10823116749999999</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14599630</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13640500</v>
      </c>
      <c r="I17" s="404"/>
      <c r="J17" s="416"/>
      <c r="K17" s="405">
        <f>TRUNC((H17/H18*100000),5)/100000</f>
        <v>0.93430449940000004</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14599630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1583293</v>
      </c>
      <c r="I24" s="422"/>
      <c r="J24" s="422"/>
      <c r="K24" s="423">
        <f>TRUNC(((H24/H25*100000)/100000),2)</f>
        <v>41.78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37890.277779999997</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1" sqref="A11:H11"/>
      <selection pane="bottomLeft" activeCell="A11" sqref="A11:H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1216781</v>
      </c>
      <c r="D4" s="466">
        <v>366512</v>
      </c>
      <c r="E4" s="466"/>
      <c r="F4" s="466"/>
      <c r="G4" s="466"/>
      <c r="H4" s="466"/>
      <c r="I4" s="466"/>
      <c r="J4" s="467"/>
      <c r="K4" s="466"/>
      <c r="L4" s="466">
        <v>717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1216781</v>
      </c>
      <c r="D13" s="1737">
        <f t="shared" ref="D13:L13" si="0">SUM(D4:D12)</f>
        <v>366512</v>
      </c>
      <c r="E13" s="1737">
        <f t="shared" si="0"/>
        <v>0</v>
      </c>
      <c r="F13" s="1737">
        <f t="shared" si="0"/>
        <v>0</v>
      </c>
      <c r="G13" s="1737">
        <f t="shared" si="0"/>
        <v>0</v>
      </c>
      <c r="H13" s="1737">
        <f t="shared" si="0"/>
        <v>0</v>
      </c>
      <c r="I13" s="1737">
        <f t="shared" si="0"/>
        <v>0</v>
      </c>
      <c r="J13" s="1737">
        <f t="shared" si="0"/>
        <v>0</v>
      </c>
      <c r="K13" s="1737">
        <f t="shared" si="0"/>
        <v>0</v>
      </c>
      <c r="L13" s="1737">
        <f t="shared" si="0"/>
        <v>717</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28700</v>
      </c>
      <c r="N16" s="484"/>
    </row>
    <row r="17" spans="1:14" s="485" customFormat="1" ht="12.75" customHeight="1" x14ac:dyDescent="0.2">
      <c r="A17" s="482" t="s">
        <v>1403</v>
      </c>
      <c r="B17" s="483">
        <v>230</v>
      </c>
      <c r="C17" s="477"/>
      <c r="D17" s="477"/>
      <c r="E17" s="477"/>
      <c r="F17" s="477"/>
      <c r="G17" s="477"/>
      <c r="H17" s="477"/>
      <c r="I17" s="477"/>
      <c r="J17" s="477"/>
      <c r="K17" s="477"/>
      <c r="L17" s="477"/>
      <c r="M17" s="467">
        <v>1544781</v>
      </c>
      <c r="N17" s="484"/>
    </row>
    <row r="18" spans="1:14" s="485" customFormat="1" ht="12.75" customHeight="1" x14ac:dyDescent="0.2">
      <c r="A18" s="482" t="s">
        <v>1404</v>
      </c>
      <c r="B18" s="483">
        <v>240</v>
      </c>
      <c r="C18" s="477"/>
      <c r="D18" s="477"/>
      <c r="E18" s="477"/>
      <c r="F18" s="477"/>
      <c r="G18" s="477"/>
      <c r="H18" s="477"/>
      <c r="I18" s="477"/>
      <c r="J18" s="477"/>
      <c r="K18" s="477"/>
      <c r="L18" s="477"/>
      <c r="M18" s="467">
        <v>70283</v>
      </c>
      <c r="N18" s="484"/>
    </row>
    <row r="19" spans="1:14" s="485" customFormat="1" ht="12.75" customHeight="1" x14ac:dyDescent="0.2">
      <c r="A19" s="482" t="s">
        <v>1405</v>
      </c>
      <c r="B19" s="483">
        <v>250</v>
      </c>
      <c r="C19" s="477"/>
      <c r="D19" s="477"/>
      <c r="E19" s="477"/>
      <c r="F19" s="477"/>
      <c r="G19" s="477"/>
      <c r="H19" s="477"/>
      <c r="I19" s="477"/>
      <c r="J19" s="477"/>
      <c r="K19" s="477"/>
      <c r="L19" s="477"/>
      <c r="M19" s="467">
        <v>286105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1929869</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3158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717</v>
      </c>
      <c r="M33" s="468"/>
      <c r="N33" s="469"/>
    </row>
    <row r="34" spans="1:14" ht="13.5" customHeight="1" thickBot="1" x14ac:dyDescent="0.25">
      <c r="A34" s="1738" t="s">
        <v>654</v>
      </c>
      <c r="B34" s="1739"/>
      <c r="C34" s="1740">
        <f>SUM(C25:C33)</f>
        <v>3158</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717</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1213623</v>
      </c>
      <c r="D39" s="466">
        <v>366512</v>
      </c>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1929869</v>
      </c>
      <c r="N40" s="497"/>
    </row>
    <row r="41" spans="1:14" ht="13.5" customHeight="1" thickBot="1" x14ac:dyDescent="0.25">
      <c r="A41" s="1736" t="s">
        <v>655</v>
      </c>
      <c r="B41" s="1706"/>
      <c r="C41" s="1688">
        <f>(SUM(C34,C37,C38,C39))</f>
        <v>1216781</v>
      </c>
      <c r="D41" s="1688">
        <f t="shared" ref="D41:L41" si="2">SUM(D34,D37,D38:D39)</f>
        <v>366512</v>
      </c>
      <c r="E41" s="1688">
        <f t="shared" si="2"/>
        <v>0</v>
      </c>
      <c r="F41" s="1688">
        <f t="shared" si="2"/>
        <v>0</v>
      </c>
      <c r="G41" s="1688">
        <f t="shared" si="2"/>
        <v>0</v>
      </c>
      <c r="H41" s="1688">
        <f t="shared" si="2"/>
        <v>0</v>
      </c>
      <c r="I41" s="1688">
        <f t="shared" si="2"/>
        <v>0</v>
      </c>
      <c r="J41" s="1688">
        <f t="shared" si="2"/>
        <v>0</v>
      </c>
      <c r="K41" s="1688">
        <f t="shared" si="2"/>
        <v>0</v>
      </c>
      <c r="L41" s="1688">
        <f t="shared" si="2"/>
        <v>717</v>
      </c>
      <c r="M41" s="1688">
        <f>SUM(M40)</f>
        <v>1929869</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A11" sqref="A11:H11"/>
      <selection pane="bottomLeft" activeCell="A11" sqref="A11:H1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8586976</v>
      </c>
      <c r="D4" s="1742">
        <f>'Revenues 9-14'!D109</f>
        <v>20122</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1393629</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4598903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14579508</v>
      </c>
      <c r="D8" s="1688">
        <f t="shared" ref="D8:K8" si="0">SUM(D4:D7)</f>
        <v>20122</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4876491</v>
      </c>
      <c r="D9" s="516"/>
      <c r="E9" s="481"/>
      <c r="F9" s="481"/>
      <c r="G9" s="517"/>
      <c r="H9" s="481"/>
      <c r="I9" s="509" t="s">
        <v>1169</v>
      </c>
      <c r="J9" s="478"/>
      <c r="K9" s="481"/>
      <c r="L9" s="347"/>
    </row>
    <row r="10" spans="1:13" s="519" customFormat="1" ht="13.5" thickBot="1" x14ac:dyDescent="0.25">
      <c r="A10" s="1736" t="s">
        <v>1173</v>
      </c>
      <c r="B10" s="1709"/>
      <c r="C10" s="1688">
        <f>SUM(C8:C9)</f>
        <v>19455999</v>
      </c>
      <c r="D10" s="1688">
        <f t="shared" ref="D10:K10" si="1">SUM(D8:D9)</f>
        <v>20122</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7321678</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5194494</v>
      </c>
      <c r="D13" s="1743">
        <f>'Expenditures 15-22'!K129</f>
        <v>3925</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1120403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13636575</v>
      </c>
      <c r="D17" s="1688">
        <f t="shared" si="2"/>
        <v>3925</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4876491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18513066</v>
      </c>
      <c r="D19" s="1688">
        <f t="shared" si="4"/>
        <v>3925</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8" t="s">
        <v>1655</v>
      </c>
      <c r="B20" s="2129"/>
      <c r="C20" s="1746">
        <f>C8-C17</f>
        <v>942933</v>
      </c>
      <c r="D20" s="1746">
        <f t="shared" ref="D20:K20" si="5">D8-D17</f>
        <v>16197</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v>48779</v>
      </c>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48779</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48779</v>
      </c>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48779</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-48779</v>
      </c>
      <c r="D77" s="1703">
        <f t="shared" si="8"/>
        <v>48779</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894154</v>
      </c>
      <c r="D78" s="1702">
        <f t="shared" si="9"/>
        <v>64976</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1946</v>
      </c>
      <c r="B79" s="534"/>
      <c r="C79" s="478">
        <v>319469</v>
      </c>
      <c r="D79" s="535">
        <v>301536</v>
      </c>
      <c r="E79" s="535"/>
      <c r="F79" s="535"/>
      <c r="G79" s="535"/>
      <c r="H79" s="535"/>
      <c r="I79" s="535"/>
      <c r="J79" s="535"/>
      <c r="K79" s="535"/>
      <c r="L79" s="347"/>
    </row>
    <row r="80" spans="1:12" x14ac:dyDescent="0.2">
      <c r="A80" s="2130" t="s">
        <v>1792</v>
      </c>
      <c r="B80" s="2131"/>
      <c r="C80" s="467"/>
      <c r="D80" s="467"/>
      <c r="E80" s="467"/>
      <c r="F80" s="467"/>
      <c r="G80" s="467"/>
      <c r="H80" s="467"/>
      <c r="I80" s="467"/>
      <c r="J80" s="467"/>
      <c r="K80" s="467"/>
      <c r="L80" s="347"/>
    </row>
    <row r="81" spans="1:12" ht="13.5" thickBot="1" x14ac:dyDescent="0.25">
      <c r="A81" s="2122" t="s">
        <v>1947</v>
      </c>
      <c r="B81" s="2123"/>
      <c r="C81" s="1688">
        <f>(SUM(C78:C80))</f>
        <v>1213623</v>
      </c>
      <c r="D81" s="1688">
        <f>SUM(D78:D80)</f>
        <v>366512</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894154</v>
      </c>
      <c r="D82" s="538">
        <f t="shared" ref="D82:K82" si="11">(D81-D79)</f>
        <v>64976</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0.73676421755355659</v>
      </c>
      <c r="D83" s="540">
        <f t="shared" ref="D83:K83" si="12">D82/D81</f>
        <v>0.17728205352075785</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activeCell="A11" sqref="A11:H11"/>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1799</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8536465</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8536465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48779</v>
      </c>
      <c r="D65" s="466">
        <v>20122</v>
      </c>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48779</v>
      </c>
      <c r="D67" s="1688">
        <f t="shared" ref="D67:K67" si="2">SUM(D65:D66)</f>
        <v>20122</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1732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1732</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8586976</v>
      </c>
      <c r="D109" s="1715">
        <f t="shared" si="4"/>
        <v>20122</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1388338</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1388338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5291</v>
      </c>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5291</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5291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1393629</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1800</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169610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3417320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3586930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148101</v>
      </c>
      <c r="D263" s="576"/>
      <c r="E263" s="468"/>
      <c r="F263" s="576"/>
      <c r="G263" s="576"/>
      <c r="H263" s="468"/>
      <c r="I263" s="468"/>
      <c r="J263" s="468"/>
      <c r="K263" s="468"/>
    </row>
    <row r="264" spans="1:11" ht="12.75" customHeight="1" thickTop="1" thickBot="1" x14ac:dyDescent="0.25">
      <c r="A264" s="463" t="s">
        <v>377</v>
      </c>
      <c r="B264" s="470">
        <v>4992</v>
      </c>
      <c r="C264" s="575">
        <v>699731</v>
      </c>
      <c r="D264" s="576"/>
      <c r="E264" s="468"/>
      <c r="F264" s="576"/>
      <c r="G264" s="576"/>
      <c r="H264" s="468"/>
      <c r="I264" s="468"/>
      <c r="J264" s="468"/>
      <c r="K264" s="468"/>
    </row>
    <row r="265" spans="1:11" s="593" customFormat="1" ht="12.75" customHeight="1" thickTop="1" thickBot="1" x14ac:dyDescent="0.25">
      <c r="A265" s="563" t="s">
        <v>75</v>
      </c>
      <c r="B265" s="557">
        <v>4999</v>
      </c>
      <c r="C265" s="575">
        <v>164141</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4598903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4598903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14579508</v>
      </c>
      <c r="D268" s="1715">
        <f t="shared" si="12"/>
        <v>20122</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38" activePane="bottomLeft" state="frozen"/>
      <selection activeCell="A11" sqref="A11:H11"/>
      <selection pane="bottomLeft" activeCell="A11" sqref="A11:H1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4276806</v>
      </c>
      <c r="D8" s="466">
        <v>1522354</v>
      </c>
      <c r="E8" s="466">
        <v>143716</v>
      </c>
      <c r="F8" s="466">
        <v>37945</v>
      </c>
      <c r="G8" s="466"/>
      <c r="H8" s="466">
        <v>996458</v>
      </c>
      <c r="I8" s="467"/>
      <c r="J8" s="467"/>
      <c r="K8" s="1671">
        <f t="shared" si="0"/>
        <v>6977279</v>
      </c>
      <c r="L8" s="466">
        <v>6777949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229064</v>
      </c>
      <c r="D13" s="466">
        <v>50731</v>
      </c>
      <c r="E13" s="466">
        <v>7001</v>
      </c>
      <c r="F13" s="466"/>
      <c r="G13" s="466"/>
      <c r="H13" s="466"/>
      <c r="I13" s="467"/>
      <c r="J13" s="467"/>
      <c r="K13" s="1671">
        <f t="shared" si="0"/>
        <v>286796</v>
      </c>
      <c r="L13" s="466">
        <v>299643</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44523</v>
      </c>
      <c r="D15" s="466">
        <v>12932</v>
      </c>
      <c r="E15" s="466"/>
      <c r="F15" s="466">
        <v>148</v>
      </c>
      <c r="G15" s="466"/>
      <c r="H15" s="466"/>
      <c r="I15" s="467"/>
      <c r="J15" s="467"/>
      <c r="K15" s="1671">
        <f t="shared" si="0"/>
        <v>57603</v>
      </c>
      <c r="L15" s="466">
        <v>51643</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4550393</v>
      </c>
      <c r="D33" s="1670">
        <f t="shared" ref="D33:L33" si="1">SUM(D5:D32)</f>
        <v>1586017</v>
      </c>
      <c r="E33" s="1670">
        <f t="shared" si="1"/>
        <v>150717</v>
      </c>
      <c r="F33" s="1670">
        <f t="shared" si="1"/>
        <v>38093</v>
      </c>
      <c r="G33" s="1670">
        <f t="shared" si="1"/>
        <v>0</v>
      </c>
      <c r="H33" s="1670">
        <f t="shared" si="1"/>
        <v>996458</v>
      </c>
      <c r="I33" s="1670">
        <f t="shared" si="1"/>
        <v>0</v>
      </c>
      <c r="J33" s="1670">
        <f t="shared" si="1"/>
        <v>0</v>
      </c>
      <c r="K33" s="1670">
        <f t="shared" si="1"/>
        <v>7321678</v>
      </c>
      <c r="L33" s="1670">
        <f t="shared" si="1"/>
        <v>7129235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579238</v>
      </c>
      <c r="D36" s="481">
        <v>132299</v>
      </c>
      <c r="E36" s="481">
        <v>10152</v>
      </c>
      <c r="F36" s="481">
        <v>1088</v>
      </c>
      <c r="G36" s="481"/>
      <c r="H36" s="481"/>
      <c r="I36" s="467"/>
      <c r="J36" s="467"/>
      <c r="K36" s="1671">
        <f t="shared" ref="K36:K41" si="2">SUM(C36:J36)</f>
        <v>722777</v>
      </c>
      <c r="L36" s="466">
        <v>702789</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635313</v>
      </c>
      <c r="D38" s="466">
        <v>207663</v>
      </c>
      <c r="E38" s="466">
        <v>26572</v>
      </c>
      <c r="F38" s="466">
        <v>5547</v>
      </c>
      <c r="G38" s="466"/>
      <c r="H38" s="466"/>
      <c r="I38" s="467"/>
      <c r="J38" s="467"/>
      <c r="K38" s="1671">
        <f t="shared" si="2"/>
        <v>875095</v>
      </c>
      <c r="L38" s="466">
        <v>1046068</v>
      </c>
    </row>
    <row r="39" spans="1:14" x14ac:dyDescent="0.2">
      <c r="A39" s="1504" t="s">
        <v>199</v>
      </c>
      <c r="B39" s="614">
        <v>2140</v>
      </c>
      <c r="C39" s="466">
        <v>475225</v>
      </c>
      <c r="D39" s="466">
        <v>124461</v>
      </c>
      <c r="E39" s="466">
        <v>11622</v>
      </c>
      <c r="F39" s="466">
        <v>3759</v>
      </c>
      <c r="G39" s="466"/>
      <c r="H39" s="466"/>
      <c r="I39" s="467"/>
      <c r="J39" s="467"/>
      <c r="K39" s="1671">
        <f t="shared" si="2"/>
        <v>615067</v>
      </c>
      <c r="L39" s="466">
        <v>635635</v>
      </c>
    </row>
    <row r="40" spans="1:14" x14ac:dyDescent="0.2">
      <c r="A40" s="1504" t="s">
        <v>200</v>
      </c>
      <c r="B40" s="614">
        <v>2150</v>
      </c>
      <c r="C40" s="466">
        <v>685733</v>
      </c>
      <c r="D40" s="466">
        <v>173615</v>
      </c>
      <c r="E40" s="466">
        <v>70763</v>
      </c>
      <c r="F40" s="466">
        <v>2905</v>
      </c>
      <c r="G40" s="466"/>
      <c r="H40" s="466"/>
      <c r="I40" s="467"/>
      <c r="J40" s="467"/>
      <c r="K40" s="1671">
        <f t="shared" si="2"/>
        <v>933016</v>
      </c>
      <c r="L40" s="466">
        <v>973320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2375509</v>
      </c>
      <c r="D42" s="1670">
        <f t="shared" ref="D42:L42" si="3">SUM(D36:D41)</f>
        <v>638038</v>
      </c>
      <c r="E42" s="1670">
        <f t="shared" si="3"/>
        <v>119109</v>
      </c>
      <c r="F42" s="1670">
        <f t="shared" si="3"/>
        <v>13299</v>
      </c>
      <c r="G42" s="1670">
        <f t="shared" si="3"/>
        <v>0</v>
      </c>
      <c r="H42" s="1670">
        <f t="shared" si="3"/>
        <v>0</v>
      </c>
      <c r="I42" s="1670">
        <f t="shared" si="3"/>
        <v>0</v>
      </c>
      <c r="J42" s="1670">
        <f t="shared" si="3"/>
        <v>0</v>
      </c>
      <c r="K42" s="1670">
        <f t="shared" si="3"/>
        <v>3145955</v>
      </c>
      <c r="L42" s="1670">
        <f t="shared" si="3"/>
        <v>3357812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91749</v>
      </c>
      <c r="D44" s="481">
        <v>30610</v>
      </c>
      <c r="E44" s="481">
        <v>35959</v>
      </c>
      <c r="F44" s="481">
        <v>135863</v>
      </c>
      <c r="G44" s="481">
        <v>18630</v>
      </c>
      <c r="H44" s="481"/>
      <c r="I44" s="467"/>
      <c r="J44" s="467"/>
      <c r="K44" s="1672">
        <f>SUM(C44:J44)</f>
        <v>312811</v>
      </c>
      <c r="L44" s="481">
        <v>226348</v>
      </c>
    </row>
    <row r="45" spans="1:14" x14ac:dyDescent="0.2">
      <c r="A45" s="1504" t="s">
        <v>815</v>
      </c>
      <c r="B45" s="614">
        <v>2220</v>
      </c>
      <c r="C45" s="466"/>
      <c r="D45" s="466"/>
      <c r="E45" s="466"/>
      <c r="F45" s="466"/>
      <c r="G45" s="466"/>
      <c r="H45" s="466"/>
      <c r="I45" s="467"/>
      <c r="J45" s="467"/>
      <c r="K45" s="1672">
        <f>SUM(C45:J45)</f>
        <v>0</v>
      </c>
      <c r="L45" s="466">
        <v>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91749</v>
      </c>
      <c r="D47" s="1670">
        <f t="shared" ref="D47:K47" si="4">SUM(D44:D46)</f>
        <v>30610</v>
      </c>
      <c r="E47" s="1670">
        <f t="shared" si="4"/>
        <v>35959</v>
      </c>
      <c r="F47" s="1670">
        <f t="shared" si="4"/>
        <v>135863</v>
      </c>
      <c r="G47" s="1670">
        <f t="shared" si="4"/>
        <v>18630</v>
      </c>
      <c r="H47" s="1670">
        <f t="shared" si="4"/>
        <v>0</v>
      </c>
      <c r="I47" s="1670">
        <f t="shared" si="4"/>
        <v>0</v>
      </c>
      <c r="J47" s="1670">
        <f t="shared" si="4"/>
        <v>0</v>
      </c>
      <c r="K47" s="1670">
        <f t="shared" si="4"/>
        <v>312811</v>
      </c>
      <c r="L47" s="1670">
        <f>SUM(L44:L46)</f>
        <v>226848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27163</v>
      </c>
      <c r="E49" s="481">
        <v>72715</v>
      </c>
      <c r="F49" s="481">
        <v>1563</v>
      </c>
      <c r="G49" s="481"/>
      <c r="H49" s="481">
        <v>117398</v>
      </c>
      <c r="I49" s="467"/>
      <c r="J49" s="467"/>
      <c r="K49" s="1672">
        <f>SUM(C49:J49)</f>
        <v>218839</v>
      </c>
      <c r="L49" s="481">
        <v>353120</v>
      </c>
    </row>
    <row r="50" spans="1:14" x14ac:dyDescent="0.2">
      <c r="A50" s="1504" t="s">
        <v>818</v>
      </c>
      <c r="B50" s="614">
        <v>2320</v>
      </c>
      <c r="C50" s="466">
        <v>143966</v>
      </c>
      <c r="D50" s="466">
        <v>30191</v>
      </c>
      <c r="E50" s="466">
        <v>11176</v>
      </c>
      <c r="F50" s="466">
        <v>2822</v>
      </c>
      <c r="G50" s="466"/>
      <c r="H50" s="466"/>
      <c r="I50" s="467"/>
      <c r="J50" s="467"/>
      <c r="K50" s="1672">
        <f>SUM(C50:J50)</f>
        <v>188155</v>
      </c>
      <c r="L50" s="466">
        <v>178353</v>
      </c>
    </row>
    <row r="51" spans="1:14" x14ac:dyDescent="0.2">
      <c r="A51" s="1504" t="s">
        <v>42</v>
      </c>
      <c r="B51" s="614">
        <v>2330</v>
      </c>
      <c r="C51" s="466">
        <v>568926</v>
      </c>
      <c r="D51" s="466">
        <v>116434</v>
      </c>
      <c r="E51" s="466">
        <v>15507</v>
      </c>
      <c r="F51" s="466"/>
      <c r="G51" s="466"/>
      <c r="H51" s="466"/>
      <c r="I51" s="467"/>
      <c r="J51" s="467"/>
      <c r="K51" s="1672">
        <f>SUM(C51:J51)</f>
        <v>700867</v>
      </c>
      <c r="L51" s="466">
        <v>686439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712892</v>
      </c>
      <c r="D53" s="1670">
        <f t="shared" ref="D53:L53" si="5">SUM(D49:D52)</f>
        <v>173788</v>
      </c>
      <c r="E53" s="1670">
        <f t="shared" si="5"/>
        <v>99398</v>
      </c>
      <c r="F53" s="1670">
        <f t="shared" si="5"/>
        <v>4385</v>
      </c>
      <c r="G53" s="1670">
        <f t="shared" si="5"/>
        <v>0</v>
      </c>
      <c r="H53" s="1670">
        <f t="shared" si="5"/>
        <v>117398</v>
      </c>
      <c r="I53" s="1670">
        <f t="shared" si="5"/>
        <v>0</v>
      </c>
      <c r="J53" s="1670">
        <f t="shared" si="5"/>
        <v>0</v>
      </c>
      <c r="K53" s="1670">
        <f t="shared" si="5"/>
        <v>1107861</v>
      </c>
      <c r="L53" s="1670">
        <f t="shared" si="5"/>
        <v>1217912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187955</v>
      </c>
      <c r="D59" s="481">
        <v>66090</v>
      </c>
      <c r="E59" s="481">
        <v>12271</v>
      </c>
      <c r="F59" s="481">
        <v>6787</v>
      </c>
      <c r="G59" s="481">
        <v>31473</v>
      </c>
      <c r="H59" s="481"/>
      <c r="I59" s="467"/>
      <c r="J59" s="467"/>
      <c r="K59" s="1672">
        <f t="shared" ref="K59:K64" si="7">SUM(C59:J59)</f>
        <v>304576</v>
      </c>
      <c r="L59" s="481">
        <v>286652</v>
      </c>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v>47964</v>
      </c>
      <c r="D61" s="466">
        <v>18909</v>
      </c>
      <c r="E61" s="466">
        <v>107377</v>
      </c>
      <c r="F61" s="466">
        <v>18389</v>
      </c>
      <c r="G61" s="466">
        <v>75652</v>
      </c>
      <c r="H61" s="466"/>
      <c r="I61" s="467"/>
      <c r="J61" s="467"/>
      <c r="K61" s="1672">
        <f t="shared" si="7"/>
        <v>268291</v>
      </c>
      <c r="L61" s="466">
        <v>205391</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235919</v>
      </c>
      <c r="D65" s="1670">
        <f t="shared" ref="D65:L65" si="8">SUM(D59:D64)</f>
        <v>84999</v>
      </c>
      <c r="E65" s="1670">
        <f t="shared" si="8"/>
        <v>119648</v>
      </c>
      <c r="F65" s="1670">
        <f t="shared" si="8"/>
        <v>25176</v>
      </c>
      <c r="G65" s="1670">
        <f t="shared" si="8"/>
        <v>107125</v>
      </c>
      <c r="H65" s="1670">
        <f t="shared" si="8"/>
        <v>0</v>
      </c>
      <c r="I65" s="1670">
        <f t="shared" si="8"/>
        <v>0</v>
      </c>
      <c r="J65" s="1670">
        <f t="shared" si="8"/>
        <v>0</v>
      </c>
      <c r="K65" s="1670">
        <f t="shared" si="8"/>
        <v>572867</v>
      </c>
      <c r="L65" s="1670">
        <f t="shared" si="8"/>
        <v>492043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v>55000</v>
      </c>
      <c r="G71" s="466"/>
      <c r="H71" s="466"/>
      <c r="I71" s="467"/>
      <c r="J71" s="467"/>
      <c r="K71" s="1672">
        <f>SUM(C71:J71)</f>
        <v>55000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55000</v>
      </c>
      <c r="G72" s="1670">
        <f t="shared" si="9"/>
        <v>0</v>
      </c>
      <c r="H72" s="1670">
        <f t="shared" si="9"/>
        <v>0</v>
      </c>
      <c r="I72" s="1670">
        <f t="shared" si="9"/>
        <v>0</v>
      </c>
      <c r="J72" s="1670">
        <f t="shared" si="9"/>
        <v>0</v>
      </c>
      <c r="K72" s="1670">
        <f t="shared" si="9"/>
        <v>55000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3416069</v>
      </c>
      <c r="D74" s="1677">
        <f t="shared" ref="D74:K74" si="10">SUM(D42,D47,D53,D57,D65,D72,D73)</f>
        <v>927435</v>
      </c>
      <c r="E74" s="1677">
        <f t="shared" si="10"/>
        <v>374114</v>
      </c>
      <c r="F74" s="1677">
        <f t="shared" si="10"/>
        <v>233723</v>
      </c>
      <c r="G74" s="1677">
        <f t="shared" si="10"/>
        <v>125755</v>
      </c>
      <c r="H74" s="1677">
        <f t="shared" si="10"/>
        <v>117398</v>
      </c>
      <c r="I74" s="1677">
        <f t="shared" si="10"/>
        <v>0</v>
      </c>
      <c r="J74" s="1677">
        <f t="shared" si="10"/>
        <v>0</v>
      </c>
      <c r="K74" s="1677">
        <f t="shared" si="10"/>
        <v>5194494</v>
      </c>
      <c r="L74" s="1677">
        <f>SUM(L42,L47,L53,L57,L65,L72,L73)</f>
        <v>5294615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11250</v>
      </c>
      <c r="F79" s="616"/>
      <c r="G79" s="616"/>
      <c r="H79" s="466">
        <v>1109153</v>
      </c>
      <c r="I79" s="477"/>
      <c r="J79" s="477"/>
      <c r="K79" s="1671">
        <f t="shared" si="11"/>
        <v>1120403</v>
      </c>
      <c r="L79" s="466">
        <v>2964384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v>141835</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11250</v>
      </c>
      <c r="F84" s="616"/>
      <c r="G84" s="616"/>
      <c r="H84" s="1670">
        <f>SUM(H78:H83)</f>
        <v>1109153</v>
      </c>
      <c r="I84" s="477"/>
      <c r="J84" s="477"/>
      <c r="K84" s="1670">
        <f>SUM(K78:K83)</f>
        <v>1120403</v>
      </c>
      <c r="L84" s="1670">
        <f>SUM(L78:L83)</f>
        <v>3106219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11250</v>
      </c>
      <c r="F102" s="616"/>
      <c r="G102" s="616"/>
      <c r="H102" s="1677">
        <f>SUM(H84,H92,H100,H101)</f>
        <v>1109153</v>
      </c>
      <c r="I102" s="477"/>
      <c r="J102" s="477"/>
      <c r="K102" s="1677">
        <f>SUM(K84,K92,K100,K101)</f>
        <v>1120403</v>
      </c>
      <c r="L102" s="1677">
        <f>SUM(L84,L92,L100,L101)</f>
        <v>3106219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7966462</v>
      </c>
      <c r="D114" s="1670">
        <f t="shared" ref="D114:K114" si="13">SUM(D33,D74,D75,D102,D112,D113)</f>
        <v>2513452</v>
      </c>
      <c r="E114" s="1670">
        <f t="shared" si="13"/>
        <v>536081</v>
      </c>
      <c r="F114" s="1670">
        <f t="shared" si="13"/>
        <v>271816</v>
      </c>
      <c r="G114" s="1670">
        <f t="shared" si="13"/>
        <v>125755</v>
      </c>
      <c r="H114" s="1670">
        <f>SUM(H33,H74,H75,H102,H112,H113)</f>
        <v>2223009</v>
      </c>
      <c r="I114" s="1670">
        <f t="shared" si="13"/>
        <v>0</v>
      </c>
      <c r="J114" s="1670">
        <f t="shared" si="13"/>
        <v>0</v>
      </c>
      <c r="K114" s="1670">
        <f t="shared" si="13"/>
        <v>13636575</v>
      </c>
      <c r="L114" s="1670">
        <f>SUM(L33,L74,L75,L102,L112,L113)</f>
        <v>15530069</v>
      </c>
    </row>
    <row r="115" spans="1:14" ht="13.5" thickTop="1" x14ac:dyDescent="0.2">
      <c r="A115" s="2158" t="s">
        <v>996</v>
      </c>
      <c r="B115" s="2159"/>
      <c r="C115" s="618"/>
      <c r="D115" s="618"/>
      <c r="E115" s="618"/>
      <c r="F115" s="618"/>
      <c r="G115" s="618"/>
      <c r="H115" s="618"/>
      <c r="I115" s="618"/>
      <c r="J115" s="618"/>
      <c r="K115" s="1684">
        <f>'Revenues 9-14'!C268-'Expenditures 15-22'!K114</f>
        <v>942933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25000</v>
      </c>
    </row>
    <row r="123" spans="1:14" ht="14.25" thickTop="1" thickBot="1" x14ac:dyDescent="0.25">
      <c r="A123" s="1504" t="s">
        <v>4</v>
      </c>
      <c r="B123" s="614">
        <v>2530</v>
      </c>
      <c r="C123" s="466"/>
      <c r="D123" s="466"/>
      <c r="E123" s="466">
        <v>3925</v>
      </c>
      <c r="F123" s="466"/>
      <c r="G123" s="466"/>
      <c r="H123" s="466"/>
      <c r="I123" s="467"/>
      <c r="J123" s="467"/>
      <c r="K123" s="1670">
        <f>SUM(C123:J123)</f>
        <v>3925</v>
      </c>
      <c r="L123" s="466">
        <v>14632</v>
      </c>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3925</v>
      </c>
      <c r="F127" s="1670">
        <f t="shared" si="14"/>
        <v>0</v>
      </c>
      <c r="G127" s="1670">
        <f t="shared" si="14"/>
        <v>0</v>
      </c>
      <c r="H127" s="1670">
        <f t="shared" si="14"/>
        <v>0</v>
      </c>
      <c r="I127" s="1670">
        <f t="shared" si="14"/>
        <v>0</v>
      </c>
      <c r="J127" s="1670">
        <f t="shared" si="14"/>
        <v>0</v>
      </c>
      <c r="K127" s="1670">
        <f t="shared" si="14"/>
        <v>3925</v>
      </c>
      <c r="L127" s="1670">
        <f t="shared" si="14"/>
        <v>39632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3925</v>
      </c>
      <c r="F129" s="1677">
        <f t="shared" si="15"/>
        <v>0</v>
      </c>
      <c r="G129" s="1677">
        <f t="shared" si="15"/>
        <v>0</v>
      </c>
      <c r="H129" s="1677">
        <f t="shared" si="15"/>
        <v>0</v>
      </c>
      <c r="I129" s="1677">
        <f t="shared" si="15"/>
        <v>0</v>
      </c>
      <c r="J129" s="1677">
        <f t="shared" si="15"/>
        <v>0</v>
      </c>
      <c r="K129" s="1677">
        <f t="shared" si="15"/>
        <v>3925</v>
      </c>
      <c r="L129" s="1677">
        <f t="shared" si="15"/>
        <v>39632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0</v>
      </c>
      <c r="D151" s="1670">
        <f t="shared" ref="D151:K151" si="16">SUM(D129,D130,D139,D149,D150)</f>
        <v>0</v>
      </c>
      <c r="E151" s="1670">
        <f t="shared" si="16"/>
        <v>3925</v>
      </c>
      <c r="F151" s="1670">
        <f t="shared" si="16"/>
        <v>0</v>
      </c>
      <c r="G151" s="1670">
        <f t="shared" si="16"/>
        <v>0</v>
      </c>
      <c r="H151" s="1670">
        <f t="shared" si="16"/>
        <v>0</v>
      </c>
      <c r="I151" s="1670">
        <f t="shared" si="16"/>
        <v>0</v>
      </c>
      <c r="J151" s="1670">
        <f t="shared" si="16"/>
        <v>0</v>
      </c>
      <c r="K151" s="1670">
        <f t="shared" si="16"/>
        <v>3925</v>
      </c>
      <c r="L151" s="1670">
        <f>SUM(L129,L130,L139,L149,L150)</f>
        <v>39632</v>
      </c>
    </row>
    <row r="152" spans="1:14" ht="12.75" customHeight="1" thickTop="1" x14ac:dyDescent="0.2">
      <c r="A152" s="2178" t="s">
        <v>1178</v>
      </c>
      <c r="B152" s="2179"/>
      <c r="C152" s="618"/>
      <c r="D152" s="618"/>
      <c r="E152" s="618"/>
      <c r="F152" s="618"/>
      <c r="G152" s="618"/>
      <c r="H152" s="618"/>
      <c r="I152" s="618"/>
      <c r="J152" s="616"/>
      <c r="K152" s="1684">
        <f>'Revenues 9-14'!D268-'Expenditures 15-22'!K151</f>
        <v>16197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8" t="s">
        <v>996</v>
      </c>
      <c r="B175" s="215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8" t="s">
        <v>996</v>
      </c>
      <c r="B211" s="215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8" t="s">
        <v>996</v>
      </c>
      <c r="B296" s="215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1" t="s">
        <v>996</v>
      </c>
      <c r="B343" s="2172"/>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8" t="s">
        <v>996</v>
      </c>
      <c r="B368" s="215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schemas.microsoft.com/office/infopath/2007/PartnerControls"/>
    <ds:schemaRef ds:uri="6ce3111e-7420-4802-b50a-75d4e9a0b980"/>
    <ds:schemaRef ds:uri="http://www.w3.org/XML/1998/namespace"/>
    <ds:schemaRef ds:uri="http://schemas.microsoft.com/sharepoint/v3"/>
    <ds:schemaRef ds:uri="http://purl.org/dc/elements/1.1/"/>
    <ds:schemaRef ds:uri="4d435f69-8686-490b-bd6d-b153bf22ab50"/>
    <ds:schemaRef ds:uri="d21dc803-237d-4c68-8692-8d731fd29118"/>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SEFA NOTES (2)</vt:lpstr>
      <vt:lpstr>SEFA NOTES (3)</vt:lpstr>
      <vt:lpstr>SF&amp;QC Sec-1</vt:lpstr>
      <vt:lpstr>SF&amp;QC Sec-2</vt:lpstr>
      <vt:lpstr>SF&amp;QC Sec-3</vt:lpstr>
      <vt:lpstr>SF&amp;QC Sec-3 (2)</vt:lpstr>
      <vt:lpstr>SSPAF</vt:lpstr>
      <vt:lpstr>' SEFA'!Print_Area</vt:lpstr>
      <vt:lpstr>' SEFA (2)'!Print_Area</vt:lpstr>
      <vt:lpstr>'SEFA NOTES'!Print_Area</vt:lpstr>
      <vt:lpstr>'SEFA NOTES (2)'!Print_Area</vt:lpstr>
      <vt:lpstr>'SEFA NOTES (3)'!Print_Area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2019-10-21T16:24:15Z</cp:lastPrinted>
  <dcterms:created xsi:type="dcterms:W3CDTF">2003-10-29T19:06:34Z</dcterms:created>
  <dcterms:modified xsi:type="dcterms:W3CDTF">2019-12-20T21:52:32Z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