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43927BE0-907C-4EE0-8F90-59C176B07B86}" xr6:coauthVersionLast="36" xr6:coauthVersionMax="36" xr10:uidLastSave="{00000000-0000-0000-0000-000000000000}"/>
  <bookViews>
    <workbookView xWindow="-2892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2)" sheetId="183" r:id="rId28"/>
    <sheet name=" SEFA" sheetId="179" r:id="rId29"/>
    <sheet name="SEFA NOTES (3)" sheetId="187" r:id="rId30"/>
    <sheet name="SEFA NOTES (2)" sheetId="186" r:id="rId31"/>
    <sheet name="SEFA NOTES (4)" sheetId="188" r:id="rId32"/>
    <sheet name="SEFA NOTES" sheetId="173" r:id="rId33"/>
    <sheet name="SF&amp;QC Sec-1" sheetId="174" r:id="rId34"/>
    <sheet name="SF&amp;QC Sec-2 (2)" sheetId="184" r:id="rId35"/>
    <sheet name="SF&amp;QC Sec-2" sheetId="175" r:id="rId36"/>
    <sheet name="SF&amp;QC Sec-3 (2)" sheetId="185" r:id="rId37"/>
    <sheet name="SF&amp;QC Sec-3" sheetId="176" r:id="rId38"/>
    <sheet name="SSPAF" sheetId="177" r:id="rId39"/>
  </sheets>
  <definedNames>
    <definedName name="_xlnm.Print_Area" localSheetId="28">' SEFA'!$B$1:$M$46</definedName>
    <definedName name="_xlnm.Print_Area" localSheetId="27">' SEFA (2)'!$B$1:$M$46</definedName>
    <definedName name="_xlnm.Print_Area" localSheetId="32">'SEFA NOTES'!$A$1:$F$52</definedName>
    <definedName name="_xlnm.Print_Area" localSheetId="30">'SEFA NOTES (2)'!$A$1:$F$52</definedName>
    <definedName name="_xlnm.Print_Area" localSheetId="29">'SEFA NOTES (3)'!$A$1:$F$52</definedName>
    <definedName name="_xlnm.Print_Area" localSheetId="31">'SEFA NOTES (4)'!$A$1:$F$52</definedName>
    <definedName name="_xlnm.Print_Area" localSheetId="26">'SEFA Reconcile'!$A$1:$E$49</definedName>
    <definedName name="_xlnm.Print_Area" localSheetId="33">'SF&amp;QC Sec-1'!$A$1:$J$63</definedName>
    <definedName name="_xlnm.Print_Area" localSheetId="37">'SF&amp;QC Sec-3'!$A$1:$K$48</definedName>
    <definedName name="_xlnm.Print_Area" localSheetId="36">'SF&amp;QC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17">#REF!</definedName>
    <definedName name="SCHADDRS" localSheetId="21">#REF!</definedName>
    <definedName name="SCHADDRS" localSheetId="4">#REF!</definedName>
    <definedName name="SCHADDRS" localSheetId="32">#REF!</definedName>
    <definedName name="SCHADDRS" localSheetId="30">#REF!</definedName>
    <definedName name="SCHADDRS" localSheetId="29">#REF!</definedName>
    <definedName name="SCHADDRS" localSheetId="31">#REF!</definedName>
    <definedName name="SCHADDRS" localSheetId="26">#REF!</definedName>
    <definedName name="SCHADDRS" localSheetId="33">#REF!</definedName>
    <definedName name="SCHADDRS" localSheetId="35">#REF!</definedName>
    <definedName name="SCHADDRS" localSheetId="34">#REF!</definedName>
    <definedName name="SCHADDRS" localSheetId="37">#REF!</definedName>
    <definedName name="SCHADDRS" localSheetId="36">#REF!</definedName>
    <definedName name="SCHADDRS" localSheetId="25">#REF!</definedName>
    <definedName name="SCHADDRS" localSheetId="24">#REF!</definedName>
    <definedName name="SCHADDRS" localSheetId="38">#REF!</definedName>
    <definedName name="SCHADDRS">#REF!</definedName>
    <definedName name="SCHCTY" localSheetId="28">#REF!</definedName>
    <definedName name="SCHCTY" localSheetId="27">#REF!</definedName>
    <definedName name="SCHCTY" localSheetId="17">#REF!</definedName>
    <definedName name="SCHCTY" localSheetId="21">#REF!</definedName>
    <definedName name="SCHCTY" localSheetId="4">#REF!</definedName>
    <definedName name="SCHCTY" localSheetId="32">#REF!</definedName>
    <definedName name="SCHCTY" localSheetId="30">#REF!</definedName>
    <definedName name="SCHCTY" localSheetId="29">#REF!</definedName>
    <definedName name="SCHCTY" localSheetId="31">#REF!</definedName>
    <definedName name="SCHCTY" localSheetId="26">#REF!</definedName>
    <definedName name="SCHCTY" localSheetId="33">#REF!</definedName>
    <definedName name="SCHCTY" localSheetId="35">#REF!</definedName>
    <definedName name="SCHCTY" localSheetId="34">#REF!</definedName>
    <definedName name="SCHCTY" localSheetId="37">#REF!</definedName>
    <definedName name="SCHCTY" localSheetId="36">#REF!</definedName>
    <definedName name="SCHCTY" localSheetId="25">#REF!</definedName>
    <definedName name="SCHCTY" localSheetId="24">#REF!</definedName>
    <definedName name="SCHCTY" localSheetId="38">#REF!</definedName>
    <definedName name="SCHCTY">#REF!</definedName>
    <definedName name="SCHNMBR" localSheetId="28">#REF!</definedName>
    <definedName name="SCHNMBR" localSheetId="27">#REF!</definedName>
    <definedName name="SCHNMBR" localSheetId="17">#REF!</definedName>
    <definedName name="SCHNMBR" localSheetId="21">#REF!</definedName>
    <definedName name="SCHNMBR" localSheetId="4">#REF!</definedName>
    <definedName name="SCHNMBR" localSheetId="32">#REF!</definedName>
    <definedName name="SCHNMBR" localSheetId="30">#REF!</definedName>
    <definedName name="SCHNMBR" localSheetId="29">#REF!</definedName>
    <definedName name="SCHNMBR" localSheetId="31">#REF!</definedName>
    <definedName name="SCHNMBR" localSheetId="26">#REF!</definedName>
    <definedName name="SCHNMBR" localSheetId="33">#REF!</definedName>
    <definedName name="SCHNMBR" localSheetId="35">#REF!</definedName>
    <definedName name="SCHNMBR" localSheetId="34">#REF!</definedName>
    <definedName name="SCHNMBR" localSheetId="37">#REF!</definedName>
    <definedName name="SCHNMBR" localSheetId="36">#REF!</definedName>
    <definedName name="SCHNMBR" localSheetId="25">#REF!</definedName>
    <definedName name="SCHNMBR" localSheetId="24">#REF!</definedName>
    <definedName name="SCHNMBR" localSheetId="38">#REF!</definedName>
    <definedName name="SCHNMBR">#REF!</definedName>
    <definedName name="SCHNME" localSheetId="28">#REF!</definedName>
    <definedName name="SCHNME" localSheetId="27">#REF!</definedName>
    <definedName name="SCHNME" localSheetId="17">#REF!</definedName>
    <definedName name="SCHNME" localSheetId="21">#REF!</definedName>
    <definedName name="SCHNME" localSheetId="4">#REF!</definedName>
    <definedName name="SCHNME" localSheetId="32">#REF!</definedName>
    <definedName name="SCHNME" localSheetId="30">#REF!</definedName>
    <definedName name="SCHNME" localSheetId="29">#REF!</definedName>
    <definedName name="SCHNME" localSheetId="31">#REF!</definedName>
    <definedName name="SCHNME" localSheetId="26">#REF!</definedName>
    <definedName name="SCHNME" localSheetId="33">#REF!</definedName>
    <definedName name="SCHNME" localSheetId="35">#REF!</definedName>
    <definedName name="SCHNME" localSheetId="34">#REF!</definedName>
    <definedName name="SCHNME" localSheetId="37">#REF!</definedName>
    <definedName name="SCHNME" localSheetId="36">#REF!</definedName>
    <definedName name="SCHNME" localSheetId="25">#REF!</definedName>
    <definedName name="SCHNME" localSheetId="24">#REF!</definedName>
    <definedName name="SCHNME" localSheetId="38">#REF!</definedName>
    <definedName name="SCHNME">#REF!</definedName>
    <definedName name="SUPT" localSheetId="28">#REF!</definedName>
    <definedName name="SUPT" localSheetId="27">#REF!</definedName>
    <definedName name="SUPT" localSheetId="17">#REF!</definedName>
    <definedName name="SUPT" localSheetId="21">#REF!</definedName>
    <definedName name="SUPT" localSheetId="4">#REF!</definedName>
    <definedName name="SUPT" localSheetId="32">#REF!</definedName>
    <definedName name="SUPT" localSheetId="30">#REF!</definedName>
    <definedName name="SUPT" localSheetId="29">#REF!</definedName>
    <definedName name="SUPT" localSheetId="31">#REF!</definedName>
    <definedName name="SUPT" localSheetId="26">#REF!</definedName>
    <definedName name="SUPT" localSheetId="33">#REF!</definedName>
    <definedName name="SUPT" localSheetId="35">#REF!</definedName>
    <definedName name="SUPT" localSheetId="34">#REF!</definedName>
    <definedName name="SUPT" localSheetId="37">#REF!</definedName>
    <definedName name="SUPT" localSheetId="36">#REF!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7" i="173" l="1"/>
  <c r="D26" i="188"/>
  <c r="D29" i="186"/>
  <c r="D22" i="173"/>
  <c r="E34" i="188"/>
  <c r="A4" i="188"/>
  <c r="E34" i="187"/>
  <c r="A4" i="187"/>
  <c r="E34" i="186"/>
  <c r="A4" i="186"/>
  <c r="I8" i="11"/>
  <c r="J31" i="8"/>
  <c r="B4" i="185" l="1"/>
  <c r="B4" i="184"/>
  <c r="E24" i="179"/>
  <c r="E23" i="179"/>
  <c r="I19" i="179"/>
  <c r="F19" i="179"/>
  <c r="J14" i="179"/>
  <c r="I14" i="179"/>
  <c r="H14" i="179"/>
  <c r="G14" i="179"/>
  <c r="F14" i="179"/>
  <c r="E14" i="179"/>
  <c r="F22" i="183"/>
  <c r="I24" i="183"/>
  <c r="G24" i="183"/>
  <c r="E24" i="183"/>
  <c r="J16" i="183"/>
  <c r="I16" i="183"/>
  <c r="H16" i="183"/>
  <c r="G16" i="183"/>
  <c r="F16" i="183"/>
  <c r="E16" i="183"/>
  <c r="L23" i="183"/>
  <c r="L22" i="183"/>
  <c r="L21" i="183"/>
  <c r="L20" i="183"/>
  <c r="L15" i="183"/>
  <c r="L14" i="183"/>
  <c r="L13" i="183"/>
  <c r="L12" i="183"/>
  <c r="B4" i="183"/>
  <c r="F24" i="183" l="1"/>
  <c r="L24" i="183"/>
  <c r="L16" i="183"/>
  <c r="H98" i="29"/>
  <c r="C31" i="3"/>
  <c r="C27" i="3"/>
  <c r="C4" i="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19" i="179" l="1"/>
  <c r="L17" i="179"/>
  <c r="L14" i="179"/>
  <c r="L12"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8" l="1"/>
  <c r="A1" i="186"/>
  <c r="A1" i="187"/>
  <c r="B1" i="185"/>
  <c r="B1" i="184"/>
  <c r="B1" i="183"/>
  <c r="B2" i="179"/>
  <c r="A2" i="188"/>
  <c r="A2" i="187"/>
  <c r="A2" i="186"/>
  <c r="B2" i="185"/>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B2977" i="106" s="1"/>
  <c r="D2977" i="106" s="1"/>
  <c r="K83" i="29"/>
  <c r="B2978" i="106" s="1"/>
  <c r="D2978" i="106" s="1"/>
  <c r="K93" i="29"/>
  <c r="B6997" i="106" s="1"/>
  <c r="D6997" i="106" s="1"/>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7" i="108"/>
  <c r="G27" i="108"/>
  <c r="F31" i="108"/>
  <c r="F36" i="108"/>
  <c r="G28" i="108"/>
  <c r="D31" i="108"/>
  <c r="D36" i="108"/>
  <c r="E31" i="108"/>
  <c r="G31" i="108"/>
  <c r="E33"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F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J22" i="37"/>
  <c r="D24" i="37"/>
  <c r="B4270" i="106" s="1"/>
  <c r="D4270" i="106" s="1"/>
  <c r="B5752" i="106"/>
  <c r="D5752" i="106" s="1"/>
  <c r="L13" i="11" l="1"/>
  <c r="B2060" i="106" s="1"/>
  <c r="D2060" i="106" s="1"/>
  <c r="G30" i="108"/>
  <c r="F28" i="108"/>
  <c r="D27" i="108"/>
  <c r="F19" i="7"/>
  <c r="B1807" i="106" s="1"/>
  <c r="D1807" i="106" s="1"/>
  <c r="J77" i="4"/>
  <c r="B6262" i="106" s="1"/>
  <c r="D6262" i="106" s="1"/>
  <c r="F70" i="34"/>
  <c r="L367" i="29"/>
  <c r="C129" i="29"/>
  <c r="L5" i="11"/>
  <c r="B2056" i="106" s="1"/>
  <c r="D2056" i="106" s="1"/>
  <c r="J352" i="29"/>
  <c r="J367" i="29" s="1"/>
  <c r="B7245" i="106" s="1"/>
  <c r="D7245" i="106" s="1"/>
  <c r="D6103" i="106"/>
  <c r="H365" i="29"/>
  <c r="B7242" i="106" s="1"/>
  <c r="D7242" i="106" s="1"/>
  <c r="B1126" i="106"/>
  <c r="D1126" i="106" s="1"/>
  <c r="F37" i="34"/>
  <c r="G29" i="108"/>
  <c r="G15" i="145"/>
  <c r="F71" i="34"/>
  <c r="F56" i="34"/>
  <c r="F50" i="34"/>
  <c r="G39" i="108"/>
  <c r="E34" i="108"/>
  <c r="G26" i="108"/>
  <c r="D68" i="36"/>
  <c r="I210" i="29"/>
  <c r="B7071" i="106" s="1"/>
  <c r="D7071" i="106" s="1"/>
  <c r="B7047" i="106"/>
  <c r="D7047" i="106" s="1"/>
  <c r="I129" i="29"/>
  <c r="B7037" i="106" s="1"/>
  <c r="D7037" i="106" s="1"/>
  <c r="H112" i="29"/>
  <c r="B7018" i="106" s="1"/>
  <c r="D7018" i="106" s="1"/>
  <c r="K184" i="29"/>
  <c r="F13" i="4" s="1"/>
  <c r="B2596" i="106" s="1"/>
  <c r="D2596" i="106" s="1"/>
  <c r="G210" i="29"/>
  <c r="B1274" i="106"/>
  <c r="D1274" i="106" s="1"/>
  <c r="L22" i="37"/>
  <c r="E35" i="108"/>
  <c r="H342" i="29"/>
  <c r="J129" i="29"/>
  <c r="B7038" i="106" s="1"/>
  <c r="D7038" i="106" s="1"/>
  <c r="D22" i="37"/>
  <c r="F46" i="34"/>
  <c r="F36" i="34"/>
  <c r="E26" i="108"/>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L16" i="11" l="1"/>
  <c r="B2061" i="106" s="1"/>
  <c r="D2061" i="106" s="1"/>
  <c r="B2031" i="106"/>
  <c r="D2031" i="106" s="1"/>
  <c r="F41" i="108"/>
  <c r="G43" i="108" s="1"/>
  <c r="B5527" i="106"/>
  <c r="D5527" i="106" s="1"/>
  <c r="D7256" i="106"/>
  <c r="B1328" i="106"/>
  <c r="D1328" i="106" s="1"/>
  <c r="J151" i="29"/>
  <c r="B7052" i="106" s="1"/>
  <c r="D7052" i="106" s="1"/>
  <c r="D7250" i="106"/>
  <c r="L114" i="29"/>
  <c r="F66" i="34"/>
  <c r="C114" i="29"/>
  <c r="B757" i="106" s="1"/>
  <c r="D757" i="106" s="1"/>
  <c r="D7254" i="106"/>
  <c r="D7251" i="106"/>
  <c r="K365" i="29"/>
  <c r="D44" i="36"/>
  <c r="B1365" i="106"/>
  <c r="D1365" i="106" s="1"/>
  <c r="F65" i="34"/>
  <c r="I151" i="29"/>
  <c r="F59" i="34" s="1"/>
  <c r="K342" i="29"/>
  <c r="F13" i="34" s="1"/>
  <c r="G6" i="4"/>
  <c r="B2604" i="106" s="1"/>
  <c r="D2604"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K17"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<sst xmlns="http://schemas.openxmlformats.org/spreadsheetml/2006/main" count="5421" uniqueCount="2215">
  <si>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</si>
  <si>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</si>
  <si>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</si>
  <si>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</si>
  <si>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</si>
  <si>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</si>
  <si>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</si>
  <si>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</si>
  <si>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</si>
  <si>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</si>
  <si>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</si>
  <si>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</si>
  <si>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</si>
  <si>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</si>
  <si>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</si>
  <si>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</si>
  <si>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</si>
  <si>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</si>
  <si>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</si>
  <si>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</si>
  <si>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</si>
  <si>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</si>
  <si>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</si>
  <si>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</si>
  <si>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</si>
  <si>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</si>
  <si>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</si>
  <si>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</si>
  <si>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</si>
  <si>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</si>
  <si>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</si>
  <si>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</si>
  <si>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</si>
  <si>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</si>
  <si>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</si>
  <si>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</si>
  <si>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</si>
  <si>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</si>
  <si>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</si>
  <si>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</si>
  <si>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</si>
  <si>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</si>
  <si>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</si>
  <si>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</si>
  <si>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</si>
  <si>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</si>
  <si>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</si>
  <si>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</si>
  <si>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</si>
  <si>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</si>
  <si>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</si>
  <si>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</si>
  <si>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</si>
  <si>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</si>
  <si>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</si>
  <si>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</si>
  <si>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</si>
  <si>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</si>
  <si>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</si>
  <si>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</si>
  <si>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</si>
  <si>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</si>
  <si>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</si>
  <si>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</si>
  <si>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</si>
  <si>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</si>
  <si>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</si>
  <si>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</si>
  <si>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</si>
  <si>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</si>
  <si>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</si>
  <si>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</si>
  <si>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</si>
  <si>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</si>
  <si>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</si>
  <si>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</si>
  <si>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</si>
  <si>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</si>
  <si>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</si>
  <si>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</si>
  <si>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</si>
  <si>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</si>
  <si>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</si>
  <si>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</si>
  <si>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</si>
  <si>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</si>
  <si>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</si>
  <si>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</si>
  <si>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</si>
  <si>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</si>
  <si>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</si>
  <si>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</si>
  <si>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</si>
  <si>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</si>
  <si>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</si>
  <si>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</si>
  <si>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</si>
  <si>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</si>
  <si>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</si>
  <si>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</si>
  <si>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</si>
  <si>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</si>
  <si>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</si>
  <si>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</si>
  <si>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</si>
  <si>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</si>
  <si>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</si>
  <si>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</si>
  <si>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</si>
  <si>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</si>
  <si>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</si>
  <si>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</si>
  <si>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</si>
  <si>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</si>
  <si>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</si>
  <si>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</si>
  <si>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</si>
  <si>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</si>
  <si>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</si>
  <si>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</si>
  <si>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</si>
  <si>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</si>
  <si>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</si>
  <si>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</si>
  <si>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</si>
  <si>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</si>
  <si>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</si>
  <si>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</si>
  <si>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</si>
  <si>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</si>
  <si>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</si>
  <si>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</si>
  <si>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</si>
  <si>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</si>
  <si>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</si>
  <si>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</si>
  <si>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</si>
  <si>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</si>
  <si>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</si>
  <si>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</si>
  <si>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</si>
  <si>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</si>
  <si>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</si>
  <si>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</si>
  <si>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</si>
  <si>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</si>
  <si>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</si>
  <si>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</si>
  <si>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</si>
  <si>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</si>
  <si>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</si>
  <si>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</si>
  <si>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</si>
  <si>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</si>
  <si>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</si>
  <si>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</si>
  <si>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</si>
  <si>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</si>
  <si>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</si>
  <si>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</si>
  <si>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</si>
  <si>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</si>
  <si>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</si>
  <si>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</si>
  <si>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</si>
  <si>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</si>
  <si>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</si>
  <si>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</si>
  <si>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</si>
  <si>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</si>
  <si>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</si>
  <si>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</si>
  <si>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</si>
  <si>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</si>
  <si>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</si>
  <si>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</si>
  <si>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</si>
  <si>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</si>
  <si>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</si>
  <si>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</si>
  <si>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</si>
  <si>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</si>
  <si>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</si>
  <si>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</si>
  <si>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</si>
  <si>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</si>
  <si>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</si>
  <si>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</si>
  <si>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</si>
  <si>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</si>
  <si>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</si>
  <si>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</si>
  <si>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</si>
  <si>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</si>
  <si>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</si>
  <si>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</si>
  <si>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</si>
  <si>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</si>
  <si>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</si>
  <si>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</si>
  <si>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</si>
  <si>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</si>
  <si>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</si>
  <si>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</si>
  <si>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</si>
  <si>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</si>
  <si>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</si>
  <si>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</si>
  <si>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</si>
  <si>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</si>
  <si>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</si>
  <si>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</si>
  <si>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</si>
  <si>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</si>
  <si>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</si>
  <si>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</si>
  <si>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</si>
  <si>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</si>
  <si>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</si>
  <si>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</si>
  <si>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</si>
  <si>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</si>
  <si>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</si>
  <si>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</si>
  <si>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</si>
  <si>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</si>
  <si>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</si>
  <si>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</si>
  <si>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</si>
  <si>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</si>
  <si>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</si>
  <si>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</si>
  <si>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</si>
  <si>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</si>
  <si>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</si>
  <si>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</si>
  <si>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</si>
  <si>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</si>
  <si>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</si>
  <si>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</si>
  <si>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</si>
  <si>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</si>
  <si>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</si>
  <si>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</si>
  <si>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</si>
  <si>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</si>
  <si>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</si>
  <si>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</si>
  <si>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</si>
  <si>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</si>
  <si>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</si>
  <si>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</si>
  <si>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</si>
  <si>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</si>
  <si>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</si>
  <si>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</si>
  <si>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</si>
  <si>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</si>
  <si>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</si>
  <si>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</si>
  <si>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</si>
  <si>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</si>
  <si>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</si>
  <si>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</si>
  <si>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</si>
  <si>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</si>
  <si>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</si>
  <si>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</si>
  <si>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</si>
  <si>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</si>
  <si>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</si>
  <si>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</si>
  <si>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</si>
  <si>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</si>
  <si>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</si>
  <si>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</si>
  <si>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</si>
  <si>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</si>
  <si>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</si>
  <si>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</si>
  <si>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</si>
  <si>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</si>
  <si>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</si>
  <si>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</si>
  <si>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</si>
  <si>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</si>
  <si>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</si>
  <si>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</si>
  <si>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</si>
  <si>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</si>
  <si>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</si>
  <si>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</si>
  <si>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</si>
  <si>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</si>
  <si>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</si>
  <si>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</si>
  <si>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</si>
  <si>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</si>
  <si>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</si>
  <si>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</si>
  <si>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</si>
  <si>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</si>
  <si>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</si>
  <si>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</si>
  <si>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</si>
  <si>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</si>
  <si>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</si>
  <si>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</si>
  <si>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</si>
  <si>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</si>
  <si>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</si>
  <si>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</si>
  <si>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</si>
  <si>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</si>
  <si>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</si>
  <si>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</si>
  <si>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</si>
  <si>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</si>
  <si>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</si>
  <si>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</si>
  <si>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</si>
  <si>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</si>
  <si>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</si>
  <si>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</si>
  <si>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</si>
  <si>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</si>
  <si>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</si>
  <si>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</si>
  <si>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</si>
  <si>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</si>
  <si>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</si>
  <si>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</si>
  <si>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</si>
  <si>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</si>
  <si>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</si>
  <si>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</si>
  <si>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</si>
  <si>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</si>
  <si>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</si>
  <si>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</si>
  <si>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</si>
  <si>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</si>
  <si>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</si>
  <si>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</si>
  <si>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</si>
  <si>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</si>
  <si>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</si>
  <si>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</si>
  <si>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</si>
  <si>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</si>
  <si>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</si>
  <si>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</si>
  <si>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</si>
  <si>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</si>
  <si>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</si>
  <si>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</si>
  <si>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</si>
  <si>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</si>
  <si>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</si>
  <si>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</si>
  <si>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</si>
  <si>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</si>
  <si>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</si>
  <si>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</si>
  <si>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</si>
  <si>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</si>
  <si>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</si>
  <si>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</si>
  <si>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</si>
  <si>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</si>
  <si>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</si>
  <si>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</si>
  <si>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</si>
  <si>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</si>
  <si>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</si>
  <si>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</si>
  <si>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</si>
  <si>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</si>
  <si>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</si>
  <si>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</si>
  <si>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</si>
  <si>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</si>
  <si>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</si>
  <si>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</si>
  <si>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</si>
  <si>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</si>
  <si>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</si>
  <si>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</si>
  <si>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</si>
  <si>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</si>
  <si>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</si>
  <si>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</si>
  <si>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</si>
  <si>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</si>
  <si>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</si>
  <si>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</si>
  <si>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</si>
  <si>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</si>
  <si>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</si>
  <si>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</si>
  <si>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</si>
  <si>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</si>
  <si>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</si>
  <si>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</si>
  <si>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</si>
  <si>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</si>
  <si>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</si>
  <si>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</si>
  <si>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</si>
  <si>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</si>
  <si>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</si>
  <si>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</si>
  <si>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</si>
  <si>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</si>
  <si>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</si>
  <si>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</si>
  <si>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</si>
  <si>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</si>
  <si>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</si>
  <si>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</si>
  <si>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</si>
  <si>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</si>
  <si>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</si>
  <si>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</si>
  <si>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</si>
  <si>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</si>
  <si>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</si>
  <si>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</si>
  <si>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</si>
  <si>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</si>
  <si>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</si>
  <si>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</si>
  <si>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</si>
  <si>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</si>
  <si>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</si>
  <si>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</si>
  <si>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</si>
  <si>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</si>
  <si>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</si>
  <si>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</si>
  <si>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</si>
  <si>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</si>
  <si>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</si>
  <si>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</si>
  <si>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</si>
  <si>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</si>
  <si>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</si>
  <si>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</si>
  <si>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</si>
  <si>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</si>
  <si>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</si>
  <si>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</si>
  <si>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</si>
  <si>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</si>
  <si>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</si>
  <si>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</si>
  <si>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</si>
  <si>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</si>
  <si>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</si>
  <si>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</si>
  <si>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</si>
  <si>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</si>
  <si>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</si>
  <si>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</si>
  <si>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</si>
  <si>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</si>
  <si>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</si>
  <si>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</si>
  <si>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</si>
  <si>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</si>
  <si>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</si>
  <si>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</si>
  <si>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</si>
  <si>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</si>
  <si>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</si>
  <si>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</si>
  <si>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</si>
  <si>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</si>
  <si>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</si>
  <si>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</si>
  <si>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</si>
  <si>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</si>
  <si>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</si>
  <si>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</si>
  <si>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</si>
  <si>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</si>
  <si>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</si>
  <si>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</si>
  <si>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</si>
  <si>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</si>
  <si>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</si>
  <si>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</si>
  <si>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</si>
  <si>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</si>
  <si>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</si>
  <si>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</si>
  <si>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</si>
  <si>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</si>
  <si>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</si>
  <si>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</si>
  <si>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</si>
  <si>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</si>
  <si>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</si>
  <si>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</si>
  <si>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</si>
  <si>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</si>
  <si>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</si>
  <si>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</si>
  <si>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</si>
  <si>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</si>
  <si>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</si>
  <si>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</si>
  <si>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</si>
  <si>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</si>
  <si>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</si>
  <si>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</si>
  <si>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</si>
  <si>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</si>
  <si>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</si>
  <si>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</si>
  <si>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</si>
  <si>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</si>
  <si>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</si>
  <si>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</si>
  <si>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</si>
  <si>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</si>
  <si>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</si>
  <si>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</si>
  <si>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</si>
  <si>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</si>
  <si>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</si>
  <si>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</si>
  <si>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</si>
  <si>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</si>
  <si>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</si>
  <si>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</si>
  <si>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</si>
  <si>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</si>
  <si>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</si>
  <si>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</si>
  <si>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</si>
  <si>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</si>
  <si>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</si>
  <si>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</si>
  <si>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</si>
  <si>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</si>
  <si>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</si>
  <si>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</si>
  <si>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</si>
  <si>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</si>
  <si>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</si>
  <si>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</si>
  <si>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</si>
  <si>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</si>
  <si>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</si>
  <si>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</si>
  <si>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</si>
  <si>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</si>
  <si>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</si>
  <si>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</si>
  <si>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</si>
  <si>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</si>
  <si>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</si>
  <si>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</si>
  <si>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</si>
  <si>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</si>
  <si>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</si>
  <si>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</si>
  <si>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</si>
  <si>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</si>
  <si>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</si>
  <si>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</si>
  <si>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</si>
  <si>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</si>
  <si>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</si>
  <si>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</si>
  <si>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</si>
  <si>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</si>
  <si>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</si>
  <si>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</si>
  <si>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</si>
  <si>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</si>
  <si>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</si>
  <si>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</si>
  <si>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</si>
  <si>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</si>
  <si>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</si>
  <si>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</si>
  <si>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</si>
  <si>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</si>
  <si>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</si>
  <si>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</si>
  <si>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</si>
  <si>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</si>
  <si>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</si>
  <si>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</si>
  <si>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</si>
  <si>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</si>
  <si>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</si>
  <si>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</si>
  <si>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</si>
  <si>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</si>
  <si>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</si>
  <si>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</si>
  <si>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</si>
  <si>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</si>
  <si>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</si>
  <si>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</si>
  <si>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</si>
  <si>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</si>
  <si>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</si>
  <si>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</si>
  <si>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</si>
  <si>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</si>
  <si>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</si>
  <si>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</si>
  <si>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</si>
  <si>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</si>
  <si>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</si>
  <si>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</si>
  <si>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</si>
  <si>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</si>
  <si>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</si>
  <si>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</si>
  <si>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</si>
  <si>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</si>
  <si>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</si>
  <si>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</si>
  <si>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</si>
  <si>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</si>
  <si>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</si>
  <si>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</si>
  <si>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</si>
  <si>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</si>
  <si>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</si>
  <si>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</si>
  <si>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</si>
  <si>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</si>
  <si>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</si>
  <si>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</si>
  <si>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</si>
  <si>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</si>
  <si>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</si>
  <si>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</si>
  <si>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</si>
  <si>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</si>
  <si>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</si>
  <si>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</si>
  <si>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</si>
  <si>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</si>
  <si>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</si>
  <si>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</si>
  <si>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</si>
  <si>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</si>
  <si>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</si>
  <si>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</si>
  <si>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</si>
  <si>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</si>
  <si>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</si>
  <si>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</si>
  <si>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</si>
  <si>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</si>
  <si>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</si>
  <si>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</si>
  <si>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</si>
  <si>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</si>
  <si>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</si>
  <si>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</si>
  <si>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</si>
  <si>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</si>
  <si>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</si>
  <si>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</si>
  <si>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</si>
  <si>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</si>
  <si>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</si>
  <si>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</si>
  <si>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</si>
  <si>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</si>
  <si>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</si>
  <si>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</si>
  <si>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</si>
  <si>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</si>
  <si>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</si>
  <si>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</si>
  <si>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</si>
  <si>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</si>
  <si>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</si>
  <si>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</si>
  <si>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</si>
  <si>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</si>
  <si>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</si>
  <si>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</si>
  <si>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</si>
  <si>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</si>
  <si>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</si>
  <si>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</si>
  <si>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</si>
  <si>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</si>
  <si>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</si>
  <si>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</si>
  <si>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</si>
  <si>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</si>
  <si>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</si>
  <si>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</si>
  <si>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</si>
  <si>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</si>
  <si>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</si>
  <si>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</si>
  <si>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</si>
  <si>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</si>
  <si>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</si>
  <si>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</si>
  <si>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</si>
  <si>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</si>
  <si>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</si>
  <si>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</si>
  <si>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</si>
  <si>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</si>
  <si>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</si>
  <si>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</si>
  <si>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</si>
  <si>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</si>
  <si>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</si>
  <si>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</si>
  <si>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</si>
  <si>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</si>
  <si>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</si>
  <si>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</si>
  <si>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</si>
  <si>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</si>
  <si>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</si>
  <si>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</si>
  <si>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</si>
  <si>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</si>
  <si>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</si>
  <si>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</si>
  <si>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</si>
  <si>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</si>
  <si>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</si>
  <si>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</si>
  <si>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</si>
  <si>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</si>
  <si>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</si>
  <si>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</si>
  <si>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</si>
  <si>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</si>
  <si>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</si>
  <si>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</si>
  <si>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</si>
  <si>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</si>
  <si>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</si>
  <si>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</si>
  <si>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</si>
  <si>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</si>
  <si>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</si>
  <si>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</si>
  <si>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</si>
  <si>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</si>
  <si>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</si>
  <si>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</si>
  <si>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</si>
  <si>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</si>
  <si>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</si>
  <si>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</si>
  <si>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</si>
  <si>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</si>
  <si>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</si>
  <si>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</si>
  <si>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</si>
  <si>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</si>
  <si>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</si>
  <si>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</si>
  <si>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</si>
  <si>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</si>
  <si>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</si>
  <si>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</si>
  <si>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</si>
  <si>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</si>
  <si>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</si>
  <si>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</si>
  <si>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</si>
  <si>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</si>
  <si>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</si>
  <si>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</si>
  <si>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</si>
  <si>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</si>
  <si>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</si>
  <si>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</si>
  <si>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</si>
  <si>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</si>
  <si>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</si>
  <si>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</si>
  <si>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</si>
  <si>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</si>
  <si>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</si>
  <si>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</si>
  <si>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</si>
  <si>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</si>
  <si>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</si>
  <si>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</si>
  <si>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</si>
  <si>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</si>
  <si>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</si>
  <si>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</si>
  <si>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</si>
  <si>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</si>
  <si>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</si>
  <si>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</si>
  <si>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</si>
  <si>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</si>
  <si>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</si>
  <si>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</si>
  <si>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</si>
  <si>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</si>
  <si>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</si>
  <si>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</si>
  <si>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</si>
  <si>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</si>
  <si>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</si>
  <si>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</si>
  <si>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</si>
  <si>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</si>
  <si>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</si>
  <si>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</si>
  <si>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</si>
  <si>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</si>
  <si>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</si>
  <si>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</si>
  <si>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</si>
  <si>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</si>
  <si>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</si>
  <si>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</si>
  <si>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</si>
  <si>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</si>
  <si>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</si>
  <si>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</si>
  <si>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</si>
  <si>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</si>
  <si>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</si>
  <si>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</si>
  <si>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</si>
  <si>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</si>
  <si>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</si>
  <si>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</si>
  <si>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</si>
  <si>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</si>
  <si>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</si>
  <si>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</si>
  <si>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</si>
  <si>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</si>
  <si>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</si>
  <si>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</si>
  <si>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</si>
  <si>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</si>
  <si>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</si>
  <si>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</si>
  <si>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</si>
  <si>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</si>
  <si>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</si>
  <si>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</si>
  <si>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</si>
  <si>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</si>
  <si>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</si>
  <si>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</si>
  <si>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</si>
  <si>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</si>
  <si>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</si>
  <si>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</si>
  <si>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</si>
  <si>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</si>
  <si>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</si>
  <si>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</si>
  <si>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</si>
  <si>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</si>
  <si>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</si>
  <si>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</si>
  <si>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</si>
  <si>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</si>
  <si>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</si>
  <si>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</si>
  <si>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</si>
  <si>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</si>
  <si>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</si>
  <si>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</si>
  <si>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</si>
  <si>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</si>
  <si>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</si>
  <si>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</si>
  <si>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</si>
  <si>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</si>
  <si>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</si>
  <si>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</si>
  <si>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</si>
  <si>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</si>
  <si>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</si>
  <si>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</si>
  <si>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</si>
  <si>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</si>
  <si>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</si>
  <si>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</si>
  <si>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</si>
  <si>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</si>
  <si>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</si>
  <si>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</si>
  <si>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</si>
  <si>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</si>
  <si>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</si>
  <si>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</si>
  <si>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</si>
  <si>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</si>
  <si>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</si>
  <si>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</si>
  <si>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</si>
  <si>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</si>
  <si>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</si>
  <si>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</si>
  <si>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</si>
  <si>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</si>
  <si>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</si>
  <si>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</si>
  <si>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</si>
  <si>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</si>
  <si>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</si>
  <si>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</si>
  <si>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</si>
  <si>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</si>
  <si>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</si>
  <si>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</si>
  <si>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</si>
  <si>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</si>
  <si>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</si>
  <si>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</si>
  <si>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</si>
  <si>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</si>
  <si>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</si>
  <si>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</si>
  <si>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</si>
  <si>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</si>
  <si>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</si>
  <si>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</si>
  <si>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</si>
  <si>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</si>
  <si>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</si>
  <si>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</si>
  <si>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</si>
  <si>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</si>
  <si>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</si>
  <si>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</si>
  <si>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</si>
  <si>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</si>
  <si>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</si>
  <si>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</si>
  <si>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</si>
  <si>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</si>
  <si>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</si>
  <si>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</si>
  <si>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</si>
  <si>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</si>
  <si>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</si>
  <si>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</si>
  <si>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</si>
  <si>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</si>
  <si>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</si>
  <si>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</si>
  <si>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</si>
  <si>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</si>
  <si>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</si>
  <si>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</si>
  <si>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</si>
  <si>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</si>
  <si>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</si>
  <si>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</si>
  <si>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</si>
  <si>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</si>
  <si>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</si>
  <si>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</si>
  <si>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</si>
  <si>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</si>
  <si>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</si>
  <si>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</si>
  <si>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</si>
  <si>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</si>
  <si>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</si>
  <si>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</si>
  <si>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</si>
  <si>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</si>
  <si>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</si>
  <si>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</si>
  <si>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</si>
  <si>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</si>
  <si>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</si>
  <si>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</si>
  <si>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</si>
  <si>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</si>
  <si>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</si>
  <si>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</si>
  <si>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</si>
  <si>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</si>
  <si>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</si>
  <si>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</si>
  <si>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</si>
  <si>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</si>
  <si>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</si>
  <si>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</si>
  <si>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</si>
  <si>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</si>
  <si>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</si>
  <si>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</si>
  <si>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</si>
  <si>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</si>
  <si>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</si>
  <si>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</si>
  <si>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</si>
  <si>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</si>
  <si>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</si>
  <si>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</si>
  <si>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</si>
  <si>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</si>
  <si>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</si>
  <si>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</si>
  <si>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</si>
  <si>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</si>
  <si>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</si>
  <si>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</si>
  <si>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</si>
  <si>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</si>
  <si>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</si>
  <si>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</si>
  <si>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</si>
  <si>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</si>
  <si>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</si>
  <si>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</si>
  <si>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</si>
  <si>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</si>
  <si>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</si>
  <si>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</si>
  <si>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</si>
  <si>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</si>
  <si>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</si>
  <si>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</si>
  <si>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</si>
  <si>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</si>
  <si>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</si>
  <si>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</si>
  <si>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</si>
  <si>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</si>
  <si>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</si>
  <si>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</si>
  <si>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</si>
  <si>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</si>
  <si>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</si>
  <si>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</si>
  <si>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</si>
  <si>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</si>
  <si>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</si>
  <si>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</si>
  <si>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</si>
  <si>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</si>
  <si>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</si>
  <si>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</si>
  <si>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</si>
  <si>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</si>
  <si>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</si>
  <si>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</si>
  <si>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</si>
  <si>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</si>
  <si>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</si>
  <si>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</si>
  <si>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</si>
  <si>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</si>
  <si>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</si>
  <si>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</si>
  <si>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</si>
  <si>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</si>
  <si>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</si>
  <si>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</si>
  <si>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</si>
  <si>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</si>
  <si>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</si>
  <si>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</si>
  <si>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</si>
  <si>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</si>
  <si>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</si>
  <si>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</si>
  <si>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</si>
  <si>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</si>
  <si>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</si>
  <si>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</si>
  <si>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</si>
  <si>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</si>
  <si>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</si>
  <si>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</si>
  <si>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</si>
  <si>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</si>
  <si>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</si>
  <si>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</si>
  <si>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</si>
  <si>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</si>
  <si>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</si>
  <si>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</si>
  <si>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</si>
  <si>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</si>
  <si>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</si>
  <si>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</si>
  <si>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</si>
  <si>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</si>
  <si>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</si>
  <si>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</si>
  <si>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</si>
  <si>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</si>
  <si>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</si>
  <si>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</si>
  <si>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</si>
  <si>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</si>
  <si>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</si>
  <si>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</si>
  <si>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</si>
  <si>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</si>
  <si>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</si>
  <si>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</si>
  <si>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</si>
  <si>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</si>
  <si>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</si>
  <si>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</si>
  <si>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</si>
  <si>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</si>
  <si>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</si>
  <si>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</si>
  <si>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</si>
  <si>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</si>
  <si>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</si>
  <si>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</si>
  <si>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</si>
  <si>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</si>
  <si>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</si>
  <si>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</si>
  <si>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</si>
  <si>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</si>
  <si>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</si>
  <si>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</si>
  <si>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</si>
  <si>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</si>
  <si>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</si>
  <si>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</si>
  <si>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</si>
  <si>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</si>
  <si>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</si>
  <si>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</si>
  <si>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</si>
  <si>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</si>
  <si>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</si>
  <si>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</si>
  <si>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</si>
  <si>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</si>
  <si>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</si>
  <si>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</si>
  <si>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</si>
  <si>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</si>
  <si>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</si>
  <si>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</si>
  <si>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</si>
  <si>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</si>
  <si>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</si>
  <si>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</si>
  <si>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</si>
  <si>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</si>
  <si>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</si>
  <si>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</si>
  <si>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</si>
  <si>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</si>
  <si>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</si>
  <si>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</si>
  <si>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</si>
  <si>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</si>
  <si>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</si>
  <si>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</si>
  <si>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</si>
  <si>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</si>
  <si>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</si>
  <si>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</si>
  <si>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</si>
  <si>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</si>
  <si>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</si>
  <si>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</si>
  <si>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</si>
  <si>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</si>
  <si>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</si>
  <si>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</si>
  <si>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</si>
  <si>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</si>
  <si>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</si>
  <si>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</si>
  <si>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</si>
  <si>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</si>
  <si>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</si>
  <si>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</si>
  <si>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</si>
  <si>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</si>
  <si>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</si>
  <si>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</si>
  <si>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</si>
  <si>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</si>
  <si>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</si>
  <si>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</si>
  <si>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</si>
  <si>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</si>
  <si>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</si>
  <si>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</si>
  <si>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</si>
  <si>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</si>
  <si>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</si>
  <si>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</si>
  <si>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</si>
  <si>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</si>
  <si>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</si>
  <si>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</si>
  <si>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</si>
  <si>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</si>
  <si>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</si>
  <si>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</si>
  <si>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</si>
  <si>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</si>
  <si>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</si>
  <si>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</si>
  <si>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</si>
  <si>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</si>
  <si>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</si>
  <si>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</si>
  <si>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</si>
  <si>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</si>
  <si>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</si>
  <si>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</si>
  <si>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</si>
  <si>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</si>
  <si>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</si>
  <si>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</si>
  <si>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</si>
  <si>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</si>
  <si>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</si>
  <si>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</si>
  <si>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</si>
  <si>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</si>
  <si>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</si>
  <si>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</si>
  <si>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</si>
  <si>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</si>
  <si>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</si>
  <si>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</si>
  <si>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</si>
  <si>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</si>
  <si>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</si>
  <si>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</si>
  <si>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</si>
  <si>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</si>
  <si>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</si>
  <si>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</si>
  <si>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</si>
  <si>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</si>
  <si>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</si>
  <si>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</si>
  <si>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</si>
  <si>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</si>
  <si>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</si>
  <si>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</si>
  <si>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</si>
  <si>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</si>
  <si>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</si>
  <si>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</si>
  <si>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</si>
  <si>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</si>
  <si>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</si>
  <si>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</si>
  <si>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</si>
  <si>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</si>
  <si>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</si>
  <si>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</si>
  <si>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</si>
  <si>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</si>
  <si>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</si>
  <si>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</si>
  <si>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</si>
  <si>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</si>
  <si>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</si>
  <si>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</si>
  <si>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</si>
  <si>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</si>
  <si>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</si>
  <si>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</si>
  <si>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</si>
  <si>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</si>
  <si>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</si>
  <si>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</si>
  <si>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</si>
  <si>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</si>
  <si>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</si>
  <si>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</si>
  <si>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</si>
  <si>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</si>
  <si>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</si>
  <si>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</si>
  <si>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</si>
  <si>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</si>
  <si>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</si>
  <si>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</si>
  <si>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</si>
  <si>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</si>
  <si>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</si>
  <si>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</si>
  <si>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</si>
  <si>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</si>
  <si>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</si>
  <si>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</si>
  <si>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</si>
  <si>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</si>
  <si>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</si>
  <si>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</si>
  <si>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</si>
  <si>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</si>
  <si>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</si>
  <si>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</si>
  <si>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</si>
  <si>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</si>
  <si>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</si>
  <si>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</si>
  <si>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</si>
  <si>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</si>
  <si>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</si>
  <si>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</si>
  <si>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</si>
  <si>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</si>
  <si>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</si>
  <si>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</si>
  <si>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</si>
  <si>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</si>
  <si>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</si>
  <si>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</si>
  <si>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</si>
  <si>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</si>
  <si>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</si>
  <si>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</si>
  <si>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</si>
  <si>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</si>
  <si>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</si>
  <si>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</si>
  <si>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</si>
  <si>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</si>
  <si>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</si>
  <si>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</si>
  <si>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</si>
  <si>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</si>
  <si>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</si>
  <si>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</si>
  <si>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</si>
  <si>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</si>
  <si>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</si>
  <si>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</si>
  <si>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</si>
  <si>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</si>
  <si>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</si>
  <si>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</si>
  <si>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</si>
  <si>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</si>
  <si>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</si>
  <si>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</si>
  <si>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</si>
  <si>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</si>
  <si>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</si>
  <si>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</si>
  <si>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</si>
  <si>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</si>
  <si>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</si>
  <si>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</si>
  <si>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</si>
  <si>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</si>
  <si>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</si>
  <si>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</si>
  <si>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</si>
  <si>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</si>
  <si>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</si>
  <si>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</si>
  <si>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</si>
  <si>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</si>
  <si>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</si>
  <si>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</si>
  <si>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</si>
  <si>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</si>
  <si>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</si>
  <si>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</si>
  <si>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</si>
  <si>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</si>
  <si>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</si>
  <si>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</si>
  <si>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</si>
  <si>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</si>
  <si>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</si>
  <si>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</si>
  <si>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</si>
  <si>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</si>
  <si>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</si>
  <si>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</si>
  <si>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</si>
  <si>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</si>
  <si>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</si>
  <si>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</si>
  <si>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</si>
  <si>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</si>
  <si>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</si>
  <si>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</si>
  <si>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</si>
  <si>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</si>
  <si>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</si>
  <si>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</si>
  <si>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</si>
  <si>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</si>
  <si>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</si>
  <si>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</si>
  <si>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</si>
  <si>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</si>
  <si>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</si>
  <si>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</si>
  <si>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</si>
  <si>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</si>
  <si>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</si>
  <si>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</si>
  <si>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</si>
  <si>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</si>
  <si>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</si>
  <si>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</si>
  <si>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</si>
  <si>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</si>
  <si>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</si>
  <si>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</si>
  <si>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</si>
  <si>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</si>
  <si>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</si>
  <si>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</si>
  <si>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</si>
  <si>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</si>
  <si>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</si>
  <si>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</si>
  <si>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</si>
  <si>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</si>
  <si>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</si>
  <si>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</si>
  <si>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</si>
  <si>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</si>
  <si>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</si>
  <si>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</si>
  <si>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</si>
  <si>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</si>
  <si>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</si>
  <si>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</si>
  <si>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</si>
  <si>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</si>
  <si>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</si>
  <si>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</si>
  <si>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</si>
  <si>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</si>
  <si>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</si>
  <si>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</si>
  <si>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</si>
  <si>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</si>
  <si>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</si>
  <si>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</si>
  <si>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</si>
  <si>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</si>
  <si>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</si>
  <si>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</si>
  <si>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</si>
  <si>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</si>
  <si>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</si>
  <si>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</si>
  <si>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</si>
  <si>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</si>
  <si>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</si>
  <si>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</si>
  <si>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</si>
  <si>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</si>
  <si>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</si>
  <si>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</si>
  <si>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</si>
  <si>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</si>
  <si>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</si>
  <si>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</si>
  <si>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</si>
  <si>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</si>
  <si>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</si>
  <si>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</si>
  <si>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</si>
  <si>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</si>
  <si>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</si>
  <si>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</si>
  <si>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</si>
  <si>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</si>
  <si>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</si>
  <si>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</si>
  <si>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</si>
  <si>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</si>
  <si>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</si>
  <si>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</si>
  <si>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</si>
  <si>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</si>
  <si>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</si>
  <si>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</si>
  <si>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</si>
  <si>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</si>
  <si>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</si>
  <si>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</si>
  <si>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</si>
  <si>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</si>
  <si>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</si>
  <si>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</si>
  <si>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</si>
  <si>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</si>
  <si>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</si>
  <si>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</si>
  <si>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</si>
  <si>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</si>
  <si>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</si>
  <si>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</si>
  <si>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</si>
  <si>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</si>
  <si>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</si>
  <si>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</si>
  <si>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</si>
  <si>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</si>
  <si>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</si>
  <si>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</si>
  <si>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</si>
  <si>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</si>
  <si>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</si>
  <si>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</si>
  <si>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</si>
  <si>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</si>
  <si>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</si>
  <si>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</si>
  <si>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</si>
  <si>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</si>
  <si>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</si>
  <si>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</si>
  <si>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</si>
  <si>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</si>
  <si>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</si>
  <si>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</si>
  <si>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</si>
  <si>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</si>
  <si>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</si>
  <si>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</si>
  <si>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</si>
  <si>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</si>
  <si>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</si>
  <si>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</si>
  <si>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</si>
  <si>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</si>
  <si>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</si>
  <si>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</si>
  <si>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</si>
  <si>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</si>
  <si>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</si>
  <si>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</si>
  <si>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</si>
  <si>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</si>
  <si>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</si>
  <si>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</si>
  <si>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</si>
  <si>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</si>
  <si>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</si>
  <si>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</si>
  <si>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</si>
  <si>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</si>
  <si>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</si>
  <si>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</si>
  <si>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</si>
  <si>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</si>
  <si>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</si>
  <si>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</si>
  <si>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</si>
  <si>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</si>
  <si>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</si>
  <si>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</si>
  <si>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</si>
  <si>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</si>
  <si>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</si>
  <si>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</si>
  <si>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</si>
  <si>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</si>
  <si>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</si>
  <si>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</si>
  <si>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</si>
  <si>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</si>
  <si>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</si>
  <si>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</si>
  <si>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</si>
  <si>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</si>
  <si>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</si>
  <si>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</si>
  <si>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</si>
  <si>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</si>
  <si>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</si>
  <si>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</si>
  <si>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</si>
  <si>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</si>
  <si>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</si>
  <si>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</si>
  <si>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</si>
  <si>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</si>
  <si>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</si>
  <si>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</si>
  <si>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</si>
  <si>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</si>
  <si>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</si>
  <si>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</si>
  <si>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</si>
  <si>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</si>
  <si>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</si>
  <si>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</si>
  <si>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</si>
  <si>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</si>
  <si>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</si>
  <si>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</si>
  <si>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</si>
  <si>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</si>
  <si>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</si>
  <si>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</si>
  <si>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</si>
  <si>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</si>
  <si>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</si>
  <si>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</si>
  <si>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</si>
  <si>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</si>
  <si>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</si>
  <si>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</si>
  <si>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</si>
  <si>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</si>
  <si>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</si>
  <si>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</si>
  <si>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</si>
  <si>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</si>
  <si>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</si>
  <si>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</si>
  <si>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</si>
  <si>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</si>
  <si>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</si>
  <si>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</si>
  <si>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</si>
  <si>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</si>
  <si>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</si>
  <si>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</si>
  <si>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</si>
  <si>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</si>
  <si>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</si>
  <si>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</si>
  <si>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</si>
  <si>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</si>
  <si>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</si>
  <si>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</si>
  <si>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</si>
  <si>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</si>
  <si>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</si>
  <si>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</si>
  <si>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</si>
  <si>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</si>
  <si>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</si>
  <si>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</si>
  <si>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</si>
  <si>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</si>
  <si>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</si>
  <si>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</si>
  <si>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</si>
  <si>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</si>
  <si>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</si>
  <si>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</si>
  <si>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</si>
  <si>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</si>
  <si>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</si>
  <si>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</si>
  <si>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</si>
  <si>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</si>
  <si>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</si>
  <si>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</si>
  <si>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</si>
  <si>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</si>
  <si>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</si>
  <si>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</si>
  <si>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</si>
  <si>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</si>
  <si>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</si>
  <si>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</si>
  <si>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</si>
  <si>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</si>
  <si>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</si>
  <si>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</si>
  <si>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</si>
  <si>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</si>
  <si>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</si>
  <si>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</si>
  <si>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</si>
  <si>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</si>
  <si>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</si>
  <si>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</si>
  <si>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</si>
  <si>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</si>
  <si>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</si>
  <si>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</si>
  <si>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</si>
  <si>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</si>
  <si>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</si>
  <si>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</si>
  <si>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</si>
  <si>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</si>
  <si>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</si>
  <si>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</si>
  <si>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</si>
  <si>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</si>
  <si>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</si>
  <si>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</si>
  <si>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</si>
  <si>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</si>
  <si>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</si>
  <si>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</si>
  <si>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</si>
  <si>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</si>
  <si>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</si>
  <si>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</si>
  <si>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</si>
  <si>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</si>
  <si>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</si>
  <si>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</si>
  <si>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</si>
  <si>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</si>
  <si>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</si>
  <si>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</si>
  <si>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</si>
  <si>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</si>
  <si>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</si>
  <si>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</si>
  <si>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</si>
  <si>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</si>
  <si>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</si>
  <si>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</si>
  <si>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</si>
  <si>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</si>
  <si>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</si>
  <si>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</si>
  <si>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</si>
  <si>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</si>
  <si>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</si>
  <si>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</si>
  <si>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</si>
  <si>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</si>
  <si>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</si>
  <si>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</si>
  <si>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</si>
  <si>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</si>
  <si>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</si>
  <si>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</si>
  <si>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</si>
  <si>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</si>
  <si>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</si>
  <si>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</si>
  <si>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</si>
  <si>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</si>
  <si>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</si>
  <si>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</si>
  <si>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</si>
  <si>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</si>
  <si>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</si>
  <si>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</si>
  <si>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</si>
  <si>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</si>
  <si>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</si>
  <si>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</si>
  <si>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</si>
  <si>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</si>
  <si>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</si>
  <si>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</si>
  <si>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</si>
  <si>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</si>
  <si>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</si>
  <si>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</si>
  <si>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</si>
  <si>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</si>
  <si>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</si>
  <si>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</si>
  <si>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</si>
  <si>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</si>
  <si>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</si>
  <si>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</si>
  <si>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</si>
  <si>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</si>
  <si>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</si>
  <si>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</si>
  <si>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</si>
  <si>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</si>
  <si>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</si>
  <si>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</si>
  <si>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</si>
  <si>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</si>
  <si>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</si>
  <si>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</si>
  <si>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</si>
  <si>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</si>
  <si>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</si>
  <si>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</si>
  <si>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</si>
  <si>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</si>
  <si>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</si>
  <si>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</si>
  <si>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</si>
  <si>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</si>
  <si>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</si>
  <si>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</si>
  <si>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</si>
  <si>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</si>
  <si>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</si>
  <si>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</si>
  <si>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</si>
  <si>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</si>
  <si>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</si>
  <si>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</si>
  <si>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</si>
  <si>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</si>
  <si>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</si>
  <si>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</si>
  <si>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</si>
  <si>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</si>
  <si>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</si>
  <si>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</si>
  <si>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</si>
  <si>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</si>
  <si>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</si>
  <si>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</si>
  <si>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</si>
  <si>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</si>
  <si>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</si>
  <si>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</si>
  <si>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</si>
  <si>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</si>
  <si>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</si>
  <si>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</si>
  <si>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</si>
  <si>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</si>
  <si>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</si>
  <si>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</si>
  <si>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</si>
  <si>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</si>
  <si>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</si>
  <si>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</si>
  <si>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</si>
  <si>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</si>
  <si>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</si>
  <si>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</si>
  <si>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</si>
  <si>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</si>
  <si>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</si>
  <si>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</si>
  <si>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</si>
  <si>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</si>
  <si>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</si>
  <si>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</si>
  <si>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</si>
  <si>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</si>
  <si>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</si>
  <si>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</si>
  <si>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</si>
  <si>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</si>
  <si>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</si>
  <si>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</si>
  <si>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</si>
  <si>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</si>
  <si>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</si>
  <si>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</si>
  <si>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</si>
  <si>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</si>
  <si>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</si>
  <si>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</si>
  <si>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</si>
  <si>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</si>
  <si>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</si>
  <si>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</si>
  <si>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</si>
  <si>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</si>
  <si>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</si>
  <si>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</si>
  <si>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</si>
  <si>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</si>
  <si>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</si>
  <si>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</si>
  <si>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</si>
  <si>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</si>
  <si>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</si>
  <si>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</si>
  <si>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</si>
  <si>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</si>
  <si>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</si>
  <si>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</si>
  <si>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</si>
  <si>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</si>
  <si>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</si>
  <si>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</si>
  <si>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</si>
  <si>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</si>
  <si>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</si>
  <si>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</si>
  <si>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</si>
  <si>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</si>
  <si>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</si>
  <si>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</si>
  <si>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</si>
  <si>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</si>
  <si>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</si>
  <si>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</si>
  <si>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</si>
  <si>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</si>
  <si>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</si>
  <si>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</si>
  <si>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</si>
  <si>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</si>
  <si>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</si>
  <si>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</si>
  <si>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</si>
  <si>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</si>
  <si>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</si>
  <si>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</si>
  <si>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</si>
  <si>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</si>
  <si>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</si>
  <si>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</si>
  <si>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</si>
  <si>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</si>
  <si>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</si>
  <si>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</si>
  <si>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</si>
  <si>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</si>
  <si>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</si>
  <si>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</si>
  <si>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</si>
  <si>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</si>
  <si>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</si>
  <si>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</si>
  <si>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</si>
  <si>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</si>
  <si>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</si>
  <si>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</si>
  <si>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</si>
  <si>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</si>
  <si>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</si>
  <si>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</si>
  <si>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</si>
  <si>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</si>
  <si>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</si>
  <si>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</si>
  <si>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</si>
  <si>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</si>
  <si>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</si>
  <si>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</si>
  <si>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</si>
  <si>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</si>
  <si>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</si>
  <si>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</si>
  <si>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</si>
  <si>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</si>
  <si>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</si>
  <si>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</si>
  <si>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</si>
  <si>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</si>
  <si>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</si>
  <si>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</si>
  <si>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</si>
  <si>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</si>
  <si>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</si>
  <si>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</si>
  <si>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</si>
  <si>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</si>
  <si>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</si>
  <si>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</si>
  <si>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</si>
  <si>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</si>
  <si>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</si>
  <si>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</si>
  <si>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</si>
  <si>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</si>
  <si>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</si>
  <si>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</si>
  <si>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</si>
  <si>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</si>
  <si>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</si>
  <si>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</si>
  <si>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</si>
  <si>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</si>
  <si>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</si>
  <si>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</si>
  <si>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</si>
  <si>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</si>
  <si>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</si>
  <si>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</si>
  <si>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</si>
  <si>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</si>
  <si>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</si>
  <si>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</si>
  <si>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</si>
  <si>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</si>
  <si>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</si>
  <si>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</si>
  <si>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</si>
  <si>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</si>
  <si>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</si>
  <si>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</si>
  <si>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</si>
  <si>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</si>
  <si>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</si>
  <si>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</si>
  <si>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</si>
  <si>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</si>
  <si>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</si>
  <si>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</si>
  <si>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</si>
  <si>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</si>
  <si>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</si>
  <si>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</si>
  <si>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</si>
  <si>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</si>
  <si>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</si>
  <si>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</si>
  <si>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</si>
  <si>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</si>
  <si>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</si>
  <si>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</si>
  <si>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</si>
  <si>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</si>
  <si>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</si>
  <si>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</si>
  <si>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</si>
  <si>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</si>
  <si>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</si>
  <si>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</si>
  <si>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</si>
  <si>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</si>
  <si>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</si>
  <si>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</si>
  <si>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</si>
  <si>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</si>
  <si>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</si>
  <si>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</si>
  <si>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</si>
  <si>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</si>
  <si>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</si>
  <si>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</si>
  <si>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</si>
  <si>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</si>
  <si>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</si>
  <si>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</si>
  <si>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</si>
  <si>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</si>
  <si>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</si>
  <si>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</si>
  <si>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</si>
  <si>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</si>
  <si>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</si>
  <si>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</si>
  <si>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</si>
  <si>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</si>
  <si>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</si>
  <si>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</si>
  <si>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St. Clair</t>
  </si>
  <si>
    <t>2411 Pathways Crossing</t>
  </si>
  <si>
    <t xml:space="preserve">Belleville  </t>
  </si>
  <si>
    <t>brian.arteberry@bassc-sped.org</t>
  </si>
  <si>
    <t>Scheffel Boyle</t>
  </si>
  <si>
    <t>Dale Holtmann</t>
  </si>
  <si>
    <t>222 East Main Street</t>
  </si>
  <si>
    <t>Belleville</t>
  </si>
  <si>
    <t>IL</t>
  </si>
  <si>
    <t>618-277-8100</t>
  </si>
  <si>
    <t>618-233-6334</t>
  </si>
  <si>
    <t>065-026956</t>
  </si>
  <si>
    <t>dale.holtmann@scheffelboyle.com</t>
  </si>
  <si>
    <t>Brian Arteberry</t>
  </si>
  <si>
    <t>618-355-4700</t>
  </si>
  <si>
    <t>618-355-4415</t>
  </si>
  <si>
    <t>(M) IDEA PRESCHOOL FY 19</t>
  </si>
  <si>
    <t>(M) IDEA PRESCHOOL FY 18</t>
  </si>
  <si>
    <t>19-4600-00</t>
  </si>
  <si>
    <t>18-4600-00</t>
  </si>
  <si>
    <t>19-4620-00</t>
  </si>
  <si>
    <t>18-4620-00</t>
  </si>
  <si>
    <t>NATIONAL SCHOOL LUNCH FY 19</t>
  </si>
  <si>
    <t>NATIONAL SCHOOL LUNCH FY 18</t>
  </si>
  <si>
    <t>NATIONAL SCHOOL BREAKFAST FY 19</t>
  </si>
  <si>
    <t>NATIONAL SCHOOL BREAKFAST FY 18</t>
  </si>
  <si>
    <t>19-4210-00</t>
  </si>
  <si>
    <t>18-4210-00</t>
  </si>
  <si>
    <t>19-4220-00</t>
  </si>
  <si>
    <t>18-4220-00</t>
  </si>
  <si>
    <t>NSLP EQUIPMENT ASSISTANCE GRANT</t>
  </si>
  <si>
    <t>19-4260-00</t>
  </si>
  <si>
    <t xml:space="preserve">MEDICAID MATCHING </t>
  </si>
  <si>
    <t>18-4991-000</t>
  </si>
  <si>
    <t>TOTAL FEDERAL FINANCIAL ASSISTANCE - CASH</t>
  </si>
  <si>
    <t>NONCASH FEDERAL ASSISTANCE</t>
  </si>
  <si>
    <t>COMMODITIES AT MARKET VALUE</t>
  </si>
  <si>
    <t>TOTAL FEDERAL FINANCIAL ASSISTANCE CASH AND NONCASH</t>
  </si>
  <si>
    <t>N/A</t>
  </si>
  <si>
    <t>10.553/10.555</t>
  </si>
  <si>
    <t>TOTAL CHILD NUTRITION CLUSTER EXPENSES</t>
  </si>
  <si>
    <t>TOTAL IDEA CLUSTER EXPENSES</t>
  </si>
  <si>
    <t>84.027/84.173</t>
  </si>
  <si>
    <t>X</t>
  </si>
  <si>
    <t>The Co-op lacks the resources to research, study and apply all the new accounting statements, standards, revisions and regulations needed to prepare their year end financial statements including formatting notes and exhibits in accordance with accounting principles generally accepted in the United States of America.</t>
  </si>
  <si>
    <t>To study the cost versus benefit of providing the necessary education and training to staff or hiring a qualified vendor to prepare or review the Co-op's year end financial statements including disclosures in accordance with accounting principles generally accepted in the United States of America.</t>
  </si>
  <si>
    <t>Management plans to study the cost versus benefit of providing the necessary education and training to staff or hiring a qualified vendor to prepare or review the Co-op's year end financial statements including disclosures in accordance with accounting principles generally accepted in the United States of America.</t>
  </si>
  <si>
    <t>Whether the Co-op had the resources to prepare their financial statements including disclosures in accordance with accounting principles generally accepted in the United States of America for the year ended June 30, 2019.</t>
  </si>
  <si>
    <t>We noted that the Co-op was not able to prepare their financial statements including disclosures in accordance with accounting principles generally accepted in the United States of America for the year ended June 30, 2019.</t>
  </si>
  <si>
    <t>The Co-op was unable to prepare their financial statements including disclosures in accordance with accounting principles generally accepted in the United States of America for the year ended June 30, 2019.</t>
  </si>
  <si>
    <t>Examined whether the Co-op's procedures ensured that transactions are properly recorded in accordance with accounting principles generally accepted in the United States of America.</t>
  </si>
  <si>
    <t>The Co-op personnel do not have the necessary training or resources available to ensure that all transactions recorded are in accordance with accounting principles generally accepted in the United States of America.</t>
  </si>
  <si>
    <t>To provide the necessary training and resources for accounting employees to properly record all transactions in accordance with accounting principles generally accepted in the United States of America.</t>
  </si>
  <si>
    <t>Management plans to study the cost versus benefit of providing the necessary education, training and resources to staff or hiring a qualified vendor to ensure that the Co-op's transactions are properly recorded in accordance with the accounting principles generally accepted in the United States of America.</t>
  </si>
  <si>
    <t>We noted that the Co-op did not properly record all transactions for the year ended June 30, 2019 in accordance with accounting principles generally accepted in the United States of America.</t>
  </si>
  <si>
    <t>The effect of the journal entries for the year end June 30, 2019 amounted to adjusting the year end cash basis data to the modified accrual basis and reclassifying noncapital items out of capital outlay.  Journal entries were necessary to bring the trial balance into compliance with accounting principles generally accepted in the United States of America.</t>
  </si>
  <si>
    <t>The Co-op did not properly record all transactions for the year ended June 30, 2019 in accordance with accounting principles generally accepted in the United States of America.</t>
  </si>
  <si>
    <t xml:space="preserve">IDEA FLOW THROUGH FY 19 </t>
  </si>
  <si>
    <t xml:space="preserve">ILLINOIS STATE BOARD OF EDUCATION </t>
  </si>
  <si>
    <t>US DEPARTMENT OF EDUCATION</t>
  </si>
  <si>
    <t>We noted that the required December 2018 expenditure report was filed on February 8, 2019, insteady of by January 20, 2019.</t>
  </si>
  <si>
    <t>There are no questioned costs.</t>
  </si>
  <si>
    <t>To monitor due dates closely and submit expenditure reports timely.</t>
  </si>
  <si>
    <t>The Co-op was not in compliance by not filing the expenditure report timely.</t>
  </si>
  <si>
    <t>Management plans to closely monitor expenditure report due dates and submit them in a timely manner.</t>
  </si>
  <si>
    <t>IDEA FLOW THROUGH FY 19</t>
  </si>
  <si>
    <t>Reporting.   The Co-op is required to file expenditure reports with ISBE timely.</t>
  </si>
  <si>
    <t>Monitor.   The Co-op must monitor subrecipients and review their documentation to determine that expenses are authorized for purposes in compliance with Federal statutes, regulations and the terms and conditions of the grant.</t>
  </si>
  <si>
    <t>The Co-op did not obtain a signature from a subrecipient on 2 out of 6 claims filed for reimbursement.</t>
  </si>
  <si>
    <t>There are no questioned costs.   Although the claims were not filed, the expenses were for approved salary, benefits and expenses that were consistent with the other claims filed.</t>
  </si>
  <si>
    <t>To review all subrecipient claims and determine that all signatures are present.</t>
  </si>
  <si>
    <t>The Co-op reviewed the claims and expenses provided, which were consistent with prior claims and approved.</t>
  </si>
  <si>
    <t>2018-001</t>
  </si>
  <si>
    <t>Prepare the financial statement</t>
  </si>
  <si>
    <t xml:space="preserve">Management reviewed the costs versus benefit of </t>
  </si>
  <si>
    <t>providing the necessary education and training to staff</t>
  </si>
  <si>
    <t xml:space="preserve">or hiring a qualified vendor to prepare the </t>
  </si>
  <si>
    <t>financial statements including disclosures and decided</t>
  </si>
  <si>
    <t>to not change the process from the prior year.</t>
  </si>
  <si>
    <t>2018-002</t>
  </si>
  <si>
    <t>Journal entries made during audit</t>
  </si>
  <si>
    <t>Management reviewed their trial balance before</t>
  </si>
  <si>
    <t>year end and made some journal entries.  However, a</t>
  </si>
  <si>
    <t>few journal entries were still needed during the audit.</t>
  </si>
  <si>
    <t>2018-003</t>
  </si>
  <si>
    <t>2018-004</t>
  </si>
  <si>
    <t>Grant Findings</t>
  </si>
  <si>
    <t>In the prior year, there were findings for expenses</t>
  </si>
  <si>
    <t xml:space="preserve">claimed that were unallowable. </t>
  </si>
  <si>
    <t>In the current year, there were no findings on expenses</t>
  </si>
  <si>
    <t>claimed.</t>
  </si>
  <si>
    <t>US DEPARTMENT OF EDUCATION - PASS-THROUGH ILLINOIS STATE BOARD OF EDUCATION</t>
  </si>
  <si>
    <t>(M) IDEA FLOW-THROUGH FY 18</t>
  </si>
  <si>
    <t>TOTAL US DEPARTMENT OF EDUCATION - PASS- THROUGH ILLINOIS STATE BOARD OF EDUCATION</t>
  </si>
  <si>
    <t>US DEPARTMENT OF AGRICULTURE - PASS- THROUGH ILLINOIS STATE BOARD OF EDUCATION</t>
  </si>
  <si>
    <t>TOTAL US DEPARTMENT OF AGRICULTURE - PASS- THROUGH ILLINOIS STATE BOARD OF EDUCATION</t>
  </si>
  <si>
    <t>(M) IDEA FLOW-THROUGH FY 19</t>
  </si>
  <si>
    <t>US DEPT OF HEALTH AND HUMAN SERVICES - PASS- THROUGH STATE OF IL HEALTHCARE AND FAMILY SVCS</t>
  </si>
  <si>
    <t>Management plans on reviewing all future claims for subrecipient signatures.   Also, starting with FY 20, the Co-op will not have subrecipients as the IDEA Flow-Through grant is now managed by each of the 23 member districts and not the Co-op.</t>
  </si>
  <si>
    <t>Building Debt Certificate</t>
  </si>
  <si>
    <t>ED-Special Education-General Administration</t>
  </si>
  <si>
    <t>10-2300-300</t>
  </si>
  <si>
    <t>ED-Central-Data Processing</t>
  </si>
  <si>
    <t>10-2660-300</t>
  </si>
  <si>
    <t>Brecht Database Solutions</t>
  </si>
  <si>
    <t>Belleville School District #118</t>
  </si>
  <si>
    <t>The accompanying Schedule of Expenditures of Federal Awards includes the federal grant activity of Belleville Area Special Services Cooperative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</si>
  <si>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BASSC provided federal awards to subrecipients as follows:</t>
  </si>
  <si>
    <t>IDEA Flow Through FY 18</t>
  </si>
  <si>
    <t>Freeburg #70</t>
  </si>
  <si>
    <t>Freeburg #77</t>
  </si>
  <si>
    <t>Grant/Illini School #110</t>
  </si>
  <si>
    <t>O'Fallon #90</t>
  </si>
  <si>
    <t>Lebanon #9</t>
  </si>
  <si>
    <t>Shiloh #85</t>
  </si>
  <si>
    <t>St. Libory #30</t>
  </si>
  <si>
    <t>Mascoutah #19</t>
  </si>
  <si>
    <t>Harmony #175</t>
  </si>
  <si>
    <t xml:space="preserve"> Wolf Branch #113</t>
  </si>
  <si>
    <t>Millstadt #160</t>
  </si>
  <si>
    <t>Whiteside #115</t>
  </si>
  <si>
    <t>Central of O'Fallon #104</t>
  </si>
  <si>
    <t>High Mount #116</t>
  </si>
  <si>
    <t>Smithton #130</t>
  </si>
  <si>
    <t>Pontiac #105</t>
  </si>
  <si>
    <t>Belleville SD #118</t>
  </si>
  <si>
    <t>Signal Hill #181</t>
  </si>
  <si>
    <t>Marissa #40</t>
  </si>
  <si>
    <t>Belleville Township #201</t>
  </si>
  <si>
    <t>Belle Valley #119</t>
  </si>
  <si>
    <t>Wesclin #3</t>
  </si>
  <si>
    <t>New Athens #60</t>
  </si>
  <si>
    <t>Total IDEA Flow Through FY 17</t>
  </si>
  <si>
    <t>IDEA Preschool FY 18</t>
  </si>
  <si>
    <t>Total IDEA Preschool FY 18</t>
  </si>
  <si>
    <t>IDEA Preschool FY 19</t>
  </si>
  <si>
    <t>Signal Hill #180</t>
  </si>
  <si>
    <t>Total IDEA Preschool FY 19</t>
  </si>
  <si>
    <t>Harmony Emge #175</t>
  </si>
  <si>
    <t>IDEA Flow Through FY 19</t>
  </si>
  <si>
    <t>IDEA Flow Through FY 19 (cont'd)</t>
  </si>
  <si>
    <t>Total IDEA Flow Through FY 19</t>
  </si>
  <si>
    <t>Central of O'Fallon 104</t>
  </si>
  <si>
    <t>Unmodified</t>
  </si>
  <si>
    <t>IDEA Cluster</t>
  </si>
  <si>
    <t>The expenditure report for December was filed 19 days late.  The other 11 monthly expenditure reports were filed timely.</t>
  </si>
  <si>
    <t>The Co-op usually tries to file expenditure reports monthly, however they got behind one month and the report was late.</t>
  </si>
  <si>
    <t>We reviewed the claims submitted from 7 of the 23 schools and found 2 claims were not authorized by the subrecipient.</t>
  </si>
  <si>
    <t>The Co-op reimbursed the subrecipient without the proper documentation.</t>
  </si>
  <si>
    <t xml:space="preserve">The Co-op does not have sufficient experience and research capabilities over their financial reporting. </t>
  </si>
  <si>
    <t>Belleville Area Special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</si>
</sst>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cellStyleXfs>
  <cellXfs count="254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169" fontId="61" fillId="0" borderId="22" xfId="3" quotePrefix="1" applyNumberFormat="1" applyFont="1" applyBorder="1" applyAlignment="1" applyProtection="1">
      <alignment horizontal="center"/>
      <protection locked="0"/>
    </xf>
    <xf numFmtId="0" fontId="56" fillId="0" borderId="0" xfId="3" applyFont="1" applyBorder="1" applyProtection="1">
      <protection locked="0"/>
    </xf>
    <xf numFmtId="0" fontId="56" fillId="0" borderId="0" xfId="3" applyFont="1" applyProtection="1">
      <protection locked="0"/>
    </xf>
    <xf numFmtId="0" fontId="56" fillId="0" borderId="0" xfId="3" applyFont="1" applyBorder="1" applyProtection="1">
      <protection locked="0"/>
    </xf>
    <xf numFmtId="0" fontId="56" fillId="0" borderId="0" xfId="3" applyFont="1" applyProtection="1">
      <protection locked="0"/>
    </xf>
    <xf numFmtId="0" fontId="56" fillId="0" borderId="0" xfId="3" applyFont="1" applyProtection="1">
      <protection locked="0"/>
    </xf>
    <xf numFmtId="0" fontId="56" fillId="0" borderId="0" xfId="3" applyFont="1" applyProtection="1">
      <protection locked="0"/>
    </xf>
    <xf numFmtId="0" fontId="53" fillId="0" borderId="0" xfId="3" applyFont="1" applyAlignment="1" applyProtection="1">
      <alignment horizontal="center"/>
    </xf>
    <xf numFmtId="0" fontId="61" fillId="0" borderId="0" xfId="3" applyFont="1" applyBorder="1" applyAlignment="1" applyProtection="1">
      <alignment horizontal="left" vertical="top" wrapText="1"/>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54" fillId="0" borderId="147" xfId="3" applyFont="1" applyBorder="1" applyAlignment="1" applyProtection="1">
      <alignment horizontal="left" indent="1"/>
      <protection locked="0"/>
    </xf>
    <xf numFmtId="0" fontId="56" fillId="0" borderId="0" xfId="3" applyFont="1" applyProtection="1"/>
    <xf numFmtId="0" fontId="56" fillId="0" borderId="0" xfId="3" applyFont="1" applyBorder="1" applyProtection="1"/>
    <xf numFmtId="0" fontId="54" fillId="0" borderId="0" xfId="3" applyFont="1" applyBorder="1" applyProtection="1"/>
    <xf numFmtId="0" fontId="56" fillId="0" borderId="0" xfId="3" applyFont="1" applyAlignment="1" applyProtection="1">
      <alignment horizontal="center"/>
    </xf>
    <xf numFmtId="0" fontId="64" fillId="0" borderId="0" xfId="3" applyFont="1" applyProtection="1"/>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56" fillId="0" borderId="0" xfId="3" applyFont="1" applyAlignment="1" applyProtection="1"/>
    <xf numFmtId="0" fontId="54" fillId="0" borderId="0" xfId="3" applyFont="1" applyBorder="1" applyAlignment="1" applyProtection="1">
      <alignment horizont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54" fillId="0" borderId="147" xfId="3" applyFont="1" applyBorder="1" applyAlignment="1" applyProtection="1">
      <alignment horizontal="left" indent="1"/>
      <protection locked="0"/>
    </xf>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54" fillId="0" borderId="147" xfId="3" applyFont="1" applyBorder="1" applyAlignment="1" applyProtection="1">
      <alignment horizontal="left" indent="3"/>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BA933452-6E97-4385-B604-788FED3E5CDB}"/>
    <cellStyle name="Normal 3 2 3" xfId="20" xr:uid="{85BCAAA8-EE30-48AF-B7F6-AA2EDA161201}"/>
    <cellStyle name="Normal 3 3" xfId="19" xr:uid="{2C65ABC9-409A-4DCB-98AE-CAF2180B3020}"/>
    <cellStyle name="Normal 4" xfId="16" xr:uid="{00000000-0005-0000-0000-000008000000}"/>
    <cellStyle name="Normal 4 2" xfId="21" xr:uid="{53CD883F-97B5-4D60-ABB7-91EFF91AA770}"/>
    <cellStyle name="Normal 5" xfId="17" xr:uid="{00000000-0005-0000-0000-000009000000}"/>
    <cellStyle name="Normal 5 2" xfId="22" xr:uid="{4F34BB0B-DE04-4ADB-86D1-5E7E74CC351D}"/>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14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1229591</xdr:colOff>
          <xdr:row>5</xdr:row>
          <xdr:rowOff>25977</xdr:rowOff>
        </xdr:from>
        <xdr:to>
          <xdr:col>1</xdr:col>
          <xdr:colOff>2140528</xdr:colOff>
          <xdr:row>9</xdr:row>
          <xdr:rowOff>64077</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1400-000002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2415886</xdr:colOff>
          <xdr:row>5</xdr:row>
          <xdr:rowOff>8658</xdr:rowOff>
        </xdr:from>
        <xdr:to>
          <xdr:col>1</xdr:col>
          <xdr:colOff>3326823</xdr:colOff>
          <xdr:row>9</xdr:row>
          <xdr:rowOff>38965</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1400-000003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BDB8A04C-AA22-4BDF-A1D0-5F9ED662398F}"/>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168B985C-3EF8-43E1-9C4A-96683E6F8B91}"/>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23BB9A98-65D3-438E-AF14-1B464BB15B08}"/>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185557E8-04FF-4CF1-AA3F-C57AC1BB6FD3}"/>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45" t="s">
        <v>405</v>
      </c>
      <c r="J1" s="2046"/>
      <c r="K1" s="2046"/>
      <c r="L1" s="2046"/>
      <c r="M1" s="2046"/>
      <c r="N1" s="2046"/>
      <c r="O1" s="2046"/>
      <c r="P1" s="2046"/>
      <c r="Q1" s="2046"/>
      <c r="R1" s="2046"/>
      <c r="S1" s="2046"/>
    </row>
    <row r="2" spans="1:28" ht="12" customHeight="1" x14ac:dyDescent="0.2">
      <c r="A2" s="47" t="s">
        <v>1989</v>
      </c>
      <c r="D2" s="48"/>
      <c r="I2" s="2047" t="s">
        <v>979</v>
      </c>
      <c r="J2" s="2046"/>
      <c r="K2" s="2046"/>
      <c r="L2" s="2046"/>
      <c r="M2" s="2046"/>
      <c r="N2" s="2046"/>
      <c r="O2" s="2046"/>
      <c r="P2" s="2046"/>
      <c r="Q2" s="2046"/>
      <c r="R2" s="2046"/>
      <c r="S2" s="2046"/>
    </row>
    <row r="3" spans="1:28" ht="12" customHeight="1" x14ac:dyDescent="0.2">
      <c r="A3" s="155" t="s">
        <v>1941</v>
      </c>
      <c r="B3" s="156"/>
      <c r="C3" s="156"/>
      <c r="D3" s="157"/>
      <c r="I3" s="2047" t="s">
        <v>52</v>
      </c>
      <c r="J3" s="2046"/>
      <c r="K3" s="2046"/>
      <c r="L3" s="2046"/>
      <c r="M3" s="2046"/>
      <c r="N3" s="2046"/>
      <c r="O3" s="2046"/>
      <c r="P3" s="2046"/>
      <c r="Q3" s="2046"/>
      <c r="R3" s="2046"/>
      <c r="S3" s="2046"/>
    </row>
    <row r="4" spans="1:28" ht="12" customHeight="1" x14ac:dyDescent="0.2">
      <c r="A4" s="37"/>
      <c r="I4" s="2047" t="s">
        <v>524</v>
      </c>
      <c r="J4" s="2046"/>
      <c r="K4" s="2046"/>
      <c r="L4" s="2046"/>
      <c r="M4" s="2046"/>
      <c r="N4" s="2046"/>
      <c r="O4" s="2046"/>
      <c r="P4" s="2046"/>
      <c r="Q4" s="2046"/>
      <c r="R4" s="2046"/>
      <c r="S4" s="2046"/>
    </row>
    <row r="5" spans="1:28" ht="14.1" customHeight="1" x14ac:dyDescent="0.2">
      <c r="B5" s="104"/>
      <c r="C5" s="26" t="s">
        <v>910</v>
      </c>
      <c r="D5" s="84"/>
      <c r="E5" s="84"/>
      <c r="H5" s="38"/>
      <c r="I5" s="2055" t="s">
        <v>680</v>
      </c>
      <c r="J5" s="2054"/>
      <c r="K5" s="2054"/>
      <c r="L5" s="2054"/>
      <c r="M5" s="2054"/>
      <c r="N5" s="2054"/>
      <c r="O5" s="2054"/>
      <c r="P5" s="2054"/>
      <c r="Q5" s="2054"/>
      <c r="R5" s="2054"/>
      <c r="S5" s="2054"/>
    </row>
    <row r="6" spans="1:28" ht="14.1" customHeight="1" x14ac:dyDescent="0.2">
      <c r="B6" s="104" t="s">
        <v>2063</v>
      </c>
      <c r="C6" s="26" t="s">
        <v>911</v>
      </c>
      <c r="D6" s="84"/>
      <c r="E6" s="84"/>
      <c r="I6" s="2053" t="s">
        <v>883</v>
      </c>
      <c r="J6" s="2054"/>
      <c r="K6" s="2054"/>
      <c r="L6" s="2054"/>
      <c r="M6" s="2054"/>
      <c r="N6" s="2054"/>
      <c r="O6" s="2054"/>
      <c r="P6" s="2054"/>
      <c r="Q6" s="2054"/>
      <c r="R6" s="2054"/>
      <c r="S6" s="2054"/>
    </row>
    <row r="7" spans="1:28" ht="12.2" customHeight="1" x14ac:dyDescent="0.2">
      <c r="I7" s="2048">
        <v>43646</v>
      </c>
      <c r="J7" s="2049"/>
      <c r="K7" s="2049"/>
      <c r="L7" s="2049"/>
      <c r="M7" s="2049"/>
      <c r="N7" s="2049"/>
      <c r="O7" s="2049"/>
      <c r="P7" s="2049"/>
      <c r="Q7" s="2049"/>
      <c r="R7" s="2049"/>
      <c r="S7" s="204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0" t="s">
        <v>674</v>
      </c>
      <c r="J9" s="2051"/>
      <c r="K9" s="2051"/>
      <c r="L9" s="2051"/>
      <c r="M9" s="2051"/>
      <c r="N9" s="2051"/>
      <c r="O9" s="2051"/>
      <c r="P9" s="2051"/>
      <c r="Q9" s="2051"/>
      <c r="R9" s="2051"/>
      <c r="S9" s="2052"/>
      <c r="T9" s="2066" t="s">
        <v>533</v>
      </c>
      <c r="U9" s="2067"/>
      <c r="V9" s="2067"/>
      <c r="W9" s="2067"/>
      <c r="X9" s="2067"/>
      <c r="Y9" s="2067"/>
      <c r="Z9" s="2067"/>
      <c r="AA9" s="2068"/>
    </row>
    <row r="10" spans="1:28" ht="13.5" customHeight="1" x14ac:dyDescent="0.2">
      <c r="A10" s="2073" t="s">
        <v>675</v>
      </c>
      <c r="B10" s="2074"/>
      <c r="C10" s="2074"/>
      <c r="D10" s="2074"/>
      <c r="E10" s="2074"/>
      <c r="F10" s="2074"/>
      <c r="G10" s="2074"/>
      <c r="H10" s="2075"/>
      <c r="I10" s="29"/>
      <c r="J10" s="30"/>
      <c r="K10" s="28"/>
      <c r="R10" s="30"/>
      <c r="S10" s="30"/>
      <c r="T10" s="2069"/>
      <c r="U10" s="2054"/>
      <c r="V10" s="2054"/>
      <c r="W10" s="2054"/>
      <c r="X10" s="2054"/>
      <c r="Y10" s="2054"/>
      <c r="Z10" s="2054"/>
      <c r="AA10" s="2060"/>
    </row>
    <row r="11" spans="1:28" ht="14.25" customHeight="1" x14ac:dyDescent="0.2">
      <c r="A11" s="2076" t="s">
        <v>955</v>
      </c>
      <c r="B11" s="2077"/>
      <c r="C11" s="2077"/>
      <c r="D11" s="2077"/>
      <c r="E11" s="2077"/>
      <c r="F11" s="2077"/>
      <c r="G11" s="2077"/>
      <c r="H11" s="2078"/>
      <c r="I11" s="27"/>
      <c r="J11" s="74"/>
      <c r="K11" s="27"/>
      <c r="O11" s="148"/>
      <c r="P11" s="100" t="s">
        <v>201</v>
      </c>
      <c r="Q11" s="30"/>
      <c r="R11" s="28"/>
      <c r="S11" s="27"/>
      <c r="T11" s="2070"/>
      <c r="U11" s="2071"/>
      <c r="V11" s="2071"/>
      <c r="W11" s="2071"/>
      <c r="X11" s="2071"/>
      <c r="Y11" s="2071"/>
      <c r="Z11" s="2071"/>
      <c r="AA11" s="2072"/>
    </row>
    <row r="12" spans="1:28" ht="13.5" customHeight="1" x14ac:dyDescent="0.2">
      <c r="A12" s="85" t="s">
        <v>925</v>
      </c>
      <c r="B12" s="76"/>
      <c r="C12" s="76"/>
      <c r="D12" s="76"/>
      <c r="E12" s="76"/>
      <c r="F12" s="76"/>
      <c r="G12" s="76"/>
      <c r="H12" s="53"/>
      <c r="I12" s="29"/>
      <c r="J12" s="30"/>
      <c r="K12" s="28"/>
      <c r="O12" s="149" t="s">
        <v>2063</v>
      </c>
      <c r="P12" s="100" t="s">
        <v>202</v>
      </c>
      <c r="Q12" s="74"/>
      <c r="R12" s="30"/>
      <c r="S12" s="30"/>
      <c r="T12" s="85" t="s">
        <v>265</v>
      </c>
      <c r="U12" s="51"/>
      <c r="V12" s="51"/>
      <c r="W12" s="51"/>
      <c r="X12" s="51"/>
      <c r="Y12" s="45"/>
      <c r="Z12" s="45"/>
      <c r="AA12" s="46"/>
    </row>
    <row r="13" spans="1:28" ht="13.5" customHeight="1" x14ac:dyDescent="0.2">
      <c r="A13" s="2080">
        <v>50082801060</v>
      </c>
      <c r="B13" s="2081"/>
      <c r="C13" s="2081"/>
      <c r="D13" s="2081"/>
      <c r="E13" s="2081"/>
      <c r="F13" s="2081"/>
      <c r="G13" s="2081"/>
      <c r="H13" s="2082"/>
      <c r="I13" s="31"/>
      <c r="J13" s="30"/>
      <c r="K13" s="28"/>
      <c r="L13" s="30"/>
      <c r="M13" s="30"/>
      <c r="N13" s="30"/>
      <c r="O13" s="30"/>
      <c r="P13" s="30"/>
      <c r="Q13" s="30"/>
      <c r="R13" s="30"/>
      <c r="S13" s="30"/>
      <c r="T13" s="2085" t="s">
        <v>2068</v>
      </c>
      <c r="U13" s="2086"/>
      <c r="V13" s="2086"/>
      <c r="W13" s="2086"/>
      <c r="X13" s="2086"/>
      <c r="Y13" s="2087"/>
      <c r="Z13" s="2087"/>
      <c r="AA13" s="208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79" t="s">
        <v>2064</v>
      </c>
      <c r="B15" s="2083"/>
      <c r="C15" s="2083"/>
      <c r="D15" s="2083"/>
      <c r="E15" s="2083"/>
      <c r="F15" s="2083"/>
      <c r="G15" s="2083"/>
      <c r="H15" s="2084"/>
      <c r="T15" s="2089" t="s">
        <v>2069</v>
      </c>
      <c r="U15" s="2033"/>
      <c r="V15" s="2033"/>
      <c r="W15" s="2033"/>
      <c r="X15" s="2033"/>
      <c r="Y15" s="2090"/>
      <c r="Z15" s="2090"/>
      <c r="AA15" s="209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39" t="s">
        <v>2214</v>
      </c>
      <c r="B17" s="2040"/>
      <c r="C17" s="2040"/>
      <c r="D17" s="2040"/>
      <c r="E17" s="2040"/>
      <c r="F17" s="2040"/>
      <c r="G17" s="2040"/>
      <c r="H17" s="2065"/>
      <c r="T17" s="2096" t="s">
        <v>2070</v>
      </c>
      <c r="U17" s="2097"/>
      <c r="V17" s="2097"/>
      <c r="W17" s="2097"/>
      <c r="X17" s="2097"/>
      <c r="Y17" s="2097"/>
      <c r="Z17" s="2097"/>
      <c r="AA17" s="2098"/>
    </row>
    <row r="18" spans="1:27" ht="13.5" customHeight="1" x14ac:dyDescent="0.2">
      <c r="A18" s="85" t="s">
        <v>530</v>
      </c>
      <c r="B18" s="76"/>
      <c r="C18" s="72"/>
      <c r="D18" s="76"/>
      <c r="E18" s="76"/>
      <c r="F18" s="76"/>
      <c r="G18" s="76"/>
      <c r="H18" s="56"/>
      <c r="I18" s="206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2079" t="s">
        <v>2065</v>
      </c>
      <c r="B19" s="2025"/>
      <c r="C19" s="2025"/>
      <c r="D19" s="2025"/>
      <c r="E19" s="2025"/>
      <c r="F19" s="2025"/>
      <c r="G19" s="2025"/>
      <c r="H19" s="2005"/>
      <c r="I19" s="30"/>
      <c r="J19" s="99"/>
      <c r="K19" s="40"/>
      <c r="L19" s="38"/>
      <c r="M19" s="112" t="s">
        <v>315</v>
      </c>
      <c r="P19" s="27"/>
      <c r="Q19" s="27"/>
      <c r="R19" s="27"/>
      <c r="S19" s="31"/>
      <c r="T19" s="2079" t="s">
        <v>2071</v>
      </c>
      <c r="U19" s="2004"/>
      <c r="V19" s="2004"/>
      <c r="W19" s="2005"/>
      <c r="X19" s="2094" t="s">
        <v>2072</v>
      </c>
      <c r="Y19" s="2095"/>
      <c r="Z19" s="2092">
        <v>62220</v>
      </c>
      <c r="AA19" s="209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3" t="s">
        <v>2066</v>
      </c>
      <c r="B21" s="2004"/>
      <c r="C21" s="2004"/>
      <c r="D21" s="2004"/>
      <c r="E21" s="2004"/>
      <c r="F21" s="2004"/>
      <c r="G21" s="2004"/>
      <c r="H21" s="2005"/>
      <c r="I21" s="2059" t="s">
        <v>678</v>
      </c>
      <c r="J21" s="2054"/>
      <c r="K21" s="2054"/>
      <c r="L21" s="2054"/>
      <c r="M21" s="2054"/>
      <c r="N21" s="2054"/>
      <c r="O21" s="2054"/>
      <c r="P21" s="2054"/>
      <c r="Q21" s="2054"/>
      <c r="R21" s="2054"/>
      <c r="S21" s="2060"/>
      <c r="T21" s="2103" t="s">
        <v>2073</v>
      </c>
      <c r="U21" s="2104"/>
      <c r="V21" s="2104"/>
      <c r="W21" s="2104"/>
      <c r="X21" s="2109" t="s">
        <v>2074</v>
      </c>
      <c r="Y21" s="2110"/>
      <c r="Z21" s="2110"/>
      <c r="AA21" s="2111"/>
    </row>
    <row r="22" spans="1:27" ht="13.5" customHeight="1" x14ac:dyDescent="0.2">
      <c r="A22" s="87" t="s">
        <v>531</v>
      </c>
      <c r="B22" s="59"/>
      <c r="C22" s="59"/>
      <c r="D22" s="59"/>
      <c r="E22" s="59"/>
      <c r="F22" s="59"/>
      <c r="G22" s="59"/>
      <c r="H22" s="60"/>
      <c r="I22" s="2061" t="s">
        <v>1429</v>
      </c>
      <c r="J22" s="2062"/>
      <c r="K22" s="2062"/>
      <c r="L22" s="2062"/>
      <c r="M22" s="2062"/>
      <c r="N22" s="2062"/>
      <c r="O22" s="2062"/>
      <c r="P22" s="2062"/>
      <c r="Q22" s="2062"/>
      <c r="R22" s="2062"/>
      <c r="S22" s="2063"/>
      <c r="T22" s="85" t="s">
        <v>1516</v>
      </c>
      <c r="U22" s="51"/>
      <c r="V22" s="72"/>
      <c r="W22" s="51"/>
      <c r="X22" s="160" t="s">
        <v>1318</v>
      </c>
      <c r="Z22" s="45"/>
      <c r="AA22" s="46"/>
    </row>
    <row r="23" spans="1:27" ht="13.5" customHeight="1" x14ac:dyDescent="0.2">
      <c r="A23" s="2056" t="s">
        <v>2067</v>
      </c>
      <c r="B23" s="2057"/>
      <c r="C23" s="2057"/>
      <c r="D23" s="2057"/>
      <c r="E23" s="2057"/>
      <c r="F23" s="2057"/>
      <c r="G23" s="2057"/>
      <c r="H23" s="2058"/>
      <c r="T23" s="2039" t="s">
        <v>2075</v>
      </c>
      <c r="U23" s="2102"/>
      <c r="V23" s="2102"/>
      <c r="W23" s="2102"/>
      <c r="X23" s="2106">
        <v>44469</v>
      </c>
      <c r="Y23" s="2107"/>
      <c r="Z23" s="2107"/>
      <c r="AA23" s="2108"/>
    </row>
    <row r="24" spans="1:27" ht="14.1" customHeight="1" x14ac:dyDescent="0.2">
      <c r="A24" s="88" t="s">
        <v>677</v>
      </c>
      <c r="B24" s="49"/>
      <c r="C24" s="49"/>
      <c r="D24" s="49"/>
      <c r="E24" s="49"/>
      <c r="F24" s="49"/>
      <c r="G24" s="49"/>
      <c r="H24" s="61"/>
      <c r="J24" s="2026" t="str">
        <f>IF(B5="x",IF(AUDITCHECK!D29="AFR form Incomplete.","",IF(AUDITCHECK!D29="Deficit reduction plan is required.","School District must complete a deficit reduction plan in the 2019-2020 Budget",)),"")</f>
        <v/>
      </c>
      <c r="K24" s="2026"/>
      <c r="L24" s="2026"/>
      <c r="M24" s="2026"/>
      <c r="N24" s="2026"/>
      <c r="O24" s="2026"/>
      <c r="P24" s="2026"/>
      <c r="Q24" s="2026"/>
      <c r="R24" s="2026"/>
      <c r="S24" s="2027"/>
      <c r="T24" s="105" t="s">
        <v>531</v>
      </c>
      <c r="U24" s="106"/>
      <c r="V24" s="106"/>
      <c r="W24" s="106"/>
      <c r="X24" s="107"/>
      <c r="Y24" s="107"/>
      <c r="Z24" s="107"/>
      <c r="AA24" s="108"/>
    </row>
    <row r="25" spans="1:27" ht="14.1" customHeight="1" x14ac:dyDescent="0.2">
      <c r="A25" s="2003">
        <v>62221</v>
      </c>
      <c r="B25" s="2004"/>
      <c r="C25" s="2004"/>
      <c r="D25" s="2004"/>
      <c r="E25" s="2004"/>
      <c r="F25" s="2004"/>
      <c r="G25" s="2004"/>
      <c r="H25" s="2005"/>
      <c r="I25" s="113"/>
      <c r="J25" s="2028"/>
      <c r="K25" s="2028"/>
      <c r="L25" s="2028"/>
      <c r="M25" s="2028"/>
      <c r="N25" s="2028"/>
      <c r="O25" s="2028"/>
      <c r="P25" s="2028"/>
      <c r="Q25" s="2028"/>
      <c r="R25" s="2028"/>
      <c r="S25" s="2029"/>
      <c r="T25" s="2099" t="s">
        <v>2076</v>
      </c>
      <c r="U25" s="2100"/>
      <c r="V25" s="2100"/>
      <c r="W25" s="2100"/>
      <c r="X25" s="2100"/>
      <c r="Y25" s="2100"/>
      <c r="Z25" s="2100"/>
      <c r="AA25" s="210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14"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2063</v>
      </c>
      <c r="F29" s="141" t="s">
        <v>1316</v>
      </c>
      <c r="G29" s="114"/>
      <c r="I29" s="54"/>
      <c r="J29" s="148" t="s">
        <v>2063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2063</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25"/>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39" t="s">
        <v>2077</v>
      </c>
      <c r="B38" s="2040"/>
      <c r="C38" s="2040"/>
      <c r="D38" s="2040"/>
      <c r="E38" s="2040"/>
      <c r="F38" s="2004"/>
      <c r="G38" s="2004"/>
      <c r="H38" s="2005"/>
      <c r="I38" s="2032"/>
      <c r="J38" s="2033"/>
      <c r="K38" s="2033"/>
      <c r="L38" s="2033"/>
      <c r="M38" s="2033"/>
      <c r="N38" s="2033"/>
      <c r="O38" s="2033"/>
      <c r="P38" s="2034"/>
      <c r="Q38" s="2034"/>
      <c r="R38" s="2034"/>
      <c r="S38" s="2035"/>
      <c r="T38" s="2089"/>
      <c r="U38" s="2033"/>
      <c r="V38" s="2033"/>
      <c r="W38" s="2033"/>
      <c r="X38" s="2034"/>
      <c r="Y38" s="2034"/>
      <c r="Z38" s="2034"/>
      <c r="AA38" s="2035"/>
    </row>
    <row r="39" spans="1:27" ht="12" customHeight="1" x14ac:dyDescent="0.2">
      <c r="A39" s="2009" t="s">
        <v>531</v>
      </c>
      <c r="B39" s="2010"/>
      <c r="C39" s="72"/>
      <c r="D39" s="69"/>
      <c r="E39" s="69"/>
      <c r="F39" s="79"/>
      <c r="G39" s="69"/>
      <c r="H39" s="56"/>
      <c r="I39" s="2009" t="s">
        <v>531</v>
      </c>
      <c r="J39" s="2010"/>
      <c r="K39" s="2010"/>
      <c r="L39" s="2010"/>
      <c r="M39" s="2010"/>
      <c r="N39" s="67"/>
      <c r="O39" s="72"/>
      <c r="P39" s="72"/>
      <c r="Q39" s="78"/>
      <c r="R39" s="72"/>
      <c r="S39" s="56"/>
      <c r="T39" s="72" t="s">
        <v>531</v>
      </c>
      <c r="U39" s="51"/>
      <c r="V39" s="72"/>
      <c r="W39" s="50"/>
      <c r="X39" s="78"/>
      <c r="Y39" s="45"/>
      <c r="Z39" s="45"/>
      <c r="AA39" s="46"/>
    </row>
    <row r="40" spans="1:27" ht="13.5" customHeight="1" x14ac:dyDescent="0.2">
      <c r="A40" s="2017" t="s">
        <v>2067</v>
      </c>
      <c r="B40" s="2018"/>
      <c r="C40" s="2019"/>
      <c r="D40" s="2019"/>
      <c r="E40" s="2019"/>
      <c r="F40" s="2020"/>
      <c r="G40" s="2020"/>
      <c r="H40" s="2021"/>
      <c r="I40" s="2042"/>
      <c r="J40" s="2043"/>
      <c r="K40" s="2043"/>
      <c r="L40" s="2043"/>
      <c r="M40" s="2043"/>
      <c r="N40" s="2043"/>
      <c r="O40" s="2043"/>
      <c r="P40" s="2043"/>
      <c r="Q40" s="2043"/>
      <c r="R40" s="2043"/>
      <c r="S40" s="2044"/>
      <c r="T40" s="2042"/>
      <c r="U40" s="2105"/>
      <c r="V40" s="2043"/>
      <c r="W40" s="2043"/>
      <c r="X40" s="2043"/>
      <c r="Y40" s="2043"/>
      <c r="Z40" s="2043"/>
      <c r="AA40" s="204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t="s">
        <v>2078</v>
      </c>
      <c r="B42" s="2023"/>
      <c r="C42" s="2024"/>
      <c r="D42" s="2022" t="s">
        <v>2079</v>
      </c>
      <c r="E42" s="2023"/>
      <c r="F42" s="2023"/>
      <c r="G42" s="2023"/>
      <c r="H42" s="2024"/>
      <c r="I42" s="2006"/>
      <c r="J42" s="2007"/>
      <c r="K42" s="2007"/>
      <c r="L42" s="2007"/>
      <c r="M42" s="2007"/>
      <c r="N42" s="2007"/>
      <c r="O42" s="2008"/>
      <c r="P42" s="2041"/>
      <c r="Q42" s="2007"/>
      <c r="R42" s="2007"/>
      <c r="S42" s="2008"/>
      <c r="T42" s="2006"/>
      <c r="U42" s="2007"/>
      <c r="V42" s="2007"/>
      <c r="W42" s="2008"/>
      <c r="X42" s="2041"/>
      <c r="Y42" s="2007"/>
      <c r="Z42" s="2007"/>
      <c r="AA42" s="200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11"/>
      <c r="J44" s="2012"/>
      <c r="K44" s="2012"/>
      <c r="L44" s="2012"/>
      <c r="M44" s="2012"/>
      <c r="N44" s="2012"/>
      <c r="O44" s="2012"/>
      <c r="P44" s="2012"/>
      <c r="Q44" s="2012"/>
      <c r="R44" s="2012"/>
      <c r="S44" s="2013"/>
      <c r="T44" s="2011"/>
      <c r="U44" s="2030"/>
      <c r="V44" s="2030"/>
      <c r="W44" s="2030"/>
      <c r="X44" s="2030"/>
      <c r="Y44" s="2030"/>
      <c r="Z44" s="2012"/>
      <c r="AA44" s="201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43" sqref="D43"/>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45" t="s">
        <v>1800</v>
      </c>
      <c r="B2" s="1528" t="s">
        <v>1947</v>
      </c>
      <c r="C2" s="714" t="s">
        <v>1948</v>
      </c>
      <c r="D2" s="714" t="s">
        <v>1949</v>
      </c>
      <c r="E2" s="714" t="s">
        <v>1950</v>
      </c>
      <c r="F2" s="714" t="s">
        <v>1951</v>
      </c>
    </row>
    <row r="3" spans="1:6" ht="12" customHeight="1" x14ac:dyDescent="0.2">
      <c r="A3" s="2246"/>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5" colorId="8" zoomScale="110" zoomScaleNormal="110" workbookViewId="0">
      <selection activeCell="D43" sqref="D4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67" t="s">
        <v>629</v>
      </c>
      <c r="B1" s="2265"/>
      <c r="C1" s="721"/>
    </row>
    <row r="2" spans="1:7" ht="33.75" x14ac:dyDescent="0.2">
      <c r="A2" s="2272" t="s">
        <v>1800</v>
      </c>
      <c r="B2" s="2273"/>
      <c r="C2" s="1884" t="s">
        <v>1952</v>
      </c>
      <c r="D2" s="723" t="s">
        <v>1953</v>
      </c>
      <c r="E2" s="723" t="s">
        <v>1954</v>
      </c>
      <c r="F2" s="1884" t="s">
        <v>1955</v>
      </c>
    </row>
    <row r="3" spans="1:7" ht="15.75" customHeight="1" x14ac:dyDescent="0.2">
      <c r="A3" s="2274" t="s">
        <v>1114</v>
      </c>
      <c r="B3" s="2275"/>
      <c r="C3" s="2268"/>
      <c r="D3" s="2269"/>
      <c r="E3" s="2269"/>
      <c r="F3" s="2270"/>
    </row>
    <row r="4" spans="1:7" ht="12.75" customHeight="1" thickBot="1" x14ac:dyDescent="0.25">
      <c r="A4" s="2262" t="s">
        <v>630</v>
      </c>
      <c r="B4" s="2263"/>
      <c r="C4" s="581"/>
      <c r="D4" s="581"/>
      <c r="E4" s="581"/>
      <c r="F4" s="1755">
        <f>SUM(C4+D4)-E4</f>
        <v>0</v>
      </c>
    </row>
    <row r="5" spans="1:7" ht="15.75" customHeight="1" thickTop="1" x14ac:dyDescent="0.2">
      <c r="A5" s="2266" t="s">
        <v>1110</v>
      </c>
      <c r="B5" s="2261"/>
      <c r="C5" s="2255"/>
      <c r="D5" s="2256"/>
      <c r="E5" s="2256"/>
      <c r="F5" s="225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58" t="s">
        <v>631</v>
      </c>
      <c r="B15" s="2259"/>
      <c r="C15" s="1755">
        <f>SUM(C6:C14)</f>
        <v>0</v>
      </c>
      <c r="D15" s="1755">
        <f>SUM(D6:D14)</f>
        <v>0</v>
      </c>
      <c r="E15" s="1755">
        <f>SUM(E6:E14)</f>
        <v>0</v>
      </c>
      <c r="F15" s="1755">
        <f>SUM(F6:F14)</f>
        <v>0</v>
      </c>
      <c r="G15" s="552"/>
    </row>
    <row r="16" spans="1:7" s="202" customFormat="1" ht="15.75" customHeight="1" thickTop="1" x14ac:dyDescent="0.2">
      <c r="A16" s="2271" t="s">
        <v>1111</v>
      </c>
      <c r="B16" s="2261"/>
      <c r="C16" s="2255"/>
      <c r="D16" s="2256"/>
      <c r="E16" s="2256"/>
      <c r="F16" s="2257"/>
    </row>
    <row r="17" spans="1:11" ht="12.75" customHeight="1" thickBot="1" x14ac:dyDescent="0.25">
      <c r="A17" s="2253" t="s">
        <v>64</v>
      </c>
      <c r="B17" s="2254"/>
      <c r="C17" s="726"/>
      <c r="D17" s="585"/>
      <c r="E17" s="726"/>
      <c r="F17" s="1755">
        <f>SUM(C17+D17)-E17</f>
        <v>0</v>
      </c>
    </row>
    <row r="18" spans="1:11" ht="12.75" customHeight="1" thickTop="1" thickBot="1" x14ac:dyDescent="0.25">
      <c r="A18" s="2253" t="s">
        <v>6</v>
      </c>
      <c r="B18" s="2254"/>
      <c r="C18" s="726"/>
      <c r="D18" s="585"/>
      <c r="E18" s="726"/>
      <c r="F18" s="1755">
        <f>SUM(C18+D18)-E18</f>
        <v>0</v>
      </c>
    </row>
    <row r="19" spans="1:11" ht="12.75" customHeight="1" thickTop="1" thickBot="1" x14ac:dyDescent="0.25">
      <c r="A19" s="2253" t="s">
        <v>388</v>
      </c>
      <c r="B19" s="2254"/>
      <c r="C19" s="726"/>
      <c r="D19" s="585"/>
      <c r="E19" s="726"/>
      <c r="F19" s="1755">
        <f>SUM(C19+D19)-E19</f>
        <v>0</v>
      </c>
    </row>
    <row r="20" spans="1:11" ht="12.75" customHeight="1" thickTop="1" thickBot="1" x14ac:dyDescent="0.25">
      <c r="A20" s="2253" t="s">
        <v>448</v>
      </c>
      <c r="B20" s="2254"/>
      <c r="C20" s="726"/>
      <c r="D20" s="585"/>
      <c r="E20" s="726"/>
      <c r="F20" s="1755">
        <f>SUM(C20+D20)-E20</f>
        <v>0</v>
      </c>
    </row>
    <row r="21" spans="1:11" ht="14.25" thickTop="1" thickBot="1" x14ac:dyDescent="0.25">
      <c r="A21" s="2258" t="s">
        <v>632</v>
      </c>
      <c r="B21" s="2259"/>
      <c r="C21" s="1755">
        <f>SUM(C17:C20)</f>
        <v>0</v>
      </c>
      <c r="D21" s="1755">
        <f>SUM(D17:D20)</f>
        <v>0</v>
      </c>
      <c r="E21" s="1755">
        <f>SUM(E17:E20)</f>
        <v>0</v>
      </c>
      <c r="F21" s="1755">
        <f>SUM(F17:F20)</f>
        <v>0</v>
      </c>
      <c r="G21" s="552"/>
    </row>
    <row r="22" spans="1:11" ht="15.75" customHeight="1" thickTop="1" x14ac:dyDescent="0.2">
      <c r="A22" s="2260" t="s">
        <v>1112</v>
      </c>
      <c r="B22" s="2261"/>
      <c r="C22" s="2255"/>
      <c r="D22" s="2256"/>
      <c r="E22" s="2256"/>
      <c r="F22" s="2257"/>
    </row>
    <row r="23" spans="1:11" ht="13.5" thickBot="1" x14ac:dyDescent="0.25">
      <c r="A23" s="2262" t="s">
        <v>633</v>
      </c>
      <c r="B23" s="2263"/>
      <c r="C23" s="581"/>
      <c r="D23" s="581"/>
      <c r="E23" s="581"/>
      <c r="F23" s="1755">
        <f>SUM(C23+D23)-E23</f>
        <v>0</v>
      </c>
      <c r="G23" s="552"/>
    </row>
    <row r="24" spans="1:11" ht="15.75" customHeight="1" thickTop="1" x14ac:dyDescent="0.2">
      <c r="A24" s="2260" t="s">
        <v>1113</v>
      </c>
      <c r="B24" s="2261"/>
      <c r="C24" s="2255"/>
      <c r="D24" s="2256"/>
      <c r="E24" s="2256"/>
      <c r="F24" s="2257"/>
    </row>
    <row r="25" spans="1:11" ht="13.5" thickBot="1" x14ac:dyDescent="0.25">
      <c r="A25" s="2262" t="s">
        <v>634</v>
      </c>
      <c r="B25" s="2263"/>
      <c r="C25" s="581"/>
      <c r="D25" s="581"/>
      <c r="E25" s="581"/>
      <c r="F25" s="1755">
        <f>SUM(C25+D25)-E25</f>
        <v>0</v>
      </c>
      <c r="G25" s="552"/>
    </row>
    <row r="26" spans="1:11" ht="15.75" customHeight="1" thickTop="1" x14ac:dyDescent="0.2">
      <c r="A26" s="2266" t="s">
        <v>657</v>
      </c>
      <c r="B26" s="2261"/>
      <c r="C26" s="727"/>
      <c r="D26" s="727"/>
      <c r="E26" s="727"/>
      <c r="F26" s="728"/>
    </row>
    <row r="27" spans="1:11" ht="13.5" thickBot="1" x14ac:dyDescent="0.25">
      <c r="A27" s="2258" t="s">
        <v>1070</v>
      </c>
      <c r="B27" s="2259"/>
      <c r="C27" s="585">
        <v>21330</v>
      </c>
      <c r="D27" s="585">
        <v>946</v>
      </c>
      <c r="E27" s="585"/>
      <c r="F27" s="1755">
        <f>SUM(C27+D27)-E27</f>
        <v>22276</v>
      </c>
      <c r="G27" s="552"/>
    </row>
    <row r="28" spans="1:11" ht="7.5" customHeight="1" thickTop="1" x14ac:dyDescent="0.2">
      <c r="A28" s="593"/>
    </row>
    <row r="29" spans="1:11" ht="23.25" customHeight="1" x14ac:dyDescent="0.2">
      <c r="A29" s="2264" t="s">
        <v>582</v>
      </c>
      <c r="B29" s="2265"/>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1908</v>
      </c>
      <c r="H30" s="1885" t="s">
        <v>1958</v>
      </c>
      <c r="I30" s="1885" t="s">
        <v>1959</v>
      </c>
      <c r="J30" s="1886" t="s">
        <v>2</v>
      </c>
      <c r="K30" s="731"/>
    </row>
    <row r="31" spans="1:11" ht="12" customHeight="1" x14ac:dyDescent="0.2">
      <c r="A31" s="732" t="s">
        <v>2163</v>
      </c>
      <c r="B31" s="733">
        <v>41557</v>
      </c>
      <c r="C31" s="734">
        <v>3</v>
      </c>
      <c r="D31" s="735">
        <v>2155000</v>
      </c>
      <c r="E31" s="734">
        <v>1280000</v>
      </c>
      <c r="F31" s="734"/>
      <c r="G31" s="734"/>
      <c r="H31" s="734">
        <v>305000</v>
      </c>
      <c r="I31" s="1756">
        <f>((E31+F31)-H31)+G31</f>
        <v>975000</v>
      </c>
      <c r="J31" s="734">
        <f>975000-53493</f>
        <v>921507</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v>
      </c>
      <c r="D49" s="745"/>
      <c r="E49" s="1756">
        <f t="shared" ref="E49:J49" si="2">SUM(E31:E48)</f>
        <v>1280000</v>
      </c>
      <c r="F49" s="1756">
        <f t="shared" si="2"/>
        <v>0</v>
      </c>
      <c r="G49" s="1756">
        <f t="shared" si="2"/>
        <v>0</v>
      </c>
      <c r="H49" s="1756">
        <f t="shared" si="2"/>
        <v>305000</v>
      </c>
      <c r="I49" s="1756">
        <f t="shared" si="2"/>
        <v>975000</v>
      </c>
      <c r="J49" s="1756">
        <f t="shared" si="2"/>
        <v>921507</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47" t="s">
        <v>584</v>
      </c>
      <c r="C52" s="2248"/>
      <c r="D52" s="2248"/>
      <c r="E52" s="749" t="s">
        <v>845</v>
      </c>
      <c r="F52" s="2249"/>
      <c r="G52" s="2250"/>
      <c r="H52" s="736"/>
      <c r="I52" s="736"/>
      <c r="J52" s="746"/>
    </row>
    <row r="53" spans="1:11" ht="11.25" customHeight="1" x14ac:dyDescent="0.2">
      <c r="A53" s="750" t="s">
        <v>913</v>
      </c>
      <c r="B53" s="751" t="s">
        <v>951</v>
      </c>
      <c r="C53" s="746"/>
      <c r="D53" s="737"/>
      <c r="E53" s="749" t="s">
        <v>497</v>
      </c>
      <c r="F53" s="2251"/>
      <c r="G53" s="2252"/>
      <c r="H53" s="736"/>
      <c r="I53" s="736"/>
      <c r="J53" s="746"/>
    </row>
    <row r="54" spans="1:11" ht="11.25" customHeight="1" x14ac:dyDescent="0.2">
      <c r="A54" s="752" t="s">
        <v>914</v>
      </c>
      <c r="B54" s="747" t="s">
        <v>952</v>
      </c>
      <c r="C54" s="746"/>
      <c r="D54" s="737"/>
      <c r="E54" s="749" t="s">
        <v>498</v>
      </c>
      <c r="F54" s="2251"/>
      <c r="G54" s="225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D43" sqref="D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6" t="s">
        <v>856</v>
      </c>
      <c r="B1" s="2277"/>
      <c r="C1" s="2277"/>
      <c r="D1" s="2277"/>
      <c r="E1" s="2277"/>
      <c r="F1" s="2277"/>
      <c r="G1" s="2278"/>
      <c r="H1" s="1530"/>
      <c r="I1" s="760"/>
      <c r="J1" s="433"/>
    </row>
    <row r="2" spans="1:11" ht="26.25" x14ac:dyDescent="0.2">
      <c r="A2" s="2295" t="s">
        <v>1677</v>
      </c>
      <c r="B2" s="2296"/>
      <c r="C2" s="2296"/>
      <c r="D2" s="2296"/>
      <c r="E2" s="2297"/>
      <c r="F2" s="761" t="s">
        <v>904</v>
      </c>
      <c r="G2" s="762" t="s">
        <v>1674</v>
      </c>
      <c r="H2" s="762" t="s">
        <v>410</v>
      </c>
      <c r="I2" s="762" t="s">
        <v>1158</v>
      </c>
      <c r="J2" s="762" t="s">
        <v>1810</v>
      </c>
      <c r="K2" s="762" t="s">
        <v>138</v>
      </c>
    </row>
    <row r="3" spans="1:11" x14ac:dyDescent="0.2">
      <c r="A3" s="2298" t="s">
        <v>1960</v>
      </c>
      <c r="B3" s="2299"/>
      <c r="C3" s="2299"/>
      <c r="D3" s="2299"/>
      <c r="E3" s="2300"/>
      <c r="F3" s="763"/>
      <c r="G3" s="764"/>
      <c r="H3" s="764"/>
      <c r="I3" s="764"/>
      <c r="J3" s="765"/>
      <c r="K3" s="765"/>
    </row>
    <row r="4" spans="1:11" x14ac:dyDescent="0.2">
      <c r="A4" s="2301" t="s">
        <v>369</v>
      </c>
      <c r="B4" s="2302"/>
      <c r="C4" s="2302"/>
      <c r="D4" s="2302"/>
      <c r="E4" s="2248"/>
      <c r="F4" s="766"/>
      <c r="G4" s="767"/>
      <c r="H4" s="768"/>
      <c r="I4" s="767"/>
      <c r="J4" s="769"/>
      <c r="K4" s="769"/>
    </row>
    <row r="5" spans="1:11" x14ac:dyDescent="0.2">
      <c r="A5" s="2279" t="s">
        <v>1069</v>
      </c>
      <c r="B5" s="2280"/>
      <c r="C5" s="2280"/>
      <c r="D5" s="2280"/>
      <c r="E5" s="228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79" t="s">
        <v>1811</v>
      </c>
      <c r="B10" s="2280"/>
      <c r="C10" s="2280"/>
      <c r="D10" s="2280"/>
      <c r="E10" s="2282"/>
      <c r="F10" s="783" t="s">
        <v>862</v>
      </c>
      <c r="G10" s="782"/>
      <c r="H10" s="784"/>
      <c r="I10" s="764"/>
      <c r="J10" s="765"/>
      <c r="K10" s="765"/>
    </row>
    <row r="11" spans="1:11" x14ac:dyDescent="0.2">
      <c r="A11" s="2279" t="s">
        <v>160</v>
      </c>
      <c r="B11" s="2280"/>
      <c r="C11" s="2280"/>
      <c r="D11" s="2280"/>
      <c r="E11" s="2281"/>
      <c r="F11" s="770" t="s">
        <v>852</v>
      </c>
      <c r="G11" s="771"/>
      <c r="H11" s="764"/>
      <c r="I11" s="764"/>
      <c r="J11" s="765"/>
      <c r="K11" s="773"/>
    </row>
    <row r="12" spans="1:11" ht="13.5" thickBot="1" x14ac:dyDescent="0.25">
      <c r="A12" s="2306" t="s">
        <v>905</v>
      </c>
      <c r="B12" s="2307"/>
      <c r="C12" s="2307"/>
      <c r="D12" s="2307"/>
      <c r="E12" s="2308"/>
      <c r="F12" s="1757"/>
      <c r="G12" s="1758">
        <f>SUM(G5:G11)</f>
        <v>0</v>
      </c>
      <c r="H12" s="1758">
        <f>SUM(H5:H11)</f>
        <v>0</v>
      </c>
      <c r="I12" s="1758">
        <f>SUM(I5:I11)</f>
        <v>0</v>
      </c>
      <c r="J12" s="1758">
        <f>SUM(J5:J11)</f>
        <v>0</v>
      </c>
      <c r="K12" s="1758">
        <f>SUM(K5:K11)</f>
        <v>0</v>
      </c>
    </row>
    <row r="13" spans="1:11" ht="13.5" thickTop="1" x14ac:dyDescent="0.2">
      <c r="A13" s="2303" t="s">
        <v>370</v>
      </c>
      <c r="B13" s="2304"/>
      <c r="C13" s="2304"/>
      <c r="D13" s="2304"/>
      <c r="E13" s="2305"/>
      <c r="F13" s="785"/>
      <c r="G13" s="786"/>
      <c r="H13" s="787"/>
      <c r="I13" s="788"/>
      <c r="J13" s="788"/>
      <c r="K13" s="788"/>
    </row>
    <row r="14" spans="1:11" x14ac:dyDescent="0.2">
      <c r="A14" s="2286" t="s">
        <v>456</v>
      </c>
      <c r="B14" s="2286"/>
      <c r="C14" s="2286"/>
      <c r="D14" s="2286"/>
      <c r="E14" s="2287"/>
      <c r="F14" s="789" t="s">
        <v>854</v>
      </c>
      <c r="G14" s="782"/>
      <c r="H14" s="764"/>
      <c r="I14" s="771"/>
      <c r="J14" s="773"/>
      <c r="K14" s="765"/>
    </row>
    <row r="15" spans="1:11" x14ac:dyDescent="0.2">
      <c r="A15" s="2280" t="s">
        <v>4</v>
      </c>
      <c r="B15" s="2280"/>
      <c r="C15" s="2280"/>
      <c r="D15" s="2280"/>
      <c r="E15" s="2281"/>
      <c r="F15" s="789" t="s">
        <v>855</v>
      </c>
      <c r="G15" s="771"/>
      <c r="H15" s="764"/>
      <c r="I15" s="764"/>
      <c r="J15" s="765"/>
      <c r="K15" s="765"/>
    </row>
    <row r="16" spans="1:11" x14ac:dyDescent="0.2">
      <c r="A16" s="2280" t="s">
        <v>298</v>
      </c>
      <c r="B16" s="2280"/>
      <c r="C16" s="2280"/>
      <c r="D16" s="2280"/>
      <c r="E16" s="2281"/>
      <c r="F16" s="789" t="s">
        <v>923</v>
      </c>
      <c r="G16" s="772"/>
      <c r="H16" s="767"/>
      <c r="I16" s="767"/>
      <c r="J16" s="769"/>
      <c r="K16" s="769"/>
    </row>
    <row r="17" spans="1:11" x14ac:dyDescent="0.2">
      <c r="A17" s="2311" t="s">
        <v>935</v>
      </c>
      <c r="B17" s="2311"/>
      <c r="C17" s="2311"/>
      <c r="D17" s="2311"/>
      <c r="E17" s="2312"/>
      <c r="F17" s="790"/>
      <c r="G17" s="791"/>
      <c r="H17" s="792"/>
      <c r="I17" s="792"/>
      <c r="J17" s="793"/>
      <c r="K17" s="794"/>
    </row>
    <row r="18" spans="1:11" x14ac:dyDescent="0.2">
      <c r="A18" s="2290" t="s">
        <v>368</v>
      </c>
      <c r="B18" s="2291"/>
      <c r="C18" s="2291"/>
      <c r="D18" s="2291"/>
      <c r="E18" s="2292"/>
      <c r="F18" s="789" t="s">
        <v>932</v>
      </c>
      <c r="G18" s="782"/>
      <c r="H18" s="782"/>
      <c r="I18" s="782"/>
      <c r="J18" s="765"/>
      <c r="K18" s="795"/>
    </row>
    <row r="19" spans="1:11" ht="21.75" customHeight="1" x14ac:dyDescent="0.2">
      <c r="A19" s="2288" t="s">
        <v>1807</v>
      </c>
      <c r="B19" s="2288"/>
      <c r="C19" s="2288"/>
      <c r="D19" s="2288"/>
      <c r="E19" s="2289"/>
      <c r="F19" s="789" t="s">
        <v>933</v>
      </c>
      <c r="G19" s="782"/>
      <c r="H19" s="782"/>
      <c r="I19" s="782"/>
      <c r="J19" s="765"/>
      <c r="K19" s="795"/>
    </row>
    <row r="20" spans="1:11" x14ac:dyDescent="0.2">
      <c r="A20" s="2290" t="s">
        <v>1812</v>
      </c>
      <c r="B20" s="2291"/>
      <c r="C20" s="2291"/>
      <c r="D20" s="2291"/>
      <c r="E20" s="2292"/>
      <c r="F20" s="789" t="s">
        <v>934</v>
      </c>
      <c r="G20" s="782"/>
      <c r="H20" s="782"/>
      <c r="I20" s="782"/>
      <c r="J20" s="765"/>
      <c r="K20" s="795"/>
    </row>
    <row r="21" spans="1:11" ht="13.5" thickBot="1" x14ac:dyDescent="0.25">
      <c r="A21" s="2309" t="s">
        <v>638</v>
      </c>
      <c r="B21" s="2309"/>
      <c r="C21" s="2309"/>
      <c r="D21" s="2309"/>
      <c r="E21" s="2309"/>
      <c r="F21" s="1759"/>
      <c r="G21" s="792"/>
      <c r="H21" s="796"/>
      <c r="I21" s="796"/>
      <c r="J21" s="1760">
        <f>SUM(J18:J20)</f>
        <v>0</v>
      </c>
      <c r="K21" s="793"/>
    </row>
    <row r="22" spans="1:11" ht="13.5" thickTop="1" x14ac:dyDescent="0.2">
      <c r="A22" s="2280" t="s">
        <v>1813</v>
      </c>
      <c r="B22" s="2280"/>
      <c r="C22" s="2280"/>
      <c r="D22" s="2280"/>
      <c r="E22" s="2281"/>
      <c r="F22" s="789" t="s">
        <v>862</v>
      </c>
      <c r="G22" s="782"/>
      <c r="H22" s="764"/>
      <c r="I22" s="764"/>
      <c r="J22" s="797"/>
      <c r="K22" s="765"/>
    </row>
    <row r="23" spans="1:11" ht="13.5" thickBot="1" x14ac:dyDescent="0.25">
      <c r="A23" s="2310" t="s">
        <v>906</v>
      </c>
      <c r="B23" s="2309"/>
      <c r="C23" s="2309"/>
      <c r="D23" s="2309"/>
      <c r="E23" s="2309"/>
      <c r="F23" s="1761"/>
      <c r="G23" s="1758">
        <f>SUM(G14:G16,G21,G22)</f>
        <v>0</v>
      </c>
      <c r="H23" s="1758">
        <f>SUM(H14:H16,H21,H22)</f>
        <v>0</v>
      </c>
      <c r="I23" s="1758">
        <f>SUM(I14:I16,I21,I22)</f>
        <v>0</v>
      </c>
      <c r="J23" s="1758">
        <f>SUM(J14:J16,J21,J22)</f>
        <v>0</v>
      </c>
      <c r="K23" s="1758">
        <f>SUM(K14:K16,K21,K22)</f>
        <v>0</v>
      </c>
    </row>
    <row r="24" spans="1:11" ht="14.25" thickTop="1" thickBot="1" x14ac:dyDescent="0.25">
      <c r="A24" s="2310" t="s">
        <v>1961</v>
      </c>
      <c r="B24" s="2309"/>
      <c r="C24" s="2309"/>
      <c r="D24" s="2309"/>
      <c r="E24" s="230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83"/>
      <c r="I31" s="2284"/>
      <c r="J31" s="2284"/>
      <c r="K31" s="2284"/>
    </row>
    <row r="32" spans="1:11" x14ac:dyDescent="0.2">
      <c r="A32" s="809"/>
      <c r="B32" s="237"/>
      <c r="C32" s="237"/>
      <c r="D32" s="237"/>
      <c r="E32" s="805"/>
      <c r="F32" s="811" t="s">
        <v>540</v>
      </c>
      <c r="G32" s="764"/>
      <c r="H32" s="2285"/>
      <c r="I32" s="2284"/>
      <c r="J32" s="2284"/>
      <c r="K32" s="2284"/>
    </row>
    <row r="33" spans="1:11" ht="1.5" customHeight="1" x14ac:dyDescent="0.2">
      <c r="A33" s="812" t="s">
        <v>1169</v>
      </c>
      <c r="B33" s="364"/>
      <c r="C33" s="364"/>
      <c r="D33" s="364"/>
      <c r="E33" s="364"/>
      <c r="F33" s="364"/>
      <c r="G33" s="813"/>
      <c r="H33" s="2285"/>
      <c r="I33" s="2284"/>
      <c r="J33" s="2284"/>
      <c r="K33" s="2284"/>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80" t="s">
        <v>541</v>
      </c>
      <c r="B41" s="2293"/>
      <c r="C41" s="2293"/>
      <c r="D41" s="2293"/>
      <c r="E41" s="2293"/>
      <c r="F41" s="229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43" sqref="D4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15" t="s">
        <v>1906</v>
      </c>
      <c r="B1" s="2316"/>
      <c r="C1" s="2317"/>
      <c r="D1" s="826"/>
      <c r="E1" s="827"/>
      <c r="F1" s="827"/>
      <c r="G1" s="828"/>
      <c r="H1" s="829"/>
      <c r="I1" s="830"/>
      <c r="J1" s="2313"/>
      <c r="K1" s="2314"/>
      <c r="L1" s="2314"/>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806287</v>
      </c>
      <c r="D5" s="841"/>
      <c r="E5" s="841"/>
      <c r="F5" s="1760">
        <f>(C5+D5)-E5</f>
        <v>806287</v>
      </c>
      <c r="G5" s="837"/>
      <c r="H5" s="842"/>
      <c r="I5" s="842"/>
      <c r="J5" s="842"/>
      <c r="K5" s="793"/>
      <c r="L5" s="1769">
        <f>F5-K5</f>
        <v>806287</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7528302</v>
      </c>
      <c r="D8" s="844">
        <v>338379</v>
      </c>
      <c r="E8" s="844"/>
      <c r="F8" s="1760">
        <f>(C8+D8)-E8</f>
        <v>7866681</v>
      </c>
      <c r="G8" s="843">
        <v>50</v>
      </c>
      <c r="H8" s="765">
        <v>2348054</v>
      </c>
      <c r="I8" s="765">
        <f>166777-2722</f>
        <v>164055</v>
      </c>
      <c r="J8" s="765"/>
      <c r="K8" s="1769">
        <f>(H8+I8)-J8</f>
        <v>2512109</v>
      </c>
      <c r="L8" s="1769">
        <f>F8-K8</f>
        <v>5354572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v>1573808</v>
      </c>
      <c r="D13" s="844"/>
      <c r="E13" s="844"/>
      <c r="F13" s="1760">
        <f>(C13+D13)-E13</f>
        <v>1573808</v>
      </c>
      <c r="G13" s="843">
        <v>5</v>
      </c>
      <c r="H13" s="765">
        <v>1564980</v>
      </c>
      <c r="I13" s="765">
        <v>2722</v>
      </c>
      <c r="J13" s="765"/>
      <c r="K13" s="1769">
        <f>(H13+I13)-J13</f>
        <v>1567702</v>
      </c>
      <c r="L13" s="1769">
        <f>F13-K13</f>
        <v>6106</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9908397</v>
      </c>
      <c r="D16" s="1760">
        <f>SUM(D3,D5:D6,D8:D10,D12:D15)</f>
        <v>338379</v>
      </c>
      <c r="E16" s="1760">
        <f>SUM(E3,E5:E6,E8:E10,E12:E15)</f>
        <v>0</v>
      </c>
      <c r="F16" s="1760">
        <f>SUM(F3,F5:F6,F8:F10,F12:F15)</f>
        <v>10246776</v>
      </c>
      <c r="G16" s="843"/>
      <c r="H16" s="1760">
        <f>SUM(H3,H6,H8:H10,H12:H14,)</f>
        <v>3913034</v>
      </c>
      <c r="I16" s="1760">
        <f>SUM(I3,I6,I8:I10,I12:I14,)</f>
        <v>166777</v>
      </c>
      <c r="J16" s="1760">
        <f>SUM(J3,J6,J8:J10,J12:J14,)</f>
        <v>0</v>
      </c>
      <c r="K16" s="1760">
        <f>(H16+I16)-J16</f>
        <v>4079811</v>
      </c>
      <c r="L16" s="1760">
        <f>F16-K16</f>
        <v>6166965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105468</v>
      </c>
      <c r="G17" s="837">
        <v>10</v>
      </c>
      <c r="H17" s="769"/>
      <c r="I17" s="1769">
        <f>F17/G17</f>
        <v>10546.8</v>
      </c>
      <c r="J17" s="769"/>
      <c r="K17" s="795"/>
      <c r="L17" s="795"/>
    </row>
    <row r="18" spans="1:12" ht="14.25" thickTop="1" thickBot="1" x14ac:dyDescent="0.25">
      <c r="A18" s="1767" t="s">
        <v>685</v>
      </c>
      <c r="B18" s="1768"/>
      <c r="C18" s="771"/>
      <c r="D18" s="771"/>
      <c r="E18" s="771"/>
      <c r="F18" s="850"/>
      <c r="G18" s="851"/>
      <c r="H18" s="773"/>
      <c r="I18" s="1760">
        <f>SUM(I16,I17)</f>
        <v>177323.8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57" activePane="bottomLeft" state="frozen"/>
      <selection activeCell="D43" sqref="D43"/>
      <selection pane="bottomLeft" activeCell="D43" sqref="D4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21" t="s">
        <v>1971</v>
      </c>
      <c r="B1" s="2322"/>
      <c r="C1" s="2322"/>
      <c r="D1" s="2322"/>
      <c r="E1" s="2322"/>
      <c r="F1" s="2323"/>
      <c r="G1" s="855"/>
    </row>
    <row r="2" spans="1:7" ht="15" customHeight="1" thickBot="1" x14ac:dyDescent="0.25">
      <c r="A2" s="2324" t="s">
        <v>477</v>
      </c>
      <c r="B2" s="2325"/>
      <c r="C2" s="2325"/>
      <c r="D2" s="2325"/>
      <c r="E2" s="2325"/>
      <c r="F2" s="232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27"/>
      <c r="B5" s="2328"/>
      <c r="C5" s="2328"/>
      <c r="D5" s="2328"/>
      <c r="E5" s="2328"/>
      <c r="F5" s="2328"/>
    </row>
    <row r="6" spans="1:7" ht="13.5" customHeight="1" thickBot="1" x14ac:dyDescent="0.25">
      <c r="A6" s="2318" t="s">
        <v>1104</v>
      </c>
      <c r="B6" s="2319"/>
      <c r="C6" s="2319"/>
      <c r="D6" s="2319"/>
      <c r="E6" s="2319"/>
      <c r="F6" s="232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18878032</v>
      </c>
      <c r="G8" s="865"/>
    </row>
    <row r="9" spans="1:7" x14ac:dyDescent="0.2">
      <c r="A9" s="869" t="s">
        <v>460</v>
      </c>
      <c r="B9" s="870" t="s">
        <v>1874</v>
      </c>
      <c r="C9" s="871"/>
      <c r="D9" s="869" t="s">
        <v>501</v>
      </c>
      <c r="E9" s="868"/>
      <c r="F9" s="1909">
        <f>'Expenditures 15-22'!K151</f>
        <v>0</v>
      </c>
      <c r="G9" s="872"/>
    </row>
    <row r="10" spans="1:7" x14ac:dyDescent="0.2">
      <c r="A10" s="869" t="s">
        <v>499</v>
      </c>
      <c r="B10" s="870" t="s">
        <v>1875</v>
      </c>
      <c r="C10" s="871"/>
      <c r="D10" s="869" t="s">
        <v>501</v>
      </c>
      <c r="E10" s="868"/>
      <c r="F10" s="1909">
        <f>'Expenditures 15-22'!K174</f>
        <v>341352</v>
      </c>
      <c r="G10" s="872"/>
    </row>
    <row r="11" spans="1:7" x14ac:dyDescent="0.2">
      <c r="A11" s="869" t="s">
        <v>461</v>
      </c>
      <c r="B11" s="870" t="s">
        <v>1876</v>
      </c>
      <c r="C11" s="871"/>
      <c r="D11" s="869" t="s">
        <v>501</v>
      </c>
      <c r="E11" s="868"/>
      <c r="F11" s="1909">
        <f>'Expenditures 15-22'!K210</f>
        <v>0</v>
      </c>
      <c r="G11" s="872"/>
    </row>
    <row r="12" spans="1:7" x14ac:dyDescent="0.2">
      <c r="A12" s="869" t="s">
        <v>462</v>
      </c>
      <c r="B12" s="870" t="s">
        <v>1877</v>
      </c>
      <c r="C12" s="871"/>
      <c r="D12" s="869" t="s">
        <v>501</v>
      </c>
      <c r="E12" s="868"/>
      <c r="F12" s="1909">
        <f>'Expenditures 15-22'!K295</f>
        <v>0</v>
      </c>
      <c r="G12" s="872"/>
    </row>
    <row r="13" spans="1:7" x14ac:dyDescent="0.2">
      <c r="A13" s="869" t="s">
        <v>106</v>
      </c>
      <c r="B13" s="870" t="s">
        <v>1878</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19219384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71527</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2621</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6089720</v>
      </c>
      <c r="G53" s="865"/>
    </row>
    <row r="54" spans="1:7" x14ac:dyDescent="0.2">
      <c r="A54" s="869" t="s">
        <v>459</v>
      </c>
      <c r="B54" s="869" t="s">
        <v>1476</v>
      </c>
      <c r="C54" s="889" t="s">
        <v>982</v>
      </c>
      <c r="D54" s="885" t="s">
        <v>1095</v>
      </c>
      <c r="E54" s="868"/>
      <c r="F54" s="1913">
        <f>'Expenditures 15-22'!G114</f>
        <v>338379</v>
      </c>
      <c r="G54" s="865"/>
    </row>
    <row r="55" spans="1:7" x14ac:dyDescent="0.2">
      <c r="A55" s="869" t="s">
        <v>459</v>
      </c>
      <c r="B55" s="869" t="s">
        <v>1477</v>
      </c>
      <c r="C55" s="889" t="s">
        <v>982</v>
      </c>
      <c r="D55" s="885" t="s">
        <v>291</v>
      </c>
      <c r="E55" s="868"/>
      <c r="F55" s="1913">
        <f>'Expenditures 15-22'!I114</f>
        <v>105468</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305000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6912715</v>
      </c>
      <c r="G76" s="865"/>
    </row>
    <row r="77" spans="1:8" s="893" customFormat="1" ht="12" customHeight="1" thickTop="1" thickBot="1" x14ac:dyDescent="0.25">
      <c r="A77" s="1779"/>
      <c r="B77" s="1776"/>
      <c r="C77" s="1772"/>
      <c r="D77" s="1777" t="s">
        <v>1897</v>
      </c>
      <c r="E77" s="1774"/>
      <c r="F77" s="1780">
        <f>(F14-F76)</f>
        <v>12306669</v>
      </c>
      <c r="G77" s="869"/>
    </row>
    <row r="78" spans="1:8" s="893" customFormat="1" ht="12" customHeight="1" thickTop="1" x14ac:dyDescent="0.2">
      <c r="A78" s="1781"/>
      <c r="B78" s="1776"/>
      <c r="C78" s="1772"/>
      <c r="D78" s="1777" t="s">
        <v>2058</v>
      </c>
      <c r="E78" s="1774"/>
      <c r="F78" s="898">
        <v>0</v>
      </c>
      <c r="G78" s="899"/>
      <c r="H78" s="869"/>
    </row>
    <row r="79" spans="1:8" s="893" customFormat="1" ht="12" customHeight="1" thickBot="1" x14ac:dyDescent="0.25">
      <c r="A79" s="1782"/>
      <c r="B79" s="1776"/>
      <c r="C79" s="1772"/>
      <c r="D79" s="1777" t="s">
        <v>1898</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318" t="s">
        <v>1105</v>
      </c>
      <c r="B81" s="2319"/>
      <c r="C81" s="2319"/>
      <c r="D81" s="2319"/>
      <c r="E81" s="2319"/>
      <c r="F81" s="232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4682</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155884</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1815556</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341349</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0</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1645</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0</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0</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97743</v>
      </c>
      <c r="G125" s="930"/>
    </row>
    <row r="126" spans="1:7" x14ac:dyDescent="0.2">
      <c r="A126" s="927" t="s">
        <v>668</v>
      </c>
      <c r="B126" s="927" t="s">
        <v>2020</v>
      </c>
      <c r="C126" s="932">
        <v>4300</v>
      </c>
      <c r="D126" s="933" t="str">
        <f>'Revenues 9-14'!A204</f>
        <v>Total Title I</v>
      </c>
      <c r="E126" s="906"/>
      <c r="F126" s="1789">
        <f>SUM('Revenues 9-14'!C204,'Revenues 9-14'!D204,'Revenues 9-14'!F204,'Revenues 9-14'!G204)</f>
        <v>0</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1621815</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94514</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360957</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4494145</v>
      </c>
    </row>
    <row r="175" spans="1:7" ht="12" customHeight="1" x14ac:dyDescent="0.2">
      <c r="A175" s="1770"/>
      <c r="B175" s="1784"/>
      <c r="C175" s="1785"/>
      <c r="D175" s="1786" t="s">
        <v>2053</v>
      </c>
      <c r="E175" s="1787"/>
      <c r="F175" s="1789">
        <f>'PCTC-OEPP 27-28'!F77-F174</f>
        <v>7812524</v>
      </c>
    </row>
    <row r="176" spans="1:7" ht="12" customHeight="1" x14ac:dyDescent="0.2">
      <c r="A176" s="1770"/>
      <c r="B176" s="1784"/>
      <c r="C176" s="1785"/>
      <c r="D176" s="1786" t="s">
        <v>1815</v>
      </c>
      <c r="E176" s="1787"/>
      <c r="F176" s="1789">
        <f>'Cap Outlay Deprec 26'!I18</f>
        <v>177323.8</v>
      </c>
    </row>
    <row r="177" spans="1:7" ht="12" customHeight="1" x14ac:dyDescent="0.2">
      <c r="A177" s="1770"/>
      <c r="B177" s="1784"/>
      <c r="C177" s="1785"/>
      <c r="D177" s="1786" t="s">
        <v>2054</v>
      </c>
      <c r="E177" s="1787"/>
      <c r="F177" s="1789">
        <f>F175+F176</f>
        <v>7989847.7999999998</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2055</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7" zoomScaleNormal="100" workbookViewId="0">
      <selection activeCell="D43" sqref="D43"/>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332" t="s">
        <v>1816</v>
      </c>
      <c r="B4" s="2333"/>
      <c r="C4" s="2333"/>
      <c r="D4" s="2333"/>
      <c r="E4" s="2333"/>
      <c r="F4" s="2333"/>
      <c r="G4" s="2334"/>
    </row>
    <row r="5" spans="1:7" x14ac:dyDescent="0.25">
      <c r="A5" s="2335"/>
      <c r="B5" s="2336"/>
      <c r="C5" s="2336"/>
      <c r="D5" s="2336"/>
      <c r="E5" s="2336"/>
      <c r="F5" s="2336"/>
      <c r="G5" s="2337"/>
    </row>
    <row r="6" spans="1:7" ht="18.75" x14ac:dyDescent="0.25">
      <c r="A6" s="1938" t="s">
        <v>2062</v>
      </c>
      <c r="B6" s="1939"/>
      <c r="C6" s="1939"/>
      <c r="D6" s="1939"/>
      <c r="E6" s="1939"/>
      <c r="F6" s="1939"/>
      <c r="G6" s="1940"/>
    </row>
    <row r="7" spans="1:7" ht="18.75" x14ac:dyDescent="0.25">
      <c r="A7" s="1534" t="s">
        <v>1817</v>
      </c>
      <c r="B7" s="1535"/>
      <c r="C7" s="1535"/>
      <c r="D7" s="1535"/>
      <c r="E7" s="1535"/>
      <c r="F7" s="1535"/>
      <c r="G7" s="1536"/>
    </row>
    <row r="8" spans="1:7" ht="30.75" customHeight="1" x14ac:dyDescent="0.25">
      <c r="A8" s="2338" t="s">
        <v>1929</v>
      </c>
      <c r="B8" s="2339"/>
      <c r="C8" s="2339"/>
      <c r="D8" s="2339"/>
      <c r="E8" s="2339"/>
      <c r="F8" s="2339"/>
      <c r="G8" s="2340"/>
    </row>
    <row r="9" spans="1:7" ht="15.75" customHeight="1" x14ac:dyDescent="0.25">
      <c r="A9" s="2341" t="s">
        <v>1904</v>
      </c>
      <c r="B9" s="2342"/>
      <c r="C9" s="2342"/>
      <c r="D9" s="2342"/>
      <c r="E9" s="2342"/>
      <c r="F9" s="2342"/>
      <c r="G9" s="2343"/>
    </row>
    <row r="10" spans="1:7" ht="35.25" customHeight="1" x14ac:dyDescent="0.25">
      <c r="A10" s="2338" t="s">
        <v>2061</v>
      </c>
      <c r="B10" s="2339"/>
      <c r="C10" s="2339"/>
      <c r="D10" s="2339"/>
      <c r="E10" s="2339"/>
      <c r="F10" s="2339"/>
      <c r="G10" s="2340"/>
    </row>
    <row r="11" spans="1:7" ht="15" customHeight="1" x14ac:dyDescent="0.25">
      <c r="A11" s="1537" t="s">
        <v>1818</v>
      </c>
      <c r="B11" s="1538"/>
      <c r="C11" s="1538"/>
      <c r="D11" s="1538"/>
      <c r="E11" s="1538"/>
      <c r="F11" s="1538"/>
      <c r="G11" s="1539"/>
    </row>
    <row r="12" spans="1:7" ht="17.25" customHeight="1" x14ac:dyDescent="0.25">
      <c r="A12" s="2338" t="s">
        <v>1931</v>
      </c>
      <c r="B12" s="2339"/>
      <c r="C12" s="2339"/>
      <c r="D12" s="2339"/>
      <c r="E12" s="2339"/>
      <c r="F12" s="2339"/>
      <c r="G12" s="2340"/>
    </row>
    <row r="13" spans="1:7" ht="15" customHeight="1" x14ac:dyDescent="0.25">
      <c r="A13" s="1537" t="s">
        <v>1823</v>
      </c>
      <c r="B13" s="1538"/>
      <c r="C13" s="1538"/>
      <c r="D13" s="1538"/>
      <c r="E13" s="1538"/>
      <c r="F13" s="1538"/>
      <c r="G13" s="1539"/>
    </row>
    <row r="14" spans="1:7" ht="32.25" customHeight="1" x14ac:dyDescent="0.25">
      <c r="A14" s="2329" t="s">
        <v>1972</v>
      </c>
      <c r="B14" s="2330"/>
      <c r="C14" s="2330"/>
      <c r="D14" s="2330"/>
      <c r="E14" s="2330"/>
      <c r="F14" s="2330"/>
      <c r="G14" s="2331"/>
    </row>
    <row r="15" spans="1:7" x14ac:dyDescent="0.25">
      <c r="A15" s="1661" t="s">
        <v>1831</v>
      </c>
      <c r="B15" s="1662"/>
      <c r="C15" s="1662"/>
      <c r="D15" s="1662"/>
      <c r="E15" s="1662"/>
      <c r="F15" s="1662"/>
      <c r="G15" s="1663"/>
    </row>
    <row r="16" spans="1:7" ht="61.5" customHeight="1" x14ac:dyDescent="0.25">
      <c r="A16" s="1546" t="s">
        <v>1824</v>
      </c>
      <c r="B16" s="1546" t="s">
        <v>1825</v>
      </c>
      <c r="C16" s="1546" t="s">
        <v>1826</v>
      </c>
      <c r="D16" s="1547" t="s">
        <v>1827</v>
      </c>
      <c r="E16" s="1547" t="s">
        <v>1819</v>
      </c>
      <c r="F16" s="1547" t="s">
        <v>1828</v>
      </c>
      <c r="G16" s="1547" t="s">
        <v>1829</v>
      </c>
    </row>
    <row r="17" spans="1:8" x14ac:dyDescent="0.25">
      <c r="A17" s="1648" t="s">
        <v>1832</v>
      </c>
      <c r="B17" s="1649" t="s">
        <v>1822</v>
      </c>
      <c r="C17" s="1650" t="s">
        <v>1820</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51" t="s">
        <v>2164</v>
      </c>
      <c r="B18" s="1936" t="s">
        <v>2165</v>
      </c>
      <c r="C18" s="1952" t="s">
        <v>2068</v>
      </c>
      <c r="D18" s="1844">
        <v>15000</v>
      </c>
      <c r="E18" s="1540">
        <f t="shared" ref="E18:E142" si="0">IF(D18&lt;=25000,D18,IF(D18&gt;25000,25000,0))</f>
        <v>15000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15000</v>
      </c>
      <c r="G18" s="1793">
        <f>IF(F18=0,0,D18-F18)</f>
        <v>0</v>
      </c>
      <c r="H18" s="1647"/>
    </row>
    <row r="19" spans="1:8" x14ac:dyDescent="0.25">
      <c r="A19" s="1951" t="s">
        <v>2166</v>
      </c>
      <c r="B19" s="1936" t="s">
        <v>2167</v>
      </c>
      <c r="C19" s="1952" t="s">
        <v>2168</v>
      </c>
      <c r="D19" s="1844">
        <v>61532</v>
      </c>
      <c r="E19" s="1540">
        <f t="shared" ref="E19:E141" si="2">IF(D19&lt;=25000,D19,IF(D19&gt;25000,25000,0))</f>
        <v>25000</v>
      </c>
      <c r="F19" s="1937">
        <f t="shared" si="1"/>
        <v>25000</v>
      </c>
      <c r="G19" s="1793">
        <f t="shared" ref="G19:G141" si="3">IF(F19=0,0,D19-F19)</f>
        <v>36532</v>
      </c>
    </row>
    <row r="20" spans="1:8" x14ac:dyDescent="0.25">
      <c r="A20" s="1653"/>
      <c r="B20" s="1933"/>
      <c r="C20" s="1656"/>
      <c r="D20" s="1844"/>
      <c r="E20" s="1540">
        <f t="shared" si="2"/>
        <v>0</v>
      </c>
      <c r="F20" s="1937">
        <f t="shared" si="1"/>
        <v>0</v>
      </c>
      <c r="G20" s="1793">
        <f t="shared" si="3"/>
        <v>0</v>
      </c>
    </row>
    <row r="21" spans="1:8" x14ac:dyDescent="0.25">
      <c r="A21" s="1653"/>
      <c r="B21" s="1933"/>
      <c r="C21" s="1656"/>
      <c r="D21" s="1844"/>
      <c r="E21" s="1540">
        <f t="shared" si="2"/>
        <v>0</v>
      </c>
      <c r="F21" s="1937">
        <f t="shared" si="1"/>
        <v>0</v>
      </c>
      <c r="G21" s="1793">
        <f t="shared" si="3"/>
        <v>0</v>
      </c>
    </row>
    <row r="22" spans="1:8" x14ac:dyDescent="0.25">
      <c r="A22" s="1653"/>
      <c r="B22" s="1933"/>
      <c r="C22" s="1656"/>
      <c r="D22" s="1844"/>
      <c r="E22" s="1540">
        <f t="shared" si="2"/>
        <v>0</v>
      </c>
      <c r="F22" s="1937">
        <f t="shared" si="1"/>
        <v>0</v>
      </c>
      <c r="G22" s="1793">
        <f t="shared" si="3"/>
        <v>0</v>
      </c>
    </row>
    <row r="23" spans="1:8" x14ac:dyDescent="0.25">
      <c r="A23" s="1653"/>
      <c r="B23" s="1933"/>
      <c r="C23" s="1656"/>
      <c r="D23" s="1844"/>
      <c r="E23" s="1540">
        <f t="shared" si="2"/>
        <v>0</v>
      </c>
      <c r="F23" s="1937">
        <f t="shared" si="1"/>
        <v>0</v>
      </c>
      <c r="G23" s="1793">
        <f t="shared" si="3"/>
        <v>0</v>
      </c>
    </row>
    <row r="24" spans="1:8" x14ac:dyDescent="0.25">
      <c r="A24" s="1653"/>
      <c r="B24" s="1933"/>
      <c r="C24" s="1656"/>
      <c r="D24" s="1844"/>
      <c r="E24" s="1540">
        <f t="shared" si="2"/>
        <v>0</v>
      </c>
      <c r="F24" s="1937">
        <f t="shared" si="1"/>
        <v>0</v>
      </c>
      <c r="G24" s="1793">
        <f t="shared" si="3"/>
        <v>0</v>
      </c>
    </row>
    <row r="25" spans="1:8" x14ac:dyDescent="0.25">
      <c r="A25" s="1653"/>
      <c r="B25" s="1933"/>
      <c r="C25" s="1656"/>
      <c r="D25" s="1844"/>
      <c r="E25" s="1540">
        <f t="shared" si="2"/>
        <v>0</v>
      </c>
      <c r="F25" s="1937">
        <f t="shared" si="1"/>
        <v>0</v>
      </c>
      <c r="G25" s="1793">
        <f t="shared" si="3"/>
        <v>0</v>
      </c>
    </row>
    <row r="26" spans="1:8" x14ac:dyDescent="0.25">
      <c r="A26" s="1653"/>
      <c r="B26" s="1933"/>
      <c r="C26" s="1656"/>
      <c r="D26" s="1844"/>
      <c r="E26" s="1540">
        <f t="shared" si="2"/>
        <v>0</v>
      </c>
      <c r="F26" s="1937">
        <f t="shared" si="1"/>
        <v>0</v>
      </c>
      <c r="G26" s="1793">
        <f t="shared" si="3"/>
        <v>0</v>
      </c>
    </row>
    <row r="27" spans="1:8" x14ac:dyDescent="0.25">
      <c r="A27" s="1653"/>
      <c r="B27" s="1933"/>
      <c r="C27" s="1654"/>
      <c r="D27" s="1844"/>
      <c r="E27" s="1540">
        <f t="shared" si="2"/>
        <v>0</v>
      </c>
      <c r="F27" s="1937">
        <f t="shared" si="1"/>
        <v>0</v>
      </c>
      <c r="G27" s="1793">
        <f t="shared" si="3"/>
        <v>0</v>
      </c>
    </row>
    <row r="28" spans="1:8" x14ac:dyDescent="0.25">
      <c r="A28" s="1653"/>
      <c r="B28" s="1933"/>
      <c r="C28" s="1654"/>
      <c r="D28" s="1844"/>
      <c r="E28" s="1540">
        <f t="shared" si="2"/>
        <v>0</v>
      </c>
      <c r="F28" s="1937">
        <f t="shared" si="1"/>
        <v>0</v>
      </c>
      <c r="G28" s="1793">
        <f t="shared" si="3"/>
        <v>0</v>
      </c>
    </row>
    <row r="29" spans="1:8" x14ac:dyDescent="0.25">
      <c r="A29" s="1653"/>
      <c r="B29" s="1933"/>
      <c r="C29" s="1654"/>
      <c r="D29" s="1844"/>
      <c r="E29" s="1540">
        <f t="shared" si="2"/>
        <v>0</v>
      </c>
      <c r="F29" s="1937">
        <f t="shared" si="1"/>
        <v>0</v>
      </c>
      <c r="G29" s="1793">
        <f t="shared" si="3"/>
        <v>0</v>
      </c>
    </row>
    <row r="30" spans="1:8" x14ac:dyDescent="0.25">
      <c r="A30" s="1653"/>
      <c r="B30" s="1933"/>
      <c r="C30" s="1654"/>
      <c r="D30" s="1844"/>
      <c r="E30" s="1540">
        <f t="shared" si="2"/>
        <v>0</v>
      </c>
      <c r="F30" s="1937">
        <f t="shared" si="1"/>
        <v>0</v>
      </c>
      <c r="G30" s="1793">
        <f t="shared" si="3"/>
        <v>0</v>
      </c>
    </row>
    <row r="31" spans="1:8" x14ac:dyDescent="0.25">
      <c r="A31" s="1653"/>
      <c r="B31" s="1933"/>
      <c r="C31" s="1654"/>
      <c r="D31" s="1844"/>
      <c r="E31" s="1540">
        <f t="shared" si="2"/>
        <v>0</v>
      </c>
      <c r="F31" s="1937">
        <f t="shared" si="1"/>
        <v>0</v>
      </c>
      <c r="G31" s="1793">
        <f t="shared" si="3"/>
        <v>0</v>
      </c>
    </row>
    <row r="32" spans="1:8" x14ac:dyDescent="0.25">
      <c r="A32" s="1653"/>
      <c r="B32" s="1933"/>
      <c r="C32" s="1654"/>
      <c r="D32" s="1844"/>
      <c r="E32" s="1540">
        <f t="shared" si="2"/>
        <v>0</v>
      </c>
      <c r="F32" s="1937">
        <f t="shared" si="1"/>
        <v>0</v>
      </c>
      <c r="G32" s="1793">
        <f t="shared" si="3"/>
        <v>0</v>
      </c>
    </row>
    <row r="33" spans="1:7" x14ac:dyDescent="0.25">
      <c r="A33" s="1653"/>
      <c r="B33" s="1933"/>
      <c r="C33" s="1654"/>
      <c r="D33" s="1844"/>
      <c r="E33" s="1540">
        <f t="shared" si="2"/>
        <v>0</v>
      </c>
      <c r="F33" s="1937">
        <f t="shared" si="1"/>
        <v>0</v>
      </c>
      <c r="G33" s="1793">
        <f t="shared" si="3"/>
        <v>0</v>
      </c>
    </row>
    <row r="34" spans="1:7" x14ac:dyDescent="0.25">
      <c r="A34" s="1653"/>
      <c r="B34" s="1933"/>
      <c r="C34" s="1654"/>
      <c r="D34" s="1844"/>
      <c r="E34" s="1540">
        <f t="shared" si="2"/>
        <v>0</v>
      </c>
      <c r="F34" s="1937">
        <f t="shared" si="1"/>
        <v>0</v>
      </c>
      <c r="G34" s="1793">
        <f t="shared" si="3"/>
        <v>0</v>
      </c>
    </row>
    <row r="35" spans="1:7" x14ac:dyDescent="0.25">
      <c r="A35" s="1653"/>
      <c r="B35" s="1933"/>
      <c r="C35" s="1654"/>
      <c r="D35" s="1844"/>
      <c r="E35" s="1540">
        <f t="shared" si="2"/>
        <v>0</v>
      </c>
      <c r="F35" s="1937">
        <f t="shared" si="1"/>
        <v>0</v>
      </c>
      <c r="G35" s="1793">
        <f t="shared" si="3"/>
        <v>0</v>
      </c>
    </row>
    <row r="36" spans="1:7" x14ac:dyDescent="0.25">
      <c r="A36" s="1653"/>
      <c r="B36" s="1933"/>
      <c r="C36" s="1654"/>
      <c r="D36" s="1844"/>
      <c r="E36" s="1540">
        <f t="shared" si="2"/>
        <v>0</v>
      </c>
      <c r="F36" s="1937">
        <f t="shared" si="1"/>
        <v>0</v>
      </c>
      <c r="G36" s="1793">
        <f t="shared" si="3"/>
        <v>0</v>
      </c>
    </row>
    <row r="37" spans="1:7" x14ac:dyDescent="0.25">
      <c r="A37" s="1653"/>
      <c r="B37" s="1933"/>
      <c r="C37" s="1654"/>
      <c r="D37" s="1844"/>
      <c r="E37" s="1540">
        <f t="shared" si="2"/>
        <v>0</v>
      </c>
      <c r="F37" s="1937">
        <f t="shared" si="1"/>
        <v>0</v>
      </c>
      <c r="G37" s="1793">
        <f t="shared" si="3"/>
        <v>0</v>
      </c>
    </row>
    <row r="38" spans="1:7" x14ac:dyDescent="0.25">
      <c r="A38" s="1653"/>
      <c r="B38" s="1933"/>
      <c r="C38" s="1654"/>
      <c r="D38" s="1844"/>
      <c r="E38" s="1540">
        <f t="shared" si="2"/>
        <v>0</v>
      </c>
      <c r="F38" s="1937">
        <f t="shared" si="1"/>
        <v>0</v>
      </c>
      <c r="G38" s="1793">
        <f t="shared" si="3"/>
        <v>0</v>
      </c>
    </row>
    <row r="39" spans="1:7" x14ac:dyDescent="0.25">
      <c r="A39" s="1653"/>
      <c r="B39" s="1934"/>
      <c r="C39" s="1654"/>
      <c r="D39" s="1844"/>
      <c r="E39" s="1540">
        <f t="shared" si="2"/>
        <v>0</v>
      </c>
      <c r="F39" s="1937">
        <f t="shared" si="1"/>
        <v>0</v>
      </c>
      <c r="G39" s="1793">
        <f t="shared" si="3"/>
        <v>0</v>
      </c>
    </row>
    <row r="40" spans="1:7" x14ac:dyDescent="0.25">
      <c r="A40" s="1653"/>
      <c r="B40" s="1934"/>
      <c r="C40" s="1654"/>
      <c r="D40" s="1844"/>
      <c r="E40" s="1540">
        <f t="shared" si="2"/>
        <v>0</v>
      </c>
      <c r="F40" s="1937">
        <f t="shared" si="1"/>
        <v>0</v>
      </c>
      <c r="G40" s="1793">
        <f t="shared" si="3"/>
        <v>0</v>
      </c>
    </row>
    <row r="41" spans="1:7" x14ac:dyDescent="0.25">
      <c r="A41" s="1653"/>
      <c r="B41" s="1934"/>
      <c r="C41" s="1654"/>
      <c r="D41" s="1844"/>
      <c r="E41" s="1540">
        <f t="shared" si="2"/>
        <v>0</v>
      </c>
      <c r="F41" s="1937">
        <f t="shared" si="1"/>
        <v>0</v>
      </c>
      <c r="G41" s="1793">
        <f t="shared" si="3"/>
        <v>0</v>
      </c>
    </row>
    <row r="42" spans="1:7" x14ac:dyDescent="0.25">
      <c r="A42" s="1653"/>
      <c r="B42" s="1934"/>
      <c r="C42" s="1654"/>
      <c r="D42" s="1844"/>
      <c r="E42" s="1540">
        <f t="shared" si="2"/>
        <v>0</v>
      </c>
      <c r="F42" s="1937">
        <f t="shared" si="1"/>
        <v>0</v>
      </c>
      <c r="G42" s="1793">
        <f t="shared" si="3"/>
        <v>0</v>
      </c>
    </row>
    <row r="43" spans="1:7" x14ac:dyDescent="0.25">
      <c r="A43" s="1653"/>
      <c r="B43" s="1934"/>
      <c r="C43" s="1654"/>
      <c r="D43" s="1844"/>
      <c r="E43" s="1540">
        <f t="shared" si="2"/>
        <v>0</v>
      </c>
      <c r="F43" s="1937">
        <f t="shared" si="1"/>
        <v>0</v>
      </c>
      <c r="G43" s="1793">
        <f t="shared" si="3"/>
        <v>0</v>
      </c>
    </row>
    <row r="44" spans="1:7" x14ac:dyDescent="0.25">
      <c r="A44" s="1653"/>
      <c r="B44" s="1934"/>
      <c r="C44" s="1654"/>
      <c r="D44" s="1844"/>
      <c r="E44" s="1540">
        <f t="shared" si="2"/>
        <v>0</v>
      </c>
      <c r="F44" s="1937">
        <f t="shared" si="1"/>
        <v>0</v>
      </c>
      <c r="G44" s="1793">
        <f t="shared" si="3"/>
        <v>0</v>
      </c>
    </row>
    <row r="45" spans="1:7" x14ac:dyDescent="0.25">
      <c r="A45" s="1653"/>
      <c r="B45" s="1934"/>
      <c r="C45" s="1654"/>
      <c r="D45" s="1844"/>
      <c r="E45" s="1540">
        <f t="shared" si="2"/>
        <v>0</v>
      </c>
      <c r="F45" s="1937">
        <f t="shared" si="1"/>
        <v>0</v>
      </c>
      <c r="G45" s="1793">
        <f t="shared" si="3"/>
        <v>0</v>
      </c>
    </row>
    <row r="46" spans="1:7" x14ac:dyDescent="0.25">
      <c r="A46" s="1653"/>
      <c r="B46" s="1934"/>
      <c r="C46" s="1654"/>
      <c r="D46" s="1844"/>
      <c r="E46" s="1540">
        <f t="shared" si="2"/>
        <v>0</v>
      </c>
      <c r="F46" s="1937">
        <f t="shared" si="1"/>
        <v>0</v>
      </c>
      <c r="G46" s="1793">
        <f t="shared" si="3"/>
        <v>0</v>
      </c>
    </row>
    <row r="47" spans="1:7" x14ac:dyDescent="0.25">
      <c r="A47" s="1653"/>
      <c r="B47" s="1667"/>
      <c r="C47" s="1654"/>
      <c r="D47" s="1844"/>
      <c r="E47" s="1540">
        <f t="shared" si="2"/>
        <v>0</v>
      </c>
      <c r="F47" s="1937">
        <f t="shared" si="1"/>
        <v>0</v>
      </c>
      <c r="G47" s="1793">
        <f t="shared" si="3"/>
        <v>0</v>
      </c>
    </row>
    <row r="48" spans="1:7" x14ac:dyDescent="0.25">
      <c r="A48" s="1653"/>
      <c r="B48" s="1667"/>
      <c r="C48" s="1654"/>
      <c r="D48" s="1844"/>
      <c r="E48" s="1540">
        <f t="shared" si="2"/>
        <v>0</v>
      </c>
      <c r="F48" s="1937">
        <f t="shared" si="1"/>
        <v>0</v>
      </c>
      <c r="G48" s="1793">
        <f t="shared" si="3"/>
        <v>0</v>
      </c>
    </row>
    <row r="49" spans="1:7" x14ac:dyDescent="0.25">
      <c r="A49" s="1653"/>
      <c r="B49" s="1667"/>
      <c r="C49" s="1654"/>
      <c r="D49" s="1844"/>
      <c r="E49" s="1540">
        <f t="shared" si="2"/>
        <v>0</v>
      </c>
      <c r="F49" s="1937">
        <f t="shared" si="1"/>
        <v>0</v>
      </c>
      <c r="G49" s="1793">
        <f t="shared" si="3"/>
        <v>0</v>
      </c>
    </row>
    <row r="50" spans="1:7" x14ac:dyDescent="0.25">
      <c r="A50" s="1653"/>
      <c r="B50" s="1667"/>
      <c r="C50" s="1654"/>
      <c r="D50" s="1844"/>
      <c r="E50" s="1540">
        <f t="shared" si="2"/>
        <v>0</v>
      </c>
      <c r="F50" s="1937">
        <f t="shared" si="1"/>
        <v>0</v>
      </c>
      <c r="G50" s="1793">
        <f t="shared" si="3"/>
        <v>0</v>
      </c>
    </row>
    <row r="51" spans="1:7" x14ac:dyDescent="0.25">
      <c r="A51" s="1653"/>
      <c r="B51" s="1667"/>
      <c r="C51" s="1654"/>
      <c r="D51" s="1844"/>
      <c r="E51" s="1540">
        <f t="shared" si="2"/>
        <v>0</v>
      </c>
      <c r="F51" s="1937">
        <f t="shared" si="1"/>
        <v>0</v>
      </c>
      <c r="G51" s="1793">
        <f t="shared" si="3"/>
        <v>0</v>
      </c>
    </row>
    <row r="52" spans="1:7" x14ac:dyDescent="0.25">
      <c r="A52" s="1653"/>
      <c r="B52" s="1667"/>
      <c r="C52" s="1654"/>
      <c r="D52" s="1844"/>
      <c r="E52" s="1540">
        <f t="shared" si="2"/>
        <v>0</v>
      </c>
      <c r="F52" s="1937">
        <f t="shared" si="1"/>
        <v>0</v>
      </c>
      <c r="G52" s="1793">
        <f t="shared" si="3"/>
        <v>0</v>
      </c>
    </row>
    <row r="53" spans="1:7" x14ac:dyDescent="0.25">
      <c r="A53" s="1653"/>
      <c r="B53" s="1667"/>
      <c r="C53" s="1654"/>
      <c r="D53" s="1844"/>
      <c r="E53" s="1540">
        <f t="shared" si="2"/>
        <v>0</v>
      </c>
      <c r="F53" s="1937">
        <f t="shared" si="1"/>
        <v>0</v>
      </c>
      <c r="G53" s="1793">
        <f t="shared" si="3"/>
        <v>0</v>
      </c>
    </row>
    <row r="54" spans="1:7" x14ac:dyDescent="0.25">
      <c r="A54" s="1653"/>
      <c r="B54" s="1667"/>
      <c r="C54" s="1654"/>
      <c r="D54" s="1844"/>
      <c r="E54" s="1540">
        <f t="shared" si="2"/>
        <v>0</v>
      </c>
      <c r="F54" s="1937">
        <f t="shared" si="1"/>
        <v>0</v>
      </c>
      <c r="G54" s="1793">
        <f t="shared" si="3"/>
        <v>0</v>
      </c>
    </row>
    <row r="55" spans="1:7" x14ac:dyDescent="0.25">
      <c r="A55" s="1653"/>
      <c r="B55" s="1667"/>
      <c r="C55" s="1654"/>
      <c r="D55" s="1844"/>
      <c r="E55" s="1540">
        <f t="shared" si="2"/>
        <v>0</v>
      </c>
      <c r="F55" s="1937">
        <f t="shared" si="1"/>
        <v>0</v>
      </c>
      <c r="G55" s="1793">
        <f t="shared" si="3"/>
        <v>0</v>
      </c>
    </row>
    <row r="56" spans="1:7" x14ac:dyDescent="0.25">
      <c r="A56" s="1653"/>
      <c r="B56" s="1667"/>
      <c r="C56" s="1654"/>
      <c r="D56" s="1844"/>
      <c r="E56" s="1540">
        <f t="shared" si="2"/>
        <v>0</v>
      </c>
      <c r="F56" s="1937">
        <f t="shared" si="1"/>
        <v>0</v>
      </c>
      <c r="G56" s="1793">
        <f t="shared" si="3"/>
        <v>0</v>
      </c>
    </row>
    <row r="57" spans="1:7" x14ac:dyDescent="0.25">
      <c r="A57" s="1653"/>
      <c r="B57" s="1667"/>
      <c r="C57" s="1654"/>
      <c r="D57" s="1844"/>
      <c r="E57" s="1540">
        <f t="shared" si="2"/>
        <v>0</v>
      </c>
      <c r="F57" s="1937">
        <f t="shared" si="1"/>
        <v>0</v>
      </c>
      <c r="G57" s="1793">
        <f t="shared" si="3"/>
        <v>0</v>
      </c>
    </row>
    <row r="58" spans="1:7" x14ac:dyDescent="0.25">
      <c r="A58" s="1653"/>
      <c r="B58" s="1667"/>
      <c r="C58" s="1654"/>
      <c r="D58" s="1844"/>
      <c r="E58" s="1540">
        <f t="shared" si="2"/>
        <v>0</v>
      </c>
      <c r="F58" s="1937">
        <f t="shared" si="1"/>
        <v>0</v>
      </c>
      <c r="G58" s="1793">
        <f t="shared" si="3"/>
        <v>0</v>
      </c>
    </row>
    <row r="59" spans="1:7" x14ac:dyDescent="0.25">
      <c r="A59" s="1653"/>
      <c r="B59" s="1667"/>
      <c r="C59" s="1654"/>
      <c r="D59" s="1844"/>
      <c r="E59" s="1540">
        <f t="shared" si="2"/>
        <v>0</v>
      </c>
      <c r="F59" s="1937">
        <f t="shared" si="1"/>
        <v>0</v>
      </c>
      <c r="G59" s="1793">
        <f t="shared" si="3"/>
        <v>0</v>
      </c>
    </row>
    <row r="60" spans="1:7" x14ac:dyDescent="0.25">
      <c r="A60" s="1653"/>
      <c r="B60" s="1667"/>
      <c r="C60" s="1654"/>
      <c r="D60" s="1844"/>
      <c r="E60" s="1540">
        <f t="shared" si="2"/>
        <v>0</v>
      </c>
      <c r="F60" s="1937">
        <f t="shared" si="1"/>
        <v>0</v>
      </c>
      <c r="G60" s="1793">
        <f t="shared" si="3"/>
        <v>0</v>
      </c>
    </row>
    <row r="61" spans="1:7" x14ac:dyDescent="0.25">
      <c r="A61" s="1653"/>
      <c r="B61" s="1667"/>
      <c r="C61" s="1654"/>
      <c r="D61" s="1844"/>
      <c r="E61" s="1540">
        <f t="shared" si="2"/>
        <v>0</v>
      </c>
      <c r="F61" s="1937">
        <f t="shared" si="1"/>
        <v>0</v>
      </c>
      <c r="G61" s="1793">
        <f t="shared" si="3"/>
        <v>0</v>
      </c>
    </row>
    <row r="62" spans="1:7" x14ac:dyDescent="0.25">
      <c r="A62" s="1653"/>
      <c r="B62" s="1667"/>
      <c r="C62" s="1654"/>
      <c r="D62" s="1844"/>
      <c r="E62" s="1540">
        <f t="shared" si="2"/>
        <v>0</v>
      </c>
      <c r="F62" s="1937">
        <f t="shared" si="1"/>
        <v>0</v>
      </c>
      <c r="G62" s="1793">
        <f t="shared" si="3"/>
        <v>0</v>
      </c>
    </row>
    <row r="63" spans="1:7" x14ac:dyDescent="0.25">
      <c r="A63" s="1653"/>
      <c r="B63" s="1667"/>
      <c r="C63" s="1654"/>
      <c r="D63" s="1844"/>
      <c r="E63" s="1540">
        <f t="shared" si="2"/>
        <v>0</v>
      </c>
      <c r="F63" s="1937">
        <f t="shared" si="1"/>
        <v>0</v>
      </c>
      <c r="G63" s="1793">
        <f t="shared" si="3"/>
        <v>0</v>
      </c>
    </row>
    <row r="64" spans="1:7" x14ac:dyDescent="0.25">
      <c r="A64" s="1653"/>
      <c r="B64" s="1667"/>
      <c r="C64" s="1654"/>
      <c r="D64" s="1844"/>
      <c r="E64" s="1540">
        <f t="shared" si="2"/>
        <v>0</v>
      </c>
      <c r="F64" s="1937">
        <f t="shared" si="1"/>
        <v>0</v>
      </c>
      <c r="G64" s="1793">
        <f t="shared" si="3"/>
        <v>0</v>
      </c>
    </row>
    <row r="65" spans="1:7" x14ac:dyDescent="0.25">
      <c r="A65" s="1655"/>
      <c r="B65" s="1667"/>
      <c r="C65" s="1656"/>
      <c r="D65" s="1844"/>
      <c r="E65" s="1540">
        <f t="shared" si="2"/>
        <v>0</v>
      </c>
      <c r="F65" s="1937">
        <f t="shared" si="1"/>
        <v>0</v>
      </c>
      <c r="G65" s="1793">
        <f t="shared" si="3"/>
        <v>0</v>
      </c>
    </row>
    <row r="66" spans="1:7" x14ac:dyDescent="0.25">
      <c r="A66" s="1653"/>
      <c r="B66" s="1667"/>
      <c r="C66" s="1654"/>
      <c r="D66" s="1844"/>
      <c r="E66" s="1540">
        <f t="shared" si="2"/>
        <v>0</v>
      </c>
      <c r="F66" s="1937">
        <f t="shared" si="1"/>
        <v>0</v>
      </c>
      <c r="G66" s="1793">
        <f t="shared" si="3"/>
        <v>0</v>
      </c>
    </row>
    <row r="67" spans="1:7" x14ac:dyDescent="0.25">
      <c r="A67" s="1653"/>
      <c r="B67" s="1667"/>
      <c r="C67" s="1654"/>
      <c r="D67" s="1844"/>
      <c r="E67" s="1540">
        <f t="shared" si="2"/>
        <v>0</v>
      </c>
      <c r="F67" s="1937">
        <f t="shared" si="1"/>
        <v>0</v>
      </c>
      <c r="G67" s="1793">
        <f t="shared" si="3"/>
        <v>0</v>
      </c>
    </row>
    <row r="68" spans="1:7" x14ac:dyDescent="0.25">
      <c r="A68" s="1653"/>
      <c r="B68" s="1667"/>
      <c r="C68" s="1654"/>
      <c r="D68" s="1844"/>
      <c r="E68" s="1540">
        <f t="shared" si="2"/>
        <v>0</v>
      </c>
      <c r="F68" s="1937">
        <f t="shared" si="1"/>
        <v>0</v>
      </c>
      <c r="G68" s="1793">
        <f t="shared" si="3"/>
        <v>0</v>
      </c>
    </row>
    <row r="69" spans="1:7" x14ac:dyDescent="0.25">
      <c r="A69" s="1653"/>
      <c r="B69" s="1667"/>
      <c r="C69" s="1654"/>
      <c r="D69" s="1844"/>
      <c r="E69" s="1540">
        <f t="shared" si="2"/>
        <v>0</v>
      </c>
      <c r="F69" s="1937">
        <f t="shared" si="1"/>
        <v>0</v>
      </c>
      <c r="G69" s="1793">
        <f t="shared" si="3"/>
        <v>0</v>
      </c>
    </row>
    <row r="70" spans="1:7" x14ac:dyDescent="0.25">
      <c r="A70" s="1653"/>
      <c r="B70" s="1667"/>
      <c r="C70" s="1654"/>
      <c r="D70" s="1844"/>
      <c r="E70" s="1540">
        <f t="shared" si="2"/>
        <v>0</v>
      </c>
      <c r="F70" s="1937">
        <f t="shared" si="1"/>
        <v>0</v>
      </c>
      <c r="G70" s="1793">
        <f t="shared" si="3"/>
        <v>0</v>
      </c>
    </row>
    <row r="71" spans="1:7" x14ac:dyDescent="0.25">
      <c r="A71" s="1653"/>
      <c r="B71" s="1667"/>
      <c r="C71" s="1654"/>
      <c r="D71" s="1844"/>
      <c r="E71" s="1540">
        <f t="shared" si="2"/>
        <v>0</v>
      </c>
      <c r="F71" s="1937">
        <f t="shared" si="1"/>
        <v>0</v>
      </c>
      <c r="G71" s="1793">
        <f t="shared" si="3"/>
        <v>0</v>
      </c>
    </row>
    <row r="72" spans="1:7" x14ac:dyDescent="0.25">
      <c r="A72" s="1653"/>
      <c r="B72" s="1667"/>
      <c r="C72" s="1654"/>
      <c r="D72" s="1844"/>
      <c r="E72" s="1540">
        <f t="shared" si="2"/>
        <v>0</v>
      </c>
      <c r="F72" s="1937">
        <f t="shared" si="1"/>
        <v>0</v>
      </c>
      <c r="G72" s="1793">
        <f t="shared" si="3"/>
        <v>0</v>
      </c>
    </row>
    <row r="73" spans="1:7" x14ac:dyDescent="0.25">
      <c r="A73" s="1653"/>
      <c r="B73" s="1667"/>
      <c r="C73" s="1654"/>
      <c r="D73" s="1844"/>
      <c r="E73" s="1540">
        <f t="shared" si="2"/>
        <v>0</v>
      </c>
      <c r="F73" s="1937">
        <f t="shared" si="1"/>
        <v>0</v>
      </c>
      <c r="G73" s="1793">
        <f t="shared" si="3"/>
        <v>0</v>
      </c>
    </row>
    <row r="74" spans="1:7" x14ac:dyDescent="0.25">
      <c r="A74" s="1653"/>
      <c r="B74" s="1667"/>
      <c r="C74" s="1654"/>
      <c r="D74" s="1844"/>
      <c r="E74" s="1540">
        <f t="shared" ref="E74:E85" si="4">IF(D74&lt;=25000,D74,IF(D74&gt;25000,25000,0))</f>
        <v>0</v>
      </c>
      <c r="F74" s="1937">
        <f t="shared" si="1"/>
        <v>0</v>
      </c>
      <c r="G74" s="1793">
        <f t="shared" ref="G74:G85" si="5">IF(F74=0,0,D74-F74)</f>
        <v>0</v>
      </c>
    </row>
    <row r="75" spans="1:7" x14ac:dyDescent="0.25">
      <c r="A75" s="1653"/>
      <c r="B75" s="1667"/>
      <c r="C75" s="1654"/>
      <c r="D75" s="1844"/>
      <c r="E75" s="1540">
        <f t="shared" si="4"/>
        <v>0</v>
      </c>
      <c r="F75" s="1937">
        <f t="shared" si="1"/>
        <v>0</v>
      </c>
      <c r="G75" s="1793">
        <f t="shared" si="5"/>
        <v>0</v>
      </c>
    </row>
    <row r="76" spans="1:7" x14ac:dyDescent="0.25">
      <c r="A76" s="1653"/>
      <c r="B76" s="1667"/>
      <c r="C76" s="1654"/>
      <c r="D76" s="1844"/>
      <c r="E76" s="1540">
        <f t="shared" si="4"/>
        <v>0</v>
      </c>
      <c r="F76" s="1937">
        <f t="shared" si="1"/>
        <v>0</v>
      </c>
      <c r="G76" s="1793">
        <f t="shared" si="5"/>
        <v>0</v>
      </c>
    </row>
    <row r="77" spans="1:7" x14ac:dyDescent="0.25">
      <c r="A77" s="1653"/>
      <c r="B77" s="1667"/>
      <c r="C77" s="1654"/>
      <c r="D77" s="1844"/>
      <c r="E77" s="1540">
        <f t="shared" si="4"/>
        <v>0</v>
      </c>
      <c r="F77" s="1937">
        <f t="shared" si="1"/>
        <v>0</v>
      </c>
      <c r="G77" s="1793">
        <f t="shared" si="5"/>
        <v>0</v>
      </c>
    </row>
    <row r="78" spans="1:7" x14ac:dyDescent="0.25">
      <c r="A78" s="1653"/>
      <c r="B78" s="1667"/>
      <c r="C78" s="1654"/>
      <c r="D78" s="1844"/>
      <c r="E78" s="1540">
        <f t="shared" si="4"/>
        <v>0</v>
      </c>
      <c r="F78" s="1937">
        <f t="shared" si="1"/>
        <v>0</v>
      </c>
      <c r="G78" s="1793">
        <f t="shared" si="5"/>
        <v>0</v>
      </c>
    </row>
    <row r="79" spans="1:7" x14ac:dyDescent="0.25">
      <c r="A79" s="1653"/>
      <c r="B79" s="1667"/>
      <c r="C79" s="1654"/>
      <c r="D79" s="1844"/>
      <c r="E79" s="1540">
        <f t="shared" si="4"/>
        <v>0</v>
      </c>
      <c r="F79" s="1937">
        <f t="shared" si="1"/>
        <v>0</v>
      </c>
      <c r="G79" s="1793">
        <f t="shared" si="5"/>
        <v>0</v>
      </c>
    </row>
    <row r="80" spans="1:7" x14ac:dyDescent="0.25">
      <c r="A80" s="1653"/>
      <c r="B80" s="1667"/>
      <c r="C80" s="1654"/>
      <c r="D80" s="1844"/>
      <c r="E80" s="1540">
        <f t="shared" si="4"/>
        <v>0</v>
      </c>
      <c r="F80" s="1937">
        <f t="shared" si="1"/>
        <v>0</v>
      </c>
      <c r="G80" s="1793">
        <f t="shared" si="5"/>
        <v>0</v>
      </c>
    </row>
    <row r="81" spans="1:7" x14ac:dyDescent="0.25">
      <c r="A81" s="1653"/>
      <c r="B81" s="1667"/>
      <c r="C81" s="1654"/>
      <c r="D81" s="1844"/>
      <c r="E81" s="1540">
        <f t="shared" si="4"/>
        <v>0</v>
      </c>
      <c r="F81" s="1937">
        <f t="shared" si="1"/>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2"/>
        <v>0</v>
      </c>
      <c r="F86" s="1937">
        <f t="shared" si="6"/>
        <v>0</v>
      </c>
      <c r="G86" s="1793">
        <f t="shared" si="3"/>
        <v>0</v>
      </c>
    </row>
    <row r="87" spans="1:7" x14ac:dyDescent="0.25">
      <c r="A87" s="1653"/>
      <c r="B87" s="1667"/>
      <c r="C87" s="1654"/>
      <c r="D87" s="1844"/>
      <c r="E87" s="1540">
        <f t="shared" si="2"/>
        <v>0</v>
      </c>
      <c r="F87" s="1937">
        <f t="shared" si="6"/>
        <v>0</v>
      </c>
      <c r="G87" s="1793">
        <f t="shared" si="3"/>
        <v>0</v>
      </c>
    </row>
    <row r="88" spans="1:7" x14ac:dyDescent="0.25">
      <c r="A88" s="1653"/>
      <c r="B88" s="1667"/>
      <c r="C88" s="1654"/>
      <c r="D88" s="1844"/>
      <c r="E88" s="1540">
        <f t="shared" si="2"/>
        <v>0</v>
      </c>
      <c r="F88" s="1937">
        <f t="shared" si="6"/>
        <v>0</v>
      </c>
      <c r="G88" s="1793">
        <f t="shared" si="3"/>
        <v>0</v>
      </c>
    </row>
    <row r="89" spans="1:7" x14ac:dyDescent="0.25">
      <c r="A89" s="1653"/>
      <c r="B89" s="1667"/>
      <c r="C89" s="1654"/>
      <c r="D89" s="1844"/>
      <c r="E89" s="1540">
        <f t="shared" si="2"/>
        <v>0</v>
      </c>
      <c r="F89" s="1937">
        <f t="shared" si="6"/>
        <v>0</v>
      </c>
      <c r="G89" s="1793">
        <f t="shared" si="3"/>
        <v>0</v>
      </c>
    </row>
    <row r="90" spans="1:7" x14ac:dyDescent="0.25">
      <c r="A90" s="1653"/>
      <c r="B90" s="1667"/>
      <c r="C90" s="1654"/>
      <c r="D90" s="1844"/>
      <c r="E90" s="1540">
        <f t="shared" si="2"/>
        <v>0</v>
      </c>
      <c r="F90" s="1937">
        <f t="shared" si="6"/>
        <v>0</v>
      </c>
      <c r="G90" s="1793">
        <f t="shared" si="3"/>
        <v>0</v>
      </c>
    </row>
    <row r="91" spans="1:7" x14ac:dyDescent="0.25">
      <c r="A91" s="1653"/>
      <c r="B91" s="1667"/>
      <c r="C91" s="1654"/>
      <c r="D91" s="1844"/>
      <c r="E91" s="1540">
        <f t="shared" si="2"/>
        <v>0</v>
      </c>
      <c r="F91" s="1937">
        <f t="shared" si="6"/>
        <v>0</v>
      </c>
      <c r="G91" s="1793">
        <f t="shared" si="3"/>
        <v>0</v>
      </c>
    </row>
    <row r="92" spans="1:7" x14ac:dyDescent="0.25">
      <c r="A92" s="1653"/>
      <c r="B92" s="1667"/>
      <c r="C92" s="1654"/>
      <c r="D92" s="1844"/>
      <c r="E92" s="1540">
        <f t="shared" si="2"/>
        <v>0</v>
      </c>
      <c r="F92" s="1937">
        <f t="shared" si="6"/>
        <v>0</v>
      </c>
      <c r="G92" s="1793">
        <f t="shared" si="3"/>
        <v>0</v>
      </c>
    </row>
    <row r="93" spans="1:7" x14ac:dyDescent="0.25">
      <c r="A93" s="1653"/>
      <c r="B93" s="1667"/>
      <c r="C93" s="1654"/>
      <c r="D93" s="1844"/>
      <c r="E93" s="1540">
        <f t="shared" si="2"/>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2"/>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2"/>
        <v>0</v>
      </c>
      <c r="F141" s="1937">
        <f t="shared" si="6"/>
        <v>0</v>
      </c>
      <c r="G141" s="1793">
        <f t="shared" si="3"/>
        <v>0</v>
      </c>
    </row>
    <row r="142" spans="1:7" x14ac:dyDescent="0.25">
      <c r="A142" s="1796" t="s">
        <v>156</v>
      </c>
      <c r="B142" s="1797"/>
      <c r="C142" s="1798"/>
      <c r="D142" s="1794">
        <f>SUM(D18:D141)</f>
        <v>76532</v>
      </c>
      <c r="E142" s="1541">
        <f t="shared" si="0"/>
        <v>25000</v>
      </c>
      <c r="F142" s="1932">
        <f>SUM(F18:F141)</f>
        <v>40000</v>
      </c>
      <c r="G142" s="1795">
        <f>SUM(G18:G141)</f>
        <v>36532</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D43" sqref="D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44" t="s">
        <v>1679</v>
      </c>
      <c r="B5" s="2345"/>
      <c r="C5" s="2345"/>
      <c r="D5" s="2345"/>
      <c r="E5" s="2345"/>
      <c r="F5" s="2345"/>
      <c r="G5" s="234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10274</v>
      </c>
      <c r="F10" s="974"/>
      <c r="G10" s="975"/>
      <c r="H10" s="162"/>
      <c r="I10" s="162"/>
    </row>
    <row r="11" spans="1:9" s="668" customFormat="1" ht="22.5" customHeight="1" x14ac:dyDescent="0.2">
      <c r="A11" s="2349" t="s">
        <v>1973</v>
      </c>
      <c r="B11" s="2350"/>
      <c r="C11" s="2350"/>
      <c r="D11" s="2351"/>
      <c r="E11" s="977">
        <v>5125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6403819</v>
      </c>
      <c r="F19" s="1799"/>
      <c r="G19" s="1801">
        <f>'Expenditures 15-22'!K33-SUM('Expenditures 15-22'!G33,'Expenditures 15-22'!I33)+'Expenditures 15-22'!D229</f>
        <v>6403819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2901113</v>
      </c>
      <c r="F21" s="1802"/>
      <c r="G21" s="1805">
        <f>'Expenditures 15-22'!K42-SUM('Expenditures 15-22'!G42,'Expenditures 15-22'!I42)+'Expenditures 15-22'!K120-SUM('Expenditures 15-22'!G120,'Expenditures 15-22'!I120)+'Expenditures 15-22'!K180-SUM('Expenditures 15-22'!G180,'Expenditures 15-22'!I180)+'Expenditures 15-22'!D238</f>
        <v>2901113</v>
      </c>
      <c r="H21" s="987"/>
      <c r="I21" s="162"/>
    </row>
    <row r="22" spans="1:9" s="668" customFormat="1" ht="12" customHeight="1" x14ac:dyDescent="0.2">
      <c r="A22" s="994" t="s">
        <v>564</v>
      </c>
      <c r="B22" s="995"/>
      <c r="C22" s="993">
        <v>2200</v>
      </c>
      <c r="D22" s="1802"/>
      <c r="E22" s="1804">
        <f>'Expenditures 15-22'!K47-SUM('Expenditures 15-22'!G47,'Expenditures 15-22'!I47)+'Expenditures 15-22'!D243</f>
        <v>600342</v>
      </c>
      <c r="F22" s="1802"/>
      <c r="G22" s="1805">
        <f>'Expenditures 15-22'!K47-SUM('Expenditures 15-22'!G47,'Expenditures 15-22'!I47)+'Expenditures 15-22'!D243</f>
        <v>600342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553701</v>
      </c>
      <c r="F23" s="1802"/>
      <c r="G23" s="1804">
        <f>'Expenditures 15-22'!K53-SUM('Expenditures 15-22'!G53,'Expenditures 15-22'!I53)+'Expenditures 15-22'!D257+'Expenditures 15-22'!K330-SUM('Expenditures 15-22'!G330,'Expenditures 15-22'!I330)</f>
        <v>553701</v>
      </c>
      <c r="H23" s="987"/>
      <c r="I23" s="162"/>
    </row>
    <row r="24" spans="1:9" s="668" customFormat="1" ht="12" customHeight="1" x14ac:dyDescent="0.2">
      <c r="A24" s="994" t="s">
        <v>566</v>
      </c>
      <c r="B24" s="995"/>
      <c r="C24" s="993">
        <v>2400</v>
      </c>
      <c r="D24" s="1802"/>
      <c r="E24" s="1804">
        <f>'Expenditures 15-22'!K57-SUM('Expenditures 15-22'!G57,'Expenditures 15-22'!I57)+'Expenditures 15-22'!D261</f>
        <v>236231</v>
      </c>
      <c r="F24" s="1802"/>
      <c r="G24" s="1805">
        <f>'Expenditures 15-22'!K57-SUM('Expenditures 15-22'!G57,'Expenditures 15-22'!I57)+'Expenditures 15-22'!D261</f>
        <v>236231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114025</v>
      </c>
      <c r="E26" s="1804">
        <f>'Expenditures 15-22'!K122-SUM('Expenditures 15-22'!G122,'Expenditures 15-22'!I122)+E7</f>
        <v>0</v>
      </c>
      <c r="F26" s="1804">
        <f>'Expenditures 15-22'!K59-SUM('Expenditures 15-22'!G59,'Expenditures 15-22'!I59)+'Expenditures 15-22'!D263-E7</f>
        <v>114025</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179612</v>
      </c>
      <c r="E27" s="1804">
        <f>E8</f>
        <v>0</v>
      </c>
      <c r="F27" s="1804">
        <f>'Expenditures 15-22'!K60-SUM('Expenditures 15-22'!G60,'Expenditures 15-22'!I60)+'Expenditures 15-22'!D264-E8</f>
        <v>179612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1215002</v>
      </c>
      <c r="F28" s="1806">
        <f>'Expenditures 15-22'!K61-SUM('Expenditures 15-22'!G61,'Expenditures 15-22'!I61)+'Expenditures 15-22'!K124-SUM('Expenditures 15-22'!G124,'Expenditures 15-22'!I124)+'Expenditures 15-22'!D266-E9</f>
        <v>1215002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34508</v>
      </c>
      <c r="F30" s="1802"/>
      <c r="G30" s="1804">
        <f>'Expenditures 15-22'!K63-SUM('Expenditures 15-22'!G63,'Expenditures 15-22'!I63)+'Expenditures 15-22'!D268-E10</f>
        <v>34508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2749</v>
      </c>
      <c r="F35" s="1802"/>
      <c r="G35" s="1804">
        <f>'Expenditures 15-22'!K69-SUM('Expenditures 15-22'!G69,'Expenditures 15-22'!I69)+'Expenditures 15-22'!D274</f>
        <v>2749</v>
      </c>
    </row>
    <row r="36" spans="1:7" ht="12" customHeight="1" x14ac:dyDescent="0.2">
      <c r="A36" s="994" t="s">
        <v>403</v>
      </c>
      <c r="B36" s="997"/>
      <c r="C36" s="993">
        <v>2640</v>
      </c>
      <c r="D36" s="1804">
        <f>'Expenditures 15-22'!K70-SUM('Expenditures 15-22'!G70,'Expenditures 15-22'!I70)+'Expenditures 15-22'!D275-E13</f>
        <v>2800</v>
      </c>
      <c r="E36" s="1804">
        <f>E13</f>
        <v>0</v>
      </c>
      <c r="F36" s="1804">
        <f>'Expenditures 15-22'!K70-SUM('Expenditures 15-22'!G70,'Expenditures 15-22'!I70)+'Expenditures 15-22'!D275-E13</f>
        <v>2800</v>
      </c>
      <c r="G36" s="1804">
        <f>E13</f>
        <v>0</v>
      </c>
    </row>
    <row r="37" spans="1:7" ht="12" customHeight="1" x14ac:dyDescent="0.2">
      <c r="A37" s="994" t="s">
        <v>404</v>
      </c>
      <c r="B37" s="997"/>
      <c r="C37" s="993">
        <v>2660</v>
      </c>
      <c r="D37" s="1804">
        <f>'Expenditures 15-22'!K71-SUM('Expenditures 15-22'!G71,'Expenditures 15-22'!I71)+'Expenditures 15-22'!D276-E14</f>
        <v>90289</v>
      </c>
      <c r="E37" s="1804">
        <f>E14</f>
        <v>0</v>
      </c>
      <c r="F37" s="1804">
        <f>'Expenditures 15-22'!K71-SUM('Expenditures 15-22'!G71,'Expenditures 15-22'!I71)+'Expenditures 15-22'!D276-E14</f>
        <v>90289</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1821</v>
      </c>
      <c r="B40" s="991"/>
      <c r="C40" s="993"/>
      <c r="D40" s="1802"/>
      <c r="E40" s="1806">
        <f>-'Contracts Paid in CY 29'!G142</f>
        <v>-36532</v>
      </c>
      <c r="F40" s="1802"/>
      <c r="G40" s="1806">
        <f>-'Contracts Paid in CY 29'!G142</f>
        <v>-36532</v>
      </c>
    </row>
    <row r="41" spans="1:7" ht="12" customHeight="1" x14ac:dyDescent="0.2">
      <c r="A41" s="998" t="s">
        <v>156</v>
      </c>
      <c r="B41" s="999"/>
      <c r="C41" s="1000"/>
      <c r="D41" s="1806">
        <f>SUM(D19:D39)</f>
        <v>386726</v>
      </c>
      <c r="E41" s="1806">
        <f>SUM(E19:E40)</f>
        <v>11910933</v>
      </c>
      <c r="F41" s="1806">
        <f>SUM(F19:F39)</f>
        <v>1601728</v>
      </c>
      <c r="G41" s="1806">
        <f>SUM(G19:G40)</f>
        <v>10695931</v>
      </c>
    </row>
    <row r="42" spans="1:7" x14ac:dyDescent="0.2">
      <c r="A42" s="987"/>
      <c r="B42" s="162"/>
      <c r="C42" s="1001"/>
      <c r="D42" s="2347" t="s">
        <v>522</v>
      </c>
      <c r="E42" s="2348"/>
      <c r="F42" s="1002" t="s">
        <v>523</v>
      </c>
      <c r="G42" s="1003"/>
    </row>
    <row r="43" spans="1:7" ht="12" customHeight="1" x14ac:dyDescent="0.2">
      <c r="A43" s="987"/>
      <c r="B43" s="162"/>
      <c r="C43" s="1001"/>
      <c r="D43" s="1807" t="s">
        <v>473</v>
      </c>
      <c r="E43" s="1808">
        <f>D41</f>
        <v>386726</v>
      </c>
      <c r="F43" s="1807" t="s">
        <v>473</v>
      </c>
      <c r="G43" s="1808">
        <f>F41</f>
        <v>1601728</v>
      </c>
    </row>
    <row r="44" spans="1:7" ht="12" customHeight="1" x14ac:dyDescent="0.2">
      <c r="A44" s="987"/>
      <c r="B44" s="162"/>
      <c r="C44" s="1001"/>
      <c r="D44" s="1807" t="s">
        <v>474</v>
      </c>
      <c r="E44" s="1808">
        <f>E41</f>
        <v>11910933</v>
      </c>
      <c r="F44" s="1807" t="s">
        <v>474</v>
      </c>
      <c r="G44" s="1808">
        <f>G41</f>
        <v>10695931</v>
      </c>
    </row>
    <row r="45" spans="1:7" ht="12" customHeight="1" x14ac:dyDescent="0.2">
      <c r="A45" s="987"/>
      <c r="B45" s="162"/>
      <c r="C45" s="162"/>
      <c r="D45" s="1809" t="s">
        <v>1006</v>
      </c>
      <c r="E45" s="1810">
        <f>(E43/E44)</f>
        <v>3.2468153418376208E-2</v>
      </c>
      <c r="F45" s="1809" t="s">
        <v>1006</v>
      </c>
      <c r="G45" s="1810">
        <f>(G43/G44)</f>
        <v>0.14975115303193337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D43" sqref="D43"/>
      <selection pane="bottomLeft" activeCell="A43" sqref="A43:F4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66" t="s">
        <v>1379</v>
      </c>
      <c r="B1" s="2366"/>
      <c r="C1" s="2366"/>
      <c r="D1" s="2366"/>
      <c r="E1" s="2366"/>
      <c r="F1" s="2366"/>
    </row>
    <row r="2" spans="1:10" x14ac:dyDescent="0.2">
      <c r="A2" s="1887" t="s">
        <v>1909</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67" t="s">
        <v>1546</v>
      </c>
      <c r="B5" s="2368"/>
      <c r="C5" s="2369"/>
      <c r="D5" s="2369"/>
      <c r="E5" s="2369"/>
      <c r="F5" s="2369"/>
    </row>
    <row r="6" spans="1:10" ht="12" customHeight="1" x14ac:dyDescent="0.25">
      <c r="A6" s="1850"/>
      <c r="B6" s="1851"/>
      <c r="C6" s="2370" t="str">
        <f>COVER!A17</f>
        <v>Belleville Area Special Services</v>
      </c>
      <c r="D6" s="2370"/>
      <c r="E6" s="2370"/>
      <c r="F6" s="1852"/>
    </row>
    <row r="7" spans="1:10" ht="11.25" customHeight="1" thickBot="1" x14ac:dyDescent="0.3">
      <c r="A7" s="1850"/>
      <c r="B7" s="1851"/>
      <c r="C7" s="2371">
        <f>COVER!A13</f>
        <v>50082801060</v>
      </c>
      <c r="D7" s="2371"/>
      <c r="E7" s="2371"/>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2063</v>
      </c>
      <c r="D16" s="1865" t="s">
        <v>2063</v>
      </c>
      <c r="E16" s="1868"/>
      <c r="F16" s="1867" t="s">
        <v>2169</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72"/>
      <c r="D35" s="2372"/>
      <c r="E35" s="2372"/>
      <c r="F35" s="2373"/>
    </row>
    <row r="36" spans="1:11" ht="12" customHeight="1" x14ac:dyDescent="0.2">
      <c r="A36" s="2355"/>
      <c r="B36" s="2356"/>
      <c r="C36" s="2356"/>
      <c r="D36" s="2356"/>
      <c r="E36" s="2356"/>
      <c r="F36" s="2357"/>
    </row>
    <row r="37" spans="1:11" ht="12" customHeight="1" x14ac:dyDescent="0.2">
      <c r="A37" s="2355"/>
      <c r="B37" s="2356"/>
      <c r="C37" s="2356"/>
      <c r="D37" s="2356"/>
      <c r="E37" s="2356"/>
      <c r="F37" s="2357"/>
    </row>
    <row r="38" spans="1:11" ht="12" customHeight="1" x14ac:dyDescent="0.2">
      <c r="A38" s="2358"/>
      <c r="B38" s="2359"/>
      <c r="C38" s="2359"/>
      <c r="D38" s="2359"/>
      <c r="E38" s="2359"/>
      <c r="F38" s="2360"/>
    </row>
    <row r="39" spans="1:11" ht="4.5" hidden="1" customHeight="1" x14ac:dyDescent="0.2">
      <c r="A39" s="1873"/>
      <c r="B39" s="1873"/>
      <c r="C39" s="1873"/>
      <c r="D39" s="1873"/>
      <c r="E39" s="1873"/>
      <c r="F39" s="1873"/>
    </row>
    <row r="40" spans="1:11" s="1870" customFormat="1" ht="12" customHeight="1" x14ac:dyDescent="0.25">
      <c r="A40" s="1874" t="s">
        <v>1391</v>
      </c>
      <c r="B40" s="1875"/>
      <c r="C40" s="2361"/>
      <c r="D40" s="2361"/>
      <c r="E40" s="2361"/>
      <c r="F40" s="2362"/>
      <c r="H40" s="1879"/>
      <c r="I40" s="1879"/>
      <c r="J40" s="1879"/>
      <c r="K40" s="1879"/>
    </row>
    <row r="41" spans="1:11" s="1870" customFormat="1" ht="12" customHeight="1" x14ac:dyDescent="0.25">
      <c r="A41" s="2363"/>
      <c r="B41" s="2364"/>
      <c r="C41" s="2364"/>
      <c r="D41" s="2364"/>
      <c r="E41" s="2364"/>
      <c r="F41" s="2365"/>
      <c r="H41" s="1879"/>
      <c r="I41" s="1879"/>
      <c r="J41" s="1879"/>
      <c r="K41" s="1879"/>
    </row>
    <row r="42" spans="1:11" s="1870" customFormat="1" ht="12" customHeight="1" x14ac:dyDescent="0.25">
      <c r="A42" s="2363"/>
      <c r="B42" s="2364"/>
      <c r="C42" s="2364"/>
      <c r="D42" s="2364"/>
      <c r="E42" s="2364"/>
      <c r="F42" s="2365"/>
      <c r="H42" s="1879"/>
      <c r="I42" s="1879"/>
      <c r="J42" s="1879"/>
      <c r="K42" s="1879"/>
    </row>
    <row r="43" spans="1:11" s="1870" customFormat="1" ht="15" x14ac:dyDescent="0.25">
      <c r="A43" s="2352"/>
      <c r="B43" s="2353"/>
      <c r="C43" s="2353"/>
      <c r="D43" s="2353"/>
      <c r="E43" s="2353"/>
      <c r="F43" s="2354"/>
      <c r="H43" s="1879"/>
      <c r="I43" s="1879"/>
      <c r="J43" s="1879"/>
      <c r="K43" s="1879"/>
    </row>
    <row r="44" spans="1:11" s="1870" customFormat="1" ht="12" hidden="1" customHeight="1" x14ac:dyDescent="0.25">
      <c r="A44" s="2352"/>
      <c r="B44" s="2353"/>
      <c r="C44" s="2353"/>
      <c r="D44" s="2353"/>
      <c r="E44" s="2353"/>
      <c r="F44" s="235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D43" sqref="D4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79" t="str">
        <f>COVER!A17</f>
        <v>Belleville Area Special Services</v>
      </c>
      <c r="J6" s="2380"/>
      <c r="Q6" s="1664"/>
    </row>
    <row r="7" spans="1:17" x14ac:dyDescent="0.2">
      <c r="A7" s="2381" t="s">
        <v>869</v>
      </c>
      <c r="B7" s="2382"/>
      <c r="C7" s="2382"/>
      <c r="D7" s="2382"/>
      <c r="E7" s="2383"/>
      <c r="F7" s="1017"/>
      <c r="G7" s="1009"/>
      <c r="H7" s="1016" t="s">
        <v>372</v>
      </c>
      <c r="I7" s="2384">
        <f>COVER!A13</f>
        <v>50082801060</v>
      </c>
      <c r="J7" s="238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85" t="s">
        <v>481</v>
      </c>
      <c r="B11" s="2386"/>
      <c r="C11" s="238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351903</v>
      </c>
      <c r="F13" s="1039"/>
      <c r="G13" s="1811">
        <f t="shared" si="0"/>
        <v>351903</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114025</v>
      </c>
      <c r="F15" s="1811">
        <f>'Expenditures 15-22'!K122</f>
        <v>0</v>
      </c>
      <c r="G15" s="1811">
        <f t="shared" si="0"/>
        <v>114025</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88" t="s">
        <v>7</v>
      </c>
      <c r="C18" s="2389"/>
      <c r="D18" s="239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465928</v>
      </c>
      <c r="F19" s="1813">
        <f t="shared" si="2"/>
        <v>0</v>
      </c>
      <c r="G19" s="1813">
        <f t="shared" si="2"/>
        <v>465928</v>
      </c>
      <c r="H19" s="1813">
        <f t="shared" si="2"/>
        <v>0</v>
      </c>
      <c r="I19" s="1813">
        <f t="shared" si="2"/>
        <v>0</v>
      </c>
      <c r="J19" s="1813">
        <f t="shared" si="2"/>
        <v>0</v>
      </c>
    </row>
    <row r="20" spans="1:10" ht="13.5" thickTop="1" x14ac:dyDescent="0.2">
      <c r="A20" s="1035">
        <v>9</v>
      </c>
      <c r="B20" s="2391" t="s">
        <v>1977</v>
      </c>
      <c r="C20" s="2391"/>
      <c r="D20" s="2392"/>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97"/>
      <c r="D26" s="2397"/>
      <c r="E26" s="1050"/>
      <c r="F26" s="2396"/>
      <c r="G26" s="2396"/>
    </row>
    <row r="27" spans="1:10" x14ac:dyDescent="0.2">
      <c r="B27" s="1047"/>
      <c r="C27" s="1051" t="s">
        <v>1033</v>
      </c>
      <c r="D27" s="1052"/>
      <c r="E27" s="1053"/>
      <c r="F27" s="2393" t="s">
        <v>1509</v>
      </c>
      <c r="G27" s="2393"/>
    </row>
    <row r="28" spans="1:10" ht="28.5" customHeight="1" x14ac:dyDescent="0.2">
      <c r="B28" s="1047"/>
      <c r="C28" s="2395"/>
      <c r="D28" s="2395"/>
      <c r="E28" s="1054"/>
      <c r="F28" s="2395"/>
      <c r="G28" s="2395"/>
    </row>
    <row r="29" spans="1:10" x14ac:dyDescent="0.2">
      <c r="B29" s="1047"/>
      <c r="C29" s="1055" t="s">
        <v>1561</v>
      </c>
      <c r="E29" s="1056"/>
      <c r="F29" s="2394" t="s">
        <v>1510</v>
      </c>
      <c r="G29" s="239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76" t="s">
        <v>132</v>
      </c>
      <c r="D33" s="2377"/>
      <c r="E33" s="2377"/>
      <c r="F33" s="2377"/>
      <c r="G33" s="2377"/>
      <c r="H33" s="2377"/>
      <c r="I33" s="2377"/>
    </row>
    <row r="34" spans="1:10" ht="10.35" customHeight="1" x14ac:dyDescent="0.2">
      <c r="C34" s="2377"/>
      <c r="D34" s="2377"/>
      <c r="E34" s="2377"/>
      <c r="F34" s="2377"/>
      <c r="G34" s="2377"/>
      <c r="H34" s="2377"/>
      <c r="I34" s="2377"/>
    </row>
    <row r="35" spans="1:10" ht="7.5" customHeight="1" x14ac:dyDescent="0.2">
      <c r="C35" s="1062"/>
    </row>
    <row r="36" spans="1:10" ht="13.5" customHeight="1" x14ac:dyDescent="0.2">
      <c r="B36" s="1061"/>
      <c r="C36" s="2378" t="s">
        <v>1979</v>
      </c>
      <c r="D36" s="2377"/>
      <c r="E36" s="2377"/>
      <c r="F36" s="2377"/>
      <c r="G36" s="2377"/>
      <c r="H36" s="2377"/>
      <c r="I36" s="2377"/>
      <c r="J36" s="1063"/>
    </row>
    <row r="37" spans="1:10" ht="22.5" customHeight="1" x14ac:dyDescent="0.2">
      <c r="C37" s="2377"/>
      <c r="D37" s="2377"/>
      <c r="E37" s="2377"/>
      <c r="F37" s="2377"/>
      <c r="G37" s="2377"/>
      <c r="H37" s="2377"/>
      <c r="I37" s="2377"/>
      <c r="J37" s="1063"/>
    </row>
    <row r="38" spans="1:10" ht="7.5" customHeight="1" x14ac:dyDescent="0.2">
      <c r="C38" s="1062"/>
      <c r="D38" s="1064"/>
      <c r="E38" s="1065"/>
      <c r="F38" s="1066"/>
      <c r="G38" s="1065"/>
    </row>
    <row r="39" spans="1:10" ht="13.5" customHeight="1" x14ac:dyDescent="0.2">
      <c r="B39" s="1061"/>
      <c r="C39" s="2374" t="s">
        <v>882</v>
      </c>
      <c r="D39" s="2375"/>
      <c r="E39" s="2375"/>
      <c r="F39" s="2375"/>
      <c r="G39" s="2375"/>
      <c r="H39" s="2375"/>
      <c r="I39" s="237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43" sqref="D4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Belleville Area Special Services</v>
      </c>
    </row>
    <row r="65" spans="2:2" x14ac:dyDescent="0.2">
      <c r="B65" s="1070">
        <f>COVER!A13</f>
        <v>50082801060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 zoomScale="110" zoomScaleNormal="110" workbookViewId="0">
      <selection activeCell="B30" sqref="B3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15" t="s">
        <v>1065</v>
      </c>
      <c r="B35" s="2115"/>
      <c r="C35" s="2115"/>
      <c r="D35" s="2115"/>
      <c r="E35" s="211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2" t="s">
        <v>691</v>
      </c>
      <c r="B40" s="2112"/>
      <c r="C40" s="2112"/>
      <c r="D40" s="2112"/>
      <c r="E40" s="2112"/>
    </row>
    <row r="41" spans="1:5" x14ac:dyDescent="0.2">
      <c r="A41" s="2113" t="s">
        <v>1608</v>
      </c>
      <c r="B41" s="2113"/>
      <c r="C41" s="2113"/>
      <c r="D41" s="2113"/>
      <c r="E41" s="2113"/>
    </row>
    <row r="42" spans="1:5" ht="12.75" customHeight="1" x14ac:dyDescent="0.2">
      <c r="A42" s="2114" t="s">
        <v>1022</v>
      </c>
      <c r="B42" s="2114"/>
      <c r="C42" s="2114"/>
      <c r="D42" s="2114"/>
      <c r="E42" s="2114"/>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43" sqref="D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5" sqref="D1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98" t="s">
        <v>1685</v>
      </c>
      <c r="B18" s="239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324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3249" r:id="rId4"/>
      </mc:Fallback>
    </mc:AlternateContent>
    <mc:AlternateContent xmlns:mc="http://schemas.openxmlformats.org/markup-compatibility/2006">
      <mc:Choice Requires="x14">
        <oleObject progId="Acrobat Document" dvAspect="DVASPECT_ICON" shapeId="53250" r:id="rId6">
          <objectPr defaultSize="0" r:id="rId7">
            <anchor moveWithCells="1">
              <from>
                <xdr:col>1</xdr:col>
                <xdr:colOff>1228725</xdr:colOff>
                <xdr:row>5</xdr:row>
                <xdr:rowOff>28575</xdr:rowOff>
              </from>
              <to>
                <xdr:col>1</xdr:col>
                <xdr:colOff>2143125</xdr:colOff>
                <xdr:row>9</xdr:row>
                <xdr:rowOff>66675</xdr:rowOff>
              </to>
            </anchor>
          </objectPr>
        </oleObject>
      </mc:Choice>
      <mc:Fallback>
        <oleObject progId="Acrobat Document" dvAspect="DVASPECT_ICON" shapeId="53250" r:id="rId6"/>
      </mc:Fallback>
    </mc:AlternateContent>
    <mc:AlternateContent xmlns:mc="http://schemas.openxmlformats.org/markup-compatibility/2006">
      <mc:Choice Requires="x14">
        <oleObject progId="Acrobat Document" dvAspect="DVASPECT_ICON" shapeId="53251" r:id="rId8">
          <objectPr defaultSize="0" r:id="rId9">
            <anchor moveWithCells="1">
              <from>
                <xdr:col>1</xdr:col>
                <xdr:colOff>2419350</xdr:colOff>
                <xdr:row>5</xdr:row>
                <xdr:rowOff>9525</xdr:rowOff>
              </from>
              <to>
                <xdr:col>1</xdr:col>
                <xdr:colOff>3324225</xdr:colOff>
                <xdr:row>9</xdr:row>
                <xdr:rowOff>38100</xdr:rowOff>
              </to>
            </anchor>
          </objectPr>
        </oleObject>
      </mc:Choice>
      <mc:Fallback>
        <oleObject progId="Acrobat Document" dvAspect="DVASPECT_ICON" shapeId="5325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43" sqref="D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9" t="s">
        <v>1690</v>
      </c>
      <c r="B1" s="2400"/>
      <c r="C1" s="2400"/>
      <c r="D1" s="2400"/>
      <c r="E1" s="2400"/>
      <c r="F1" s="2401"/>
    </row>
    <row r="2" spans="1:8" ht="45" customHeight="1" x14ac:dyDescent="0.2">
      <c r="A2" s="2409" t="s">
        <v>1983</v>
      </c>
      <c r="B2" s="2410"/>
      <c r="C2" s="2410"/>
      <c r="D2" s="2410"/>
      <c r="E2" s="2410"/>
      <c r="F2" s="2411"/>
      <c r="G2" s="1074"/>
      <c r="H2" s="1074"/>
    </row>
    <row r="3" spans="1:8" ht="57" customHeight="1" x14ac:dyDescent="0.2">
      <c r="A3" s="2412" t="s">
        <v>1686</v>
      </c>
      <c r="B3" s="2413"/>
      <c r="C3" s="2413"/>
      <c r="D3" s="2413"/>
      <c r="E3" s="2413"/>
      <c r="F3" s="2414"/>
      <c r="G3" s="1074"/>
      <c r="H3" s="1074"/>
    </row>
    <row r="4" spans="1:8" ht="14.25" customHeight="1" x14ac:dyDescent="0.2">
      <c r="A4" s="2418" t="s">
        <v>1984</v>
      </c>
      <c r="B4" s="2419"/>
      <c r="C4" s="2419"/>
      <c r="D4" s="2419"/>
      <c r="E4" s="2419"/>
      <c r="F4" s="2420"/>
      <c r="G4" s="1074"/>
      <c r="H4" s="1074"/>
    </row>
    <row r="5" spans="1:8" ht="14.25" customHeight="1" x14ac:dyDescent="0.2">
      <c r="A5" s="2421" t="s">
        <v>1980</v>
      </c>
      <c r="B5" s="2422"/>
      <c r="C5" s="2422"/>
      <c r="D5" s="2422"/>
      <c r="E5" s="2422"/>
      <c r="F5" s="2423"/>
      <c r="G5" s="1074"/>
      <c r="H5" s="1074"/>
    </row>
    <row r="6" spans="1:8" s="1075" customFormat="1" ht="41.25" customHeight="1" x14ac:dyDescent="0.2">
      <c r="A6" s="2415" t="s">
        <v>1691</v>
      </c>
      <c r="B6" s="2416"/>
      <c r="C6" s="2416"/>
      <c r="D6" s="2416"/>
      <c r="E6" s="2416"/>
      <c r="F6" s="241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19088710</v>
      </c>
      <c r="C8" s="1815">
        <f>'Acct Summary 7-8'!D8</f>
        <v>0</v>
      </c>
      <c r="D8" s="1815">
        <f>'Acct Summary 7-8'!F8</f>
        <v>0</v>
      </c>
      <c r="E8" s="1815">
        <f>'Acct Summary 7-8'!I8</f>
        <v>0</v>
      </c>
      <c r="F8" s="1815">
        <f>SUM(B8:E8)</f>
        <v>19088710</v>
      </c>
    </row>
    <row r="9" spans="1:8" s="1079" customFormat="1" ht="14.25" customHeight="1" thickBot="1" x14ac:dyDescent="0.25">
      <c r="A9" s="1078" t="s">
        <v>1369</v>
      </c>
      <c r="B9" s="1816">
        <f>'Acct Summary 7-8'!C17</f>
        <v>18878032</v>
      </c>
      <c r="C9" s="1816">
        <f>'Acct Summary 7-8'!D17</f>
        <v>0</v>
      </c>
      <c r="D9" s="1816">
        <f>'Acct Summary 7-8'!F17</f>
        <v>0</v>
      </c>
      <c r="E9" s="1815"/>
      <c r="F9" s="1815">
        <f>SUM(B9:E9)</f>
        <v>18878032</v>
      </c>
    </row>
    <row r="10" spans="1:8" s="1079" customFormat="1" ht="14.25" thickTop="1" thickBot="1" x14ac:dyDescent="0.25">
      <c r="A10" s="1080" t="s">
        <v>1370</v>
      </c>
      <c r="B10" s="1817">
        <f>(B8-B9)</f>
        <v>210678</v>
      </c>
      <c r="C10" s="1817">
        <f>(C8-C9)</f>
        <v>0</v>
      </c>
      <c r="D10" s="1817">
        <f>(D8-D9)</f>
        <v>0</v>
      </c>
      <c r="E10" s="1816">
        <f>(E8-E9)</f>
        <v>0</v>
      </c>
      <c r="F10" s="1818">
        <f>SUM(F8-F9)</f>
        <v>210678</v>
      </c>
    </row>
    <row r="11" spans="1:8" s="1079" customFormat="1" ht="14.25" thickTop="1" thickBot="1" x14ac:dyDescent="0.25">
      <c r="A11" s="1081" t="s">
        <v>1981</v>
      </c>
      <c r="B11" s="1819">
        <f>'Acct Summary 7-8'!C81</f>
        <v>4969630</v>
      </c>
      <c r="C11" s="1819">
        <f>'Acct Summary 7-8'!D81</f>
        <v>0</v>
      </c>
      <c r="D11" s="1819">
        <f>'Acct Summary 7-8'!F81</f>
        <v>0</v>
      </c>
      <c r="E11" s="1819">
        <f>'Acct Summary 7-8'!I81</f>
        <v>0</v>
      </c>
      <c r="F11" s="1820">
        <f>SUM(B11:E11)</f>
        <v>4969630</v>
      </c>
    </row>
    <row r="12" spans="1:8" ht="16.5" customHeight="1" thickTop="1" x14ac:dyDescent="0.2">
      <c r="A12" s="1082"/>
      <c r="B12" s="1083"/>
      <c r="C12" s="2403" t="str">
        <f>IF(AND(F10&lt;0,F11&gt;=0,ABS(F10*3)&gt;ABS(F11)),A16,IF(AND(F10&lt;0,F11&gt;0,ABS(F10*3)&lt;=ABS(F11)),A17,IF(AND(F10&lt;0,F11&lt;0),A16,IF(F11=0,A19,A18))))</f>
        <v>Balanced - no deficit reduction plan is required.</v>
      </c>
      <c r="D12" s="2404"/>
      <c r="E12" s="2404"/>
      <c r="F12" s="2405"/>
    </row>
    <row r="13" spans="1:8" ht="19.5" customHeight="1" x14ac:dyDescent="0.2">
      <c r="A13" s="1084"/>
      <c r="B13" s="1085"/>
      <c r="C13" s="2403"/>
      <c r="D13" s="2404"/>
      <c r="E13" s="2404"/>
      <c r="F13" s="2405"/>
      <c r="H13" s="1074"/>
    </row>
    <row r="14" spans="1:8" ht="19.5" customHeight="1" x14ac:dyDescent="0.2">
      <c r="A14" s="1084"/>
      <c r="B14" s="1085"/>
      <c r="C14" s="2403"/>
      <c r="D14" s="2404"/>
      <c r="E14" s="2404"/>
      <c r="F14" s="2405"/>
      <c r="H14" s="1074"/>
    </row>
    <row r="15" spans="1:8" ht="17.25" customHeight="1" x14ac:dyDescent="0.2">
      <c r="A15" s="1084"/>
      <c r="B15" s="1085"/>
      <c r="C15" s="2406"/>
      <c r="D15" s="2407"/>
      <c r="E15" s="2407"/>
      <c r="F15" s="2408"/>
      <c r="H15" s="1074"/>
    </row>
    <row r="16" spans="1:8" s="310" customFormat="1" ht="51.75" hidden="1" customHeight="1" x14ac:dyDescent="0.2">
      <c r="A16" s="2402" t="s">
        <v>1687</v>
      </c>
      <c r="B16" s="2402"/>
      <c r="C16" s="2402"/>
      <c r="D16" s="2402"/>
      <c r="E16" s="240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0" colorId="8" zoomScale="110" zoomScaleNormal="110" workbookViewId="0">
      <selection activeCell="C43" sqref="C43:D4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424" t="s">
        <v>665</v>
      </c>
      <c r="B3" s="2425"/>
      <c r="C3" s="2425"/>
      <c r="D3" s="2426"/>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35" t="s">
        <v>1504</v>
      </c>
      <c r="D7" s="2436"/>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27" t="s">
        <v>1008</v>
      </c>
      <c r="B15" s="2428"/>
      <c r="C15" s="2428"/>
      <c r="D15" s="2429"/>
    </row>
    <row r="16" spans="1:4" s="668" customFormat="1" ht="24" customHeight="1" x14ac:dyDescent="0.2">
      <c r="A16" s="2430" t="s">
        <v>663</v>
      </c>
      <c r="B16" s="2431"/>
      <c r="C16" s="2431"/>
      <c r="D16" s="243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39" t="s">
        <v>314</v>
      </c>
      <c r="D21" s="2440"/>
    </row>
    <row r="22" spans="1:10" ht="12.75" x14ac:dyDescent="0.2">
      <c r="A22" s="1139"/>
      <c r="B22" s="1140">
        <v>2</v>
      </c>
      <c r="C22" s="2437" t="s">
        <v>1524</v>
      </c>
      <c r="D22" s="2438"/>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41" t="s">
        <v>536</v>
      </c>
      <c r="D43" s="244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33" t="s">
        <v>784</v>
      </c>
      <c r="D56" s="243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433" t="s">
        <v>1696</v>
      </c>
      <c r="D70" s="243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ENTRY IS REQUIRED!</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50082801060</v>
      </c>
    </row>
    <row r="3" spans="1:2" x14ac:dyDescent="0.2">
      <c r="A3" t="s">
        <v>956</v>
      </c>
      <c r="B3" s="138" t="str">
        <f>COVER!A15</f>
        <v>St. Clair</v>
      </c>
    </row>
    <row r="4" spans="1:2" x14ac:dyDescent="0.2">
      <c r="A4" t="s">
        <v>1007</v>
      </c>
      <c r="B4" s="138" t="str">
        <f>COVER!A17</f>
        <v>Belleville Area Special Services</v>
      </c>
    </row>
    <row r="5" spans="1:2" x14ac:dyDescent="0.2">
      <c r="A5" t="s">
        <v>704</v>
      </c>
      <c r="B5" s="138" t="str">
        <f>COVER!A38</f>
        <v>Brian Arteberry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065-026956</v>
      </c>
    </row>
    <row r="16" spans="1:2" x14ac:dyDescent="0.2">
      <c r="A16" t="s">
        <v>422</v>
      </c>
      <c r="B16" s="138" t="str">
        <f>COVER!T13</f>
        <v>Scheffel Boyle</v>
      </c>
    </row>
    <row r="17" spans="1:2" x14ac:dyDescent="0.2">
      <c r="A17" t="s">
        <v>884</v>
      </c>
      <c r="B17" s="138" t="str">
        <f>COVER!T15</f>
        <v>Dale Holtmann</v>
      </c>
    </row>
    <row r="18" spans="1:2" x14ac:dyDescent="0.2">
      <c r="A18" t="s">
        <v>1150</v>
      </c>
      <c r="B18" s="138" t="str">
        <f>COVER!T17</f>
        <v>222 East Main Street</v>
      </c>
    </row>
    <row r="19" spans="1:2" x14ac:dyDescent="0.2">
      <c r="A19" t="s">
        <v>886</v>
      </c>
      <c r="B19" s="138" t="str">
        <f>COVER!T25</f>
        <v>dale.holtmann@scheffelboyle.com</v>
      </c>
    </row>
    <row r="20" spans="1:2" x14ac:dyDescent="0.2">
      <c r="A20" t="s">
        <v>887</v>
      </c>
      <c r="B20" s="138" t="str">
        <f>COVER!T19</f>
        <v>Belleville</v>
      </c>
    </row>
    <row r="21" spans="1:2" x14ac:dyDescent="0.2">
      <c r="A21" t="s">
        <v>479</v>
      </c>
      <c r="B21" s="138" t="str">
        <f>COVER!X19</f>
        <v>IL</v>
      </c>
    </row>
    <row r="22" spans="1:2" x14ac:dyDescent="0.2">
      <c r="A22" t="s">
        <v>888</v>
      </c>
      <c r="B22" s="138">
        <f>COVER!Z19</f>
        <v>62220</v>
      </c>
    </row>
    <row r="23" spans="1:2" x14ac:dyDescent="0.2">
      <c r="A23" t="s">
        <v>1152</v>
      </c>
      <c r="B23" s="138" t="str">
        <f>COVER!T21</f>
        <v>618-277-8100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43707</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9186766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619260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4217136</v>
      </c>
      <c r="C91" s="2" t="s">
        <v>573</v>
      </c>
      <c r="D91" s="2" t="str">
        <f t="shared" si="0"/>
        <v>Error?</v>
      </c>
    </row>
    <row r="92" spans="1:4" x14ac:dyDescent="0.2">
      <c r="A92" s="5">
        <v>31</v>
      </c>
      <c r="B92" s="138">
        <f>'Assets-Liab 5-6'!C39</f>
        <v>0</v>
      </c>
      <c r="D92" s="2" t="str">
        <f t="shared" si="0"/>
        <v>Error?</v>
      </c>
    </row>
    <row r="93" spans="1:4" x14ac:dyDescent="0.2">
      <c r="A93" s="5">
        <v>32</v>
      </c>
      <c r="B93" s="138">
        <f>'Assets-Liab 5-6'!C41</f>
        <v>9186766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53493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53493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53493</v>
      </c>
      <c r="D282" s="2" t="str">
        <f t="shared" si="3"/>
        <v>Error?</v>
      </c>
    </row>
    <row r="283" spans="1:4" x14ac:dyDescent="0.2">
      <c r="A283" s="5">
        <v>222</v>
      </c>
      <c r="B283" s="138">
        <f>'Assets-Liab 5-6'!N22</f>
        <v>921507</v>
      </c>
      <c r="D283" s="2" t="str">
        <f t="shared" si="3"/>
        <v>Error?</v>
      </c>
    </row>
    <row r="284" spans="1:4" x14ac:dyDescent="0.2">
      <c r="A284" s="5">
        <v>223</v>
      </c>
      <c r="B284" s="138">
        <f>'Assets-Liab 5-6'!N23</f>
        <v>975000</v>
      </c>
      <c r="C284" s="2" t="s">
        <v>573</v>
      </c>
      <c r="D284" s="2" t="str">
        <f t="shared" si="3"/>
        <v>Error?</v>
      </c>
    </row>
    <row r="285" spans="1:4" x14ac:dyDescent="0.2">
      <c r="A285" s="5">
        <v>224</v>
      </c>
      <c r="B285" s="138">
        <f>'Assets-Liab 5-6'!N36</f>
        <v>975000</v>
      </c>
      <c r="D285" s="2" t="str">
        <f t="shared" si="3"/>
        <v>Error?</v>
      </c>
    </row>
    <row r="286" spans="1:4" x14ac:dyDescent="0.2">
      <c r="A286" s="10">
        <v>225</v>
      </c>
      <c r="D286" s="2" t="str">
        <f t="shared" si="3"/>
        <v>OK</v>
      </c>
    </row>
    <row r="287" spans="1:4" x14ac:dyDescent="0.2">
      <c r="A287" s="5">
        <v>226</v>
      </c>
      <c r="B287" s="138">
        <f>'Assets-Liab 5-6'!N37</f>
        <v>975000</v>
      </c>
      <c r="C287" s="2" t="s">
        <v>573</v>
      </c>
      <c r="D287" s="2" t="str">
        <f t="shared" si="3"/>
        <v>Error?</v>
      </c>
    </row>
    <row r="288" spans="1:4" x14ac:dyDescent="0.2">
      <c r="A288" s="5">
        <v>227</v>
      </c>
      <c r="B288" s="138">
        <f>'Assets-Liab 5-6'!N41</f>
        <v>975000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2320</v>
      </c>
      <c r="D719" s="2" t="str">
        <f t="shared" si="10"/>
        <v>Error?</v>
      </c>
    </row>
    <row r="720" spans="1:4" x14ac:dyDescent="0.2">
      <c r="A720" s="5">
        <v>659</v>
      </c>
      <c r="B720" s="138">
        <f>'Expenditures 15-22'!C33</f>
        <v>4157758</v>
      </c>
      <c r="C720" s="2" t="s">
        <v>573</v>
      </c>
      <c r="D720" s="2" t="str">
        <f t="shared" si="10"/>
        <v>Error?</v>
      </c>
    </row>
    <row r="721" spans="1:4" x14ac:dyDescent="0.2">
      <c r="A721" s="5">
        <v>660</v>
      </c>
      <c r="B721" s="138">
        <f>'Expenditures 15-22'!C36</f>
        <v>210134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403358</v>
      </c>
      <c r="D723" s="2" t="str">
        <f t="shared" si="10"/>
        <v>Error?</v>
      </c>
    </row>
    <row r="724" spans="1:4" x14ac:dyDescent="0.2">
      <c r="A724" s="5">
        <v>663</v>
      </c>
      <c r="B724" s="138">
        <f>'Expenditures 15-22'!C39</f>
        <v>975148</v>
      </c>
      <c r="D724" s="2" t="str">
        <f t="shared" si="10"/>
        <v>Error?</v>
      </c>
    </row>
    <row r="725" spans="1:4" x14ac:dyDescent="0.2">
      <c r="A725" s="5">
        <v>664</v>
      </c>
      <c r="B725" s="138">
        <f>'Expenditures 15-22'!C40</f>
        <v>424885</v>
      </c>
      <c r="D725" s="2" t="str">
        <f t="shared" si="10"/>
        <v>Error?</v>
      </c>
    </row>
    <row r="726" spans="1:4" x14ac:dyDescent="0.2">
      <c r="A726" s="5">
        <v>665</v>
      </c>
      <c r="B726" s="138">
        <f>'Expenditures 15-22'!C41</f>
        <v>109282</v>
      </c>
      <c r="D726" s="2" t="str">
        <f t="shared" si="10"/>
        <v>Error?</v>
      </c>
    </row>
    <row r="727" spans="1:4" x14ac:dyDescent="0.2">
      <c r="A727" s="5">
        <v>666</v>
      </c>
      <c r="B727" s="138">
        <f>'Expenditures 15-22'!C42</f>
        <v>2122807</v>
      </c>
      <c r="C727" s="2" t="s">
        <v>573</v>
      </c>
      <c r="D727" s="2" t="str">
        <f t="shared" si="10"/>
        <v>Error?</v>
      </c>
    </row>
    <row r="728" spans="1:4" x14ac:dyDescent="0.2">
      <c r="A728" s="5">
        <v>667</v>
      </c>
      <c r="B728" s="138">
        <f>'Expenditures 15-22'!C44</f>
        <v>401615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401615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190487</v>
      </c>
      <c r="C734" s="2" t="s">
        <v>573</v>
      </c>
      <c r="D734" s="2" t="str">
        <f t="shared" si="10"/>
        <v>Error?</v>
      </c>
    </row>
    <row r="735" spans="1:4" x14ac:dyDescent="0.2">
      <c r="A735" s="5">
        <v>674</v>
      </c>
      <c r="B735" s="138">
        <f>'Expenditures 15-22'!C55</f>
        <v>168090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168090</v>
      </c>
      <c r="C737" s="2" t="s">
        <v>573</v>
      </c>
      <c r="D737" s="2" t="str">
        <f t="shared" si="10"/>
        <v>Error?</v>
      </c>
    </row>
    <row r="738" spans="1:4" x14ac:dyDescent="0.2">
      <c r="A738" s="5">
        <v>677</v>
      </c>
      <c r="B738" s="138">
        <f>'Expenditures 15-22'!C59</f>
        <v>85145</v>
      </c>
      <c r="D738" s="2" t="str">
        <f t="shared" si="10"/>
        <v>Error?</v>
      </c>
    </row>
    <row r="739" spans="1:4" x14ac:dyDescent="0.2">
      <c r="A739" s="5">
        <v>678</v>
      </c>
      <c r="B739" s="138">
        <f>'Expenditures 15-22'!C60</f>
        <v>126594</v>
      </c>
      <c r="D739" s="2" t="str">
        <f t="shared" si="10"/>
        <v>Error?</v>
      </c>
    </row>
    <row r="740" spans="1:4" x14ac:dyDescent="0.2">
      <c r="A740" s="5">
        <v>679</v>
      </c>
      <c r="B740" s="138">
        <f>'Expenditures 15-22'!C61</f>
        <v>140550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23636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375925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3258924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7416682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301</v>
      </c>
      <c r="D777" s="2" t="str">
        <f t="shared" si="11"/>
        <v>Error?</v>
      </c>
    </row>
    <row r="778" spans="1:4" x14ac:dyDescent="0.2">
      <c r="A778" s="5">
        <v>717</v>
      </c>
      <c r="B778" s="138">
        <f>'Expenditures 15-22'!D33</f>
        <v>2067857</v>
      </c>
      <c r="C778" s="2" t="s">
        <v>573</v>
      </c>
      <c r="D778" s="2" t="str">
        <f t="shared" si="11"/>
        <v>Error?</v>
      </c>
    </row>
    <row r="779" spans="1:4" x14ac:dyDescent="0.2">
      <c r="A779" s="5">
        <v>718</v>
      </c>
      <c r="B779" s="138">
        <f>'Expenditures 15-22'!D36</f>
        <v>63314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166541</v>
      </c>
      <c r="D781" s="2" t="str">
        <f t="shared" si="11"/>
        <v>Error?</v>
      </c>
    </row>
    <row r="782" spans="1:4" x14ac:dyDescent="0.2">
      <c r="A782" s="5">
        <v>721</v>
      </c>
      <c r="B782" s="138">
        <f>'Expenditures 15-22'!D39</f>
        <v>268311</v>
      </c>
      <c r="D782" s="2" t="str">
        <f t="shared" si="11"/>
        <v>Error?</v>
      </c>
    </row>
    <row r="783" spans="1:4" x14ac:dyDescent="0.2">
      <c r="A783" s="5">
        <v>722</v>
      </c>
      <c r="B783" s="138">
        <f>'Expenditures 15-22'!D40</f>
        <v>140200</v>
      </c>
      <c r="D783" s="2" t="str">
        <f t="shared" si="11"/>
        <v>Error?</v>
      </c>
    </row>
    <row r="784" spans="1:4" x14ac:dyDescent="0.2">
      <c r="A784" s="5">
        <v>723</v>
      </c>
      <c r="B784" s="138">
        <f>'Expenditures 15-22'!D41</f>
        <v>43974</v>
      </c>
      <c r="D784" s="2" t="str">
        <f t="shared" si="11"/>
        <v>Error?</v>
      </c>
    </row>
    <row r="785" spans="1:4" x14ac:dyDescent="0.2">
      <c r="A785" s="5">
        <v>724</v>
      </c>
      <c r="B785" s="138">
        <f>'Expenditures 15-22'!D42</f>
        <v>682340</v>
      </c>
      <c r="C785" s="2" t="s">
        <v>573</v>
      </c>
      <c r="D785" s="2" t="str">
        <f t="shared" si="11"/>
        <v>Error?</v>
      </c>
    </row>
    <row r="786" spans="1:4" x14ac:dyDescent="0.2">
      <c r="A786" s="5">
        <v>725</v>
      </c>
      <c r="B786" s="138">
        <f>'Expenditures 15-22'!D44</f>
        <v>136576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136576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57999</v>
      </c>
      <c r="C792" s="2" t="s">
        <v>573</v>
      </c>
      <c r="D792" s="2" t="str">
        <f t="shared" si="11"/>
        <v>Error?</v>
      </c>
    </row>
    <row r="793" spans="1:4" x14ac:dyDescent="0.2">
      <c r="A793" s="5">
        <v>732</v>
      </c>
      <c r="B793" s="138">
        <f>'Expenditures 15-22'!D55</f>
        <v>66998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66998</v>
      </c>
      <c r="C795" s="2" t="s">
        <v>573</v>
      </c>
      <c r="D795" s="2" t="str">
        <f t="shared" si="11"/>
        <v>Error?</v>
      </c>
    </row>
    <row r="796" spans="1:4" x14ac:dyDescent="0.2">
      <c r="A796" s="5">
        <v>735</v>
      </c>
      <c r="B796" s="138">
        <f>'Expenditures 15-22'!D59</f>
        <v>27872</v>
      </c>
      <c r="D796" s="2" t="str">
        <f t="shared" si="11"/>
        <v>Error?</v>
      </c>
    </row>
    <row r="797" spans="1:4" x14ac:dyDescent="0.2">
      <c r="A797" s="5">
        <v>736</v>
      </c>
      <c r="B797" s="138">
        <f>'Expenditures 15-22'!D60</f>
        <v>52244</v>
      </c>
      <c r="D797" s="2" t="str">
        <f t="shared" si="11"/>
        <v>Error?</v>
      </c>
    </row>
    <row r="798" spans="1:4" x14ac:dyDescent="0.2">
      <c r="A798" s="5">
        <v>737</v>
      </c>
      <c r="B798" s="138">
        <f>'Expenditures 15-22'!D61</f>
        <v>72198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10769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163083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1106996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3174853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81332</v>
      </c>
      <c r="C836" s="2" t="s">
        <v>573</v>
      </c>
      <c r="D836" s="2" t="str">
        <f t="shared" si="12"/>
        <v>Error?</v>
      </c>
    </row>
    <row r="837" spans="1:4" x14ac:dyDescent="0.2">
      <c r="A837" s="5">
        <v>776</v>
      </c>
      <c r="B837" s="138">
        <f>'Expenditures 15-22'!E36</f>
        <v>1751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28718</v>
      </c>
      <c r="D839" s="2" t="str">
        <f t="shared" si="12"/>
        <v>Error?</v>
      </c>
    </row>
    <row r="840" spans="1:4" x14ac:dyDescent="0.2">
      <c r="A840" s="5">
        <v>779</v>
      </c>
      <c r="B840" s="138">
        <f>'Expenditures 15-22'!E39</f>
        <v>12813</v>
      </c>
      <c r="D840" s="2" t="str">
        <f t="shared" si="12"/>
        <v>Error?</v>
      </c>
    </row>
    <row r="841" spans="1:4" x14ac:dyDescent="0.2">
      <c r="A841" s="5">
        <v>780</v>
      </c>
      <c r="B841" s="138">
        <f>'Expenditures 15-22'!E40</f>
        <v>7941</v>
      </c>
      <c r="D841" s="2" t="str">
        <f t="shared" si="12"/>
        <v>Error?</v>
      </c>
    </row>
    <row r="842" spans="1:4" x14ac:dyDescent="0.2">
      <c r="A842" s="5">
        <v>781</v>
      </c>
      <c r="B842" s="138">
        <f>'Expenditures 15-22'!E41</f>
        <v>2795</v>
      </c>
      <c r="D842" s="2" t="str">
        <f t="shared" si="12"/>
        <v>Error?</v>
      </c>
    </row>
    <row r="843" spans="1:4" x14ac:dyDescent="0.2">
      <c r="A843" s="5">
        <v>782</v>
      </c>
      <c r="B843" s="138">
        <f>'Expenditures 15-22'!E42</f>
        <v>54018</v>
      </c>
      <c r="C843" s="2" t="s">
        <v>573</v>
      </c>
      <c r="D843" s="2" t="str">
        <f t="shared" si="12"/>
        <v>Error?</v>
      </c>
    </row>
    <row r="844" spans="1:4" x14ac:dyDescent="0.2">
      <c r="A844" s="5">
        <v>783</v>
      </c>
      <c r="B844" s="138">
        <f>'Expenditures 15-22'!E44</f>
        <v>48512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48512</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295468</v>
      </c>
      <c r="C850" s="2" t="s">
        <v>573</v>
      </c>
      <c r="D850" s="2" t="str">
        <f t="shared" si="12"/>
        <v>Error?</v>
      </c>
    </row>
    <row r="851" spans="1:4" x14ac:dyDescent="0.2">
      <c r="A851" s="5">
        <v>790</v>
      </c>
      <c r="B851" s="138">
        <f>'Expenditures 15-22'!E55</f>
        <v>1143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1143</v>
      </c>
      <c r="C853" s="2" t="s">
        <v>573</v>
      </c>
      <c r="D853" s="2" t="str">
        <f t="shared" si="12"/>
        <v>Error?</v>
      </c>
    </row>
    <row r="854" spans="1:4" x14ac:dyDescent="0.2">
      <c r="A854" s="5">
        <v>793</v>
      </c>
      <c r="B854" s="138">
        <f>'Expenditures 15-22'!E59</f>
        <v>1008</v>
      </c>
      <c r="D854" s="2" t="str">
        <f t="shared" si="12"/>
        <v>Error?</v>
      </c>
    </row>
    <row r="855" spans="1:4" x14ac:dyDescent="0.2">
      <c r="A855" s="5">
        <v>794</v>
      </c>
      <c r="B855" s="138">
        <f>'Expenditures 15-22'!E60</f>
        <v>0</v>
      </c>
      <c r="D855" s="2" t="str">
        <f t="shared" si="12"/>
        <v>Error?</v>
      </c>
    </row>
    <row r="856" spans="1:4" x14ac:dyDescent="0.2">
      <c r="A856" s="5">
        <v>795</v>
      </c>
      <c r="B856" s="138">
        <f>'Expenditures 15-22'!E61</f>
        <v>908936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910047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2749</v>
      </c>
      <c r="D864" s="2" t="str">
        <f t="shared" si="12"/>
        <v>Error?</v>
      </c>
    </row>
    <row r="865" spans="1:4" x14ac:dyDescent="0.2">
      <c r="A865" s="5">
        <v>804</v>
      </c>
      <c r="B865" s="138">
        <f>'Expenditures 15-22'!E70</f>
        <v>2800</v>
      </c>
      <c r="D865" s="2" t="str">
        <f t="shared" si="12"/>
        <v>Error?</v>
      </c>
    </row>
    <row r="866" spans="1:4" x14ac:dyDescent="0.2">
      <c r="A866" s="10">
        <v>805</v>
      </c>
      <c r="D866" s="2" t="str">
        <f t="shared" si="12"/>
        <v>OK</v>
      </c>
    </row>
    <row r="867" spans="1:4" x14ac:dyDescent="0.2">
      <c r="A867" s="5">
        <v>806</v>
      </c>
      <c r="B867" s="138">
        <f>'Expenditures 15-22'!E71</f>
        <v>88735</v>
      </c>
      <c r="D867" s="2" t="str">
        <f t="shared" si="12"/>
        <v>Error?</v>
      </c>
    </row>
    <row r="868" spans="1:4" x14ac:dyDescent="0.2">
      <c r="A868" s="10">
        <v>807</v>
      </c>
      <c r="D868" s="2" t="str">
        <f t="shared" si="12"/>
        <v>OK</v>
      </c>
    </row>
    <row r="869" spans="1:4" x14ac:dyDescent="0.2">
      <c r="A869" s="5">
        <v>808</v>
      </c>
      <c r="B869" s="138">
        <f>'Expenditures 15-22'!E72</f>
        <v>94284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1403472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1560315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96872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12751</v>
      </c>
      <c r="D897" s="2" t="str">
        <f t="shared" si="13"/>
        <v>Error?</v>
      </c>
    </row>
    <row r="898" spans="1:4" x14ac:dyDescent="0.2">
      <c r="A898" s="5">
        <v>837</v>
      </c>
      <c r="B898" s="138">
        <f>'Expenditures 15-22'!F39</f>
        <v>22825</v>
      </c>
      <c r="D898" s="2" t="str">
        <f t="shared" si="13"/>
        <v>Error?</v>
      </c>
    </row>
    <row r="899" spans="1:4" x14ac:dyDescent="0.2">
      <c r="A899" s="5">
        <v>838</v>
      </c>
      <c r="B899" s="138">
        <f>'Expenditures 15-22'!F40</f>
        <v>5912</v>
      </c>
      <c r="D899" s="2" t="str">
        <f t="shared" si="13"/>
        <v>Error?</v>
      </c>
    </row>
    <row r="900" spans="1:4" x14ac:dyDescent="0.2">
      <c r="A900" s="5">
        <v>839</v>
      </c>
      <c r="B900" s="138">
        <f>'Expenditures 15-22'!F41</f>
        <v>460</v>
      </c>
      <c r="D900" s="2" t="str">
        <f t="shared" si="13"/>
        <v>Error?</v>
      </c>
    </row>
    <row r="901" spans="1:4" x14ac:dyDescent="0.2">
      <c r="A901" s="5">
        <v>840</v>
      </c>
      <c r="B901" s="138">
        <f>'Expenditures 15-22'!F42</f>
        <v>41948</v>
      </c>
      <c r="C901" s="2" t="s">
        <v>573</v>
      </c>
      <c r="D901" s="2" t="str">
        <f t="shared" si="13"/>
        <v>Error?</v>
      </c>
    </row>
    <row r="902" spans="1:4" x14ac:dyDescent="0.2">
      <c r="A902" s="5">
        <v>841</v>
      </c>
      <c r="B902" s="138">
        <f>'Expenditures 15-22'!F44</f>
        <v>13639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13639</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6881</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774</v>
      </c>
      <c r="D913" s="2" t="str">
        <f t="shared" si="13"/>
        <v>Error?</v>
      </c>
    </row>
    <row r="914" spans="1:4" x14ac:dyDescent="0.2">
      <c r="A914" s="5">
        <v>853</v>
      </c>
      <c r="B914" s="138">
        <f>'Expenditures 15-22'!F61</f>
        <v>93318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10274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104366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1554</v>
      </c>
      <c r="D925" s="2" t="str">
        <f t="shared" si="13"/>
        <v>Error?</v>
      </c>
    </row>
    <row r="926" spans="1:4" x14ac:dyDescent="0.2">
      <c r="A926" s="10">
        <v>865</v>
      </c>
      <c r="D926" s="2" t="str">
        <f t="shared" si="13"/>
        <v>OK</v>
      </c>
    </row>
    <row r="927" spans="1:4" x14ac:dyDescent="0.2">
      <c r="A927" s="5">
        <v>866</v>
      </c>
      <c r="B927" s="138">
        <f>'Expenditures 15-22'!F72</f>
        <v>1554</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168388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265260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338379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338379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338379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338379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2866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2866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6014209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6017075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2621</v>
      </c>
      <c r="C1107" s="2" t="s">
        <v>573</v>
      </c>
      <c r="D1107" s="2" t="str">
        <f t="shared" si="16"/>
        <v>Error?</v>
      </c>
    </row>
    <row r="1108" spans="1:4" x14ac:dyDescent="0.2">
      <c r="A1108" s="5">
        <v>1047</v>
      </c>
      <c r="B1108" s="138">
        <f>'Expenditures 15-22'!K33</f>
        <v>6423430</v>
      </c>
      <c r="C1108" s="2" t="s">
        <v>573</v>
      </c>
      <c r="D1108" s="2" t="str">
        <f t="shared" si="16"/>
        <v>Error?</v>
      </c>
    </row>
    <row r="1109" spans="1:4" x14ac:dyDescent="0.2">
      <c r="A1109" s="5">
        <v>1048</v>
      </c>
      <c r="B1109" s="138">
        <f>'Expenditures 15-22'!K36</f>
        <v>275199</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624090</v>
      </c>
      <c r="C1111" s="2" t="s">
        <v>573</v>
      </c>
      <c r="D1111" s="2" t="str">
        <f t="shared" si="16"/>
        <v>Error?</v>
      </c>
    </row>
    <row r="1112" spans="1:4" x14ac:dyDescent="0.2">
      <c r="A1112" s="5">
        <v>1051</v>
      </c>
      <c r="B1112" s="138">
        <f>'Expenditures 15-22'!K39</f>
        <v>1279097</v>
      </c>
      <c r="C1112" s="2" t="s">
        <v>573</v>
      </c>
      <c r="D1112" s="2" t="str">
        <f t="shared" si="16"/>
        <v>Error?</v>
      </c>
    </row>
    <row r="1113" spans="1:4" x14ac:dyDescent="0.2">
      <c r="A1113" s="5">
        <v>1052</v>
      </c>
      <c r="B1113" s="138">
        <f>'Expenditures 15-22'!K40</f>
        <v>629997</v>
      </c>
      <c r="C1113" s="2" t="s">
        <v>573</v>
      </c>
      <c r="D1113" s="2" t="str">
        <f t="shared" si="16"/>
        <v>Error?</v>
      </c>
    </row>
    <row r="1114" spans="1:4" x14ac:dyDescent="0.2">
      <c r="A1114" s="5">
        <v>1053</v>
      </c>
      <c r="B1114" s="138">
        <f>'Expenditures 15-22'!K41</f>
        <v>156511</v>
      </c>
      <c r="C1114" s="2" t="s">
        <v>573</v>
      </c>
      <c r="D1114" s="2" t="str">
        <f t="shared" si="16"/>
        <v>Error?</v>
      </c>
    </row>
    <row r="1115" spans="1:4" x14ac:dyDescent="0.2">
      <c r="A1115" s="5">
        <v>1054</v>
      </c>
      <c r="B1115" s="138">
        <f>'Expenditures 15-22'!K42</f>
        <v>2964894</v>
      </c>
      <c r="C1115" s="2" t="s">
        <v>573</v>
      </c>
      <c r="D1115" s="2" t="str">
        <f t="shared" si="16"/>
        <v>Error?</v>
      </c>
    </row>
    <row r="1116" spans="1:4" x14ac:dyDescent="0.2">
      <c r="A1116" s="5">
        <v>1055</v>
      </c>
      <c r="B1116" s="138">
        <f>'Expenditures 15-22'!K44</f>
        <v>601737</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601737</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553701</v>
      </c>
      <c r="C1122" s="2" t="s">
        <v>573</v>
      </c>
      <c r="D1122" s="2" t="str">
        <f t="shared" si="16"/>
        <v>Error?</v>
      </c>
    </row>
    <row r="1123" spans="1:4" x14ac:dyDescent="0.2">
      <c r="A1123" s="5">
        <v>1062</v>
      </c>
      <c r="B1123" s="138">
        <f>'Expenditures 15-22'!K55</f>
        <v>236231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236231</v>
      </c>
      <c r="C1125" s="2" t="s">
        <v>573</v>
      </c>
      <c r="D1125" s="2" t="str">
        <f t="shared" si="16"/>
        <v>Error?</v>
      </c>
    </row>
    <row r="1126" spans="1:4" x14ac:dyDescent="0.2">
      <c r="A1126" s="5">
        <v>1065</v>
      </c>
      <c r="B1126" s="138">
        <f>'Expenditures 15-22'!K59</f>
        <v>114025</v>
      </c>
      <c r="C1126" s="2" t="s">
        <v>573</v>
      </c>
      <c r="D1126" s="2" t="str">
        <f t="shared" si="16"/>
        <v>Error?</v>
      </c>
    </row>
    <row r="1127" spans="1:4" x14ac:dyDescent="0.2">
      <c r="A1127" s="5">
        <v>1066</v>
      </c>
      <c r="B1127" s="138">
        <f>'Expenditures 15-22'!K60</f>
        <v>179612</v>
      </c>
      <c r="C1127" s="2" t="s">
        <v>573</v>
      </c>
      <c r="D1127" s="2" t="str">
        <f t="shared" si="16"/>
        <v>Error?</v>
      </c>
    </row>
    <row r="1128" spans="1:4" x14ac:dyDescent="0.2">
      <c r="A1128" s="5">
        <v>1067</v>
      </c>
      <c r="B1128" s="138">
        <f>'Expenditures 15-22'!K61</f>
        <v>1568034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44782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1906453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2749</v>
      </c>
      <c r="C1136" s="2" t="s">
        <v>573</v>
      </c>
      <c r="D1136" s="2" t="str">
        <f t="shared" si="16"/>
        <v>Error?</v>
      </c>
    </row>
    <row r="1137" spans="1:4" x14ac:dyDescent="0.2">
      <c r="A1137" s="5">
        <v>1076</v>
      </c>
      <c r="B1137" s="138">
        <f>'Expenditures 15-22'!K70</f>
        <v>2800</v>
      </c>
      <c r="C1137" s="2" t="s">
        <v>573</v>
      </c>
      <c r="D1137" s="2" t="str">
        <f t="shared" si="16"/>
        <v>Error?</v>
      </c>
    </row>
    <row r="1138" spans="1:4" x14ac:dyDescent="0.2">
      <c r="A1138" s="10">
        <v>1077</v>
      </c>
      <c r="D1138" s="2" t="str">
        <f t="shared" si="16"/>
        <v>OK</v>
      </c>
    </row>
    <row r="1139" spans="1:4" x14ac:dyDescent="0.2">
      <c r="A1139" s="5">
        <v>1078</v>
      </c>
      <c r="B1139" s="138">
        <f>'Expenditures 15-22'!K71</f>
        <v>96317</v>
      </c>
      <c r="C1139" s="2" t="s">
        <v>573</v>
      </c>
      <c r="D1139" s="2" t="str">
        <f t="shared" si="16"/>
        <v>Error?</v>
      </c>
    </row>
    <row r="1140" spans="1:4" x14ac:dyDescent="0.2">
      <c r="A1140" s="10">
        <v>1079</v>
      </c>
      <c r="D1140" s="2" t="str">
        <f t="shared" si="16"/>
        <v>OK</v>
      </c>
    </row>
    <row r="1141" spans="1:4" x14ac:dyDescent="0.2">
      <c r="A1141" s="5">
        <v>1080</v>
      </c>
      <c r="B1141" s="138">
        <f>'Expenditures 15-22'!K72</f>
        <v>101866</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6364882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6089720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18878032</v>
      </c>
      <c r="C1152" s="2" t="s">
        <v>573</v>
      </c>
      <c r="D1152" s="2" t="str">
        <f t="shared" si="17"/>
        <v>Error?</v>
      </c>
    </row>
    <row r="1153" spans="1:4" x14ac:dyDescent="0.2">
      <c r="A1153" s="5">
        <v>1092</v>
      </c>
      <c r="B1153" s="138">
        <f>'Expenditures 15-22'!K115</f>
        <v>210678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36352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305000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341352</v>
      </c>
      <c r="C1317" s="2" t="s">
        <v>573</v>
      </c>
      <c r="D1317" s="2" t="str">
        <f t="shared" si="19"/>
        <v>Error?</v>
      </c>
    </row>
    <row r="1318" spans="1:4" x14ac:dyDescent="0.2">
      <c r="A1318" s="5">
        <v>1257</v>
      </c>
      <c r="B1318" s="138">
        <f>'Expenditures 15-22'!H174</f>
        <v>341352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36352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305000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341352</v>
      </c>
      <c r="C1331" s="2" t="s">
        <v>573</v>
      </c>
      <c r="D1331" s="2" t="str">
        <f t="shared" si="19"/>
        <v>Error?</v>
      </c>
    </row>
    <row r="1332" spans="1:4" x14ac:dyDescent="0.2">
      <c r="A1332" s="5">
        <v>1271</v>
      </c>
      <c r="B1332" s="138">
        <f>'Expenditures 15-22'!K174</f>
        <v>341352</v>
      </c>
      <c r="C1332" s="2" t="s">
        <v>573</v>
      </c>
      <c r="D1332" s="2" t="str">
        <f t="shared" si="19"/>
        <v>Error?</v>
      </c>
    </row>
    <row r="1333" spans="1:4" x14ac:dyDescent="0.2">
      <c r="A1333" s="5">
        <v>1272</v>
      </c>
      <c r="B1333" s="138">
        <f>'Expenditures 15-22'!K175</f>
        <v>-3</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4758952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4969630</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53496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53493</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1280000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806287</v>
      </c>
      <c r="D2008" s="2" t="str">
        <f t="shared" si="30"/>
        <v>Error?</v>
      </c>
    </row>
    <row r="2009" spans="1:4" x14ac:dyDescent="0.2">
      <c r="A2009" s="5">
        <v>1948</v>
      </c>
      <c r="B2009" s="138">
        <f>'Cap Outlay Deprec 26'!C8</f>
        <v>7528302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1573808</v>
      </c>
      <c r="D2012" s="2" t="str">
        <f t="shared" si="30"/>
        <v>Error?</v>
      </c>
    </row>
    <row r="2013" spans="1:4" x14ac:dyDescent="0.2">
      <c r="A2013" s="5">
        <v>1952</v>
      </c>
      <c r="B2013" s="138">
        <f>'Cap Outlay Deprec 26'!C16</f>
        <v>9908397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338379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338379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806287</v>
      </c>
      <c r="C2026" s="2" t="s">
        <v>573</v>
      </c>
      <c r="D2026" s="2" t="str">
        <f t="shared" si="30"/>
        <v>Error?</v>
      </c>
    </row>
    <row r="2027" spans="1:4" x14ac:dyDescent="0.2">
      <c r="A2027" s="5">
        <v>1966</v>
      </c>
      <c r="B2027" s="138">
        <f>'Cap Outlay Deprec 26'!F8</f>
        <v>7866681</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1573808</v>
      </c>
      <c r="C2030" s="2" t="s">
        <v>573</v>
      </c>
      <c r="D2030" s="2" t="str">
        <f t="shared" si="30"/>
        <v>Error?</v>
      </c>
    </row>
    <row r="2031" spans="1:4" x14ac:dyDescent="0.2">
      <c r="A2031" s="5">
        <v>1970</v>
      </c>
      <c r="B2031" s="138">
        <f>'Cap Outlay Deprec 26'!F16</f>
        <v>10246776</v>
      </c>
      <c r="C2031" s="2" t="s">
        <v>573</v>
      </c>
      <c r="D2031" s="2" t="str">
        <f t="shared" si="30"/>
        <v>Error?</v>
      </c>
    </row>
    <row r="2032" spans="1:4" x14ac:dyDescent="0.2">
      <c r="A2032" s="10">
        <v>1971</v>
      </c>
      <c r="D2032" s="2" t="str">
        <f t="shared" si="30"/>
        <v>OK</v>
      </c>
    </row>
    <row r="2033" spans="1:4" x14ac:dyDescent="0.2">
      <c r="A2033" s="5">
        <v>1972</v>
      </c>
      <c r="B2033" s="138">
        <f>'Cap Outlay Deprec 26'!H8</f>
        <v>2348054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1564980</v>
      </c>
      <c r="D2036" s="2" t="str">
        <f t="shared" si="30"/>
        <v>Error?</v>
      </c>
    </row>
    <row r="2037" spans="1:4" x14ac:dyDescent="0.2">
      <c r="A2037" s="5">
        <v>1976</v>
      </c>
      <c r="B2037" s="138">
        <f>'Cap Outlay Deprec 26'!H16</f>
        <v>3913034</v>
      </c>
      <c r="C2037" s="2" t="s">
        <v>573</v>
      </c>
      <c r="D2037" s="2" t="str">
        <f t="shared" si="30"/>
        <v>Error?</v>
      </c>
    </row>
    <row r="2038" spans="1:4" x14ac:dyDescent="0.2">
      <c r="A2038" s="10">
        <v>1977</v>
      </c>
      <c r="D2038" s="2" t="str">
        <f t="shared" si="30"/>
        <v>OK</v>
      </c>
    </row>
    <row r="2039" spans="1:4" x14ac:dyDescent="0.2">
      <c r="A2039" s="5">
        <v>1978</v>
      </c>
      <c r="B2039" s="138">
        <f>'Cap Outlay Deprec 26'!I8</f>
        <v>164055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2722</v>
      </c>
      <c r="D2042" s="2" t="str">
        <f t="shared" si="30"/>
        <v>Error?</v>
      </c>
    </row>
    <row r="2043" spans="1:4" x14ac:dyDescent="0.2">
      <c r="A2043" s="5">
        <v>1982</v>
      </c>
      <c r="B2043" s="138">
        <f>'Cap Outlay Deprec 26'!I16</f>
        <v>166777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2512109</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1567702</v>
      </c>
      <c r="C2054" s="2" t="s">
        <v>573</v>
      </c>
      <c r="D2054" s="2" t="str">
        <f t="shared" si="31"/>
        <v>Error?</v>
      </c>
    </row>
    <row r="2055" spans="1:4" x14ac:dyDescent="0.2">
      <c r="A2055" s="5">
        <v>1994</v>
      </c>
      <c r="B2055" s="138">
        <f>'Cap Outlay Deprec 26'!K16</f>
        <v>4079811</v>
      </c>
      <c r="C2055" s="2" t="s">
        <v>573</v>
      </c>
      <c r="D2055" s="2" t="str">
        <f t="shared" si="31"/>
        <v>Error?</v>
      </c>
    </row>
    <row r="2056" spans="1:4" x14ac:dyDescent="0.2">
      <c r="A2056" s="5">
        <v>1995</v>
      </c>
      <c r="B2056" s="138">
        <f>'Cap Outlay Deprec 26'!L5</f>
        <v>806287</v>
      </c>
      <c r="C2056" s="2" t="s">
        <v>573</v>
      </c>
      <c r="D2056" s="2" t="str">
        <f t="shared" si="31"/>
        <v>Error?</v>
      </c>
    </row>
    <row r="2057" spans="1:4" x14ac:dyDescent="0.2">
      <c r="A2057" s="5">
        <v>1996</v>
      </c>
      <c r="B2057" s="138">
        <f>'Cap Outlay Deprec 26'!L8</f>
        <v>5354572</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6106</v>
      </c>
      <c r="C2060" s="2" t="s">
        <v>573</v>
      </c>
      <c r="D2060" s="2" t="str">
        <f t="shared" si="31"/>
        <v>Error?</v>
      </c>
    </row>
    <row r="2061" spans="1:4" x14ac:dyDescent="0.2">
      <c r="A2061" s="5">
        <v>2000</v>
      </c>
      <c r="B2061" s="138">
        <f>'Cap Outlay Deprec 26'!L16</f>
        <v>6166965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5491954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5567465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4969630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53493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9857931</v>
      </c>
      <c r="C2551" s="2" t="s">
        <v>573</v>
      </c>
      <c r="D2551" s="2" t="str">
        <f t="shared" si="38"/>
        <v>Error?</v>
      </c>
    </row>
    <row r="2552" spans="1:4" x14ac:dyDescent="0.2">
      <c r="A2552" s="10">
        <v>2491</v>
      </c>
      <c r="D2552" s="2" t="str">
        <f t="shared" si="38"/>
        <v>OK</v>
      </c>
    </row>
    <row r="2553" spans="1:4" x14ac:dyDescent="0.2">
      <c r="A2553" s="5">
        <v>2492</v>
      </c>
      <c r="B2553" s="138">
        <f>'Acct Summary 7-8'!C6</f>
        <v>1237374</v>
      </c>
      <c r="C2553" s="2" t="s">
        <v>573</v>
      </c>
      <c r="D2553" s="2" t="str">
        <f t="shared" si="38"/>
        <v>Error?</v>
      </c>
    </row>
    <row r="2554" spans="1:4" x14ac:dyDescent="0.2">
      <c r="A2554" s="5">
        <v>2493</v>
      </c>
      <c r="B2554" s="138">
        <f>'Acct Summary 7-8'!C7</f>
        <v>2515621</v>
      </c>
      <c r="C2554" s="2" t="s">
        <v>573</v>
      </c>
      <c r="D2554" s="2" t="str">
        <f t="shared" si="38"/>
        <v>Error?</v>
      </c>
    </row>
    <row r="2555" spans="1:4" x14ac:dyDescent="0.2">
      <c r="A2555" s="5">
        <v>2494</v>
      </c>
      <c r="B2555" s="138">
        <f>'Acct Summary 7-8'!C8</f>
        <v>19088710</v>
      </c>
      <c r="C2555" s="2" t="s">
        <v>573</v>
      </c>
      <c r="D2555" s="2" t="str">
        <f t="shared" si="38"/>
        <v>Error?</v>
      </c>
    </row>
    <row r="2556" spans="1:4" x14ac:dyDescent="0.2">
      <c r="A2556" s="5">
        <v>2495</v>
      </c>
      <c r="B2556" s="138">
        <f>'Acct Summary 7-8'!C12</f>
        <v>6423430</v>
      </c>
      <c r="C2556" s="2" t="s">
        <v>573</v>
      </c>
      <c r="D2556" s="2" t="str">
        <f t="shared" si="38"/>
        <v>Error?</v>
      </c>
    </row>
    <row r="2557" spans="1:4" x14ac:dyDescent="0.2">
      <c r="A2557" s="5">
        <v>2496</v>
      </c>
      <c r="B2557" s="138">
        <f>'Acct Summary 7-8'!C13</f>
        <v>6364882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6089720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18878032</v>
      </c>
      <c r="C2561" s="2" t="s">
        <v>573</v>
      </c>
      <c r="D2561" s="2" t="str">
        <f t="shared" si="39"/>
        <v>Error?</v>
      </c>
    </row>
    <row r="2562" spans="1:4" x14ac:dyDescent="0.2">
      <c r="A2562" s="5">
        <v>2501</v>
      </c>
      <c r="B2562" s="138">
        <f>'Acct Summary 7-8'!C20</f>
        <v>210678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341349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341349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341352</v>
      </c>
      <c r="C2634" s="2" t="s">
        <v>573</v>
      </c>
      <c r="D2634" s="2" t="str">
        <f t="shared" si="40"/>
        <v>Error?</v>
      </c>
    </row>
    <row r="2635" spans="1:4" x14ac:dyDescent="0.2">
      <c r="A2635" s="5">
        <v>2574</v>
      </c>
      <c r="B2635" s="138">
        <f>'Acct Summary 7-8'!E17</f>
        <v>341352</v>
      </c>
      <c r="C2635" s="2" t="s">
        <v>573</v>
      </c>
      <c r="D2635" s="2" t="str">
        <f t="shared" si="40"/>
        <v>Error?</v>
      </c>
    </row>
    <row r="2636" spans="1:4" x14ac:dyDescent="0.2">
      <c r="A2636" s="5">
        <v>2575</v>
      </c>
      <c r="B2636" s="138">
        <f>'Acct Summary 7-8'!E20</f>
        <v>-3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190487</v>
      </c>
      <c r="D2718" s="2" t="str">
        <f t="shared" si="41"/>
        <v>Error?</v>
      </c>
    </row>
    <row r="2719" spans="1:4" x14ac:dyDescent="0.2">
      <c r="A2719" s="5">
        <v>2658</v>
      </c>
      <c r="B2719" s="138">
        <f>'Expenditures 15-22'!D51</f>
        <v>57999</v>
      </c>
      <c r="D2719" s="2" t="str">
        <f t="shared" si="41"/>
        <v>Error?</v>
      </c>
    </row>
    <row r="2720" spans="1:4" x14ac:dyDescent="0.2">
      <c r="A2720" s="5">
        <v>2659</v>
      </c>
      <c r="B2720" s="138">
        <f>'Expenditures 15-22'!E51</f>
        <v>93670</v>
      </c>
      <c r="D2720" s="2" t="str">
        <f t="shared" si="41"/>
        <v>Error?</v>
      </c>
    </row>
    <row r="2721" spans="1:4" x14ac:dyDescent="0.2">
      <c r="A2721" s="5">
        <v>2660</v>
      </c>
      <c r="B2721" s="138">
        <f>'Expenditures 15-22'!F51</f>
        <v>6881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2866</v>
      </c>
      <c r="D2723" s="2" t="str">
        <f t="shared" si="41"/>
        <v>Error?</v>
      </c>
    </row>
    <row r="2724" spans="1:4" x14ac:dyDescent="0.2">
      <c r="A2724" s="5">
        <v>2663</v>
      </c>
      <c r="B2724" s="138">
        <f>'Expenditures 15-22'!K51</f>
        <v>351903</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75511</v>
      </c>
      <c r="C2789" s="2" t="s">
        <v>573</v>
      </c>
      <c r="D2789" s="2" t="str">
        <f t="shared" si="42"/>
        <v>Error?</v>
      </c>
    </row>
    <row r="2790" spans="1:4" x14ac:dyDescent="0.2">
      <c r="A2790" s="5">
        <v>2729</v>
      </c>
      <c r="B2790" s="138">
        <f>'Expenditures 15-22'!E102</f>
        <v>75511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19529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19529</v>
      </c>
      <c r="D2914" s="2" t="str">
        <f t="shared" si="44"/>
        <v>Error?</v>
      </c>
    </row>
    <row r="2915" spans="1:4" x14ac:dyDescent="0.2">
      <c r="A2915" s="10">
        <v>2854</v>
      </c>
      <c r="D2915" s="2" t="str">
        <f t="shared" si="44"/>
        <v>OK</v>
      </c>
    </row>
    <row r="2916" spans="1:4" x14ac:dyDescent="0.2">
      <c r="A2916" s="5">
        <v>2855</v>
      </c>
      <c r="B2916" s="138">
        <f>'Assets-Liab 5-6'!L34</f>
        <v>19529</v>
      </c>
      <c r="C2916" s="2" t="s">
        <v>573</v>
      </c>
      <c r="D2916" s="2" t="str">
        <f t="shared" si="44"/>
        <v>Error?</v>
      </c>
    </row>
    <row r="2917" spans="1:4" x14ac:dyDescent="0.2">
      <c r="A2917" s="5">
        <v>2856</v>
      </c>
      <c r="B2917" s="138">
        <f>'Assets-Liab 5-6'!L41</f>
        <v>19529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67325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8186</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5491954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5559279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8186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210678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4115707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2035760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81332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96872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6349282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5477784</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6279903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53493</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19529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10274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3693370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22782080</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341349</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3693370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22571402</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341352</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975000</v>
      </c>
      <c r="C4171" s="2" t="s">
        <v>573</v>
      </c>
      <c r="D4171" s="2" t="str">
        <f t="shared" si="64"/>
        <v>Error?</v>
      </c>
    </row>
    <row r="4172" spans="1:4" x14ac:dyDescent="0.2">
      <c r="A4172" s="5">
        <v>4111</v>
      </c>
      <c r="B4172" s="138">
        <f>'Short-Term Long-Term Debt 24'!J49</f>
        <v>921507</v>
      </c>
      <c r="C4172" s="2" t="s">
        <v>573</v>
      </c>
      <c r="D4172" s="2" t="str">
        <f t="shared" si="64"/>
        <v>Error?</v>
      </c>
    </row>
    <row r="4173" spans="1:4" x14ac:dyDescent="0.2">
      <c r="A4173" s="5">
        <v>4112</v>
      </c>
      <c r="B4173" s="138">
        <f>'Short-Term Long-Term Debt 24'!H49</f>
        <v>305000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4969630</v>
      </c>
      <c r="C4269" s="2" t="s">
        <v>573</v>
      </c>
      <c r="D4269" s="2" t="str">
        <f t="shared" si="65"/>
        <v>Error?</v>
      </c>
    </row>
    <row r="4270" spans="1:5" x14ac:dyDescent="0.2">
      <c r="A4270" s="12">
        <v>4209</v>
      </c>
      <c r="B4270" s="138">
        <f>'FP Info 3'!D24</f>
        <v>22276</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94514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360957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975000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7871768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7871768</v>
      </c>
      <c r="C5087" s="2" t="s">
        <v>573</v>
      </c>
      <c r="D5087" s="2" t="str">
        <f t="shared" si="78"/>
        <v>Error?</v>
      </c>
    </row>
    <row r="5088" spans="1:4" x14ac:dyDescent="0.2">
      <c r="A5088" s="5">
        <v>5027</v>
      </c>
      <c r="B5088" s="138">
        <f>'Revenues 9-14'!C65</f>
        <v>8327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8327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1062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4682</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155884</v>
      </c>
      <c r="D5113" s="2" t="str">
        <f t="shared" si="78"/>
        <v>Error?</v>
      </c>
    </row>
    <row r="5114" spans="1:4" x14ac:dyDescent="0.2">
      <c r="A5114" s="5">
        <v>5053</v>
      </c>
      <c r="B5114" s="138">
        <f>'Revenues 9-14'!C96</f>
        <v>1714</v>
      </c>
      <c r="D5114" s="2" t="str">
        <f t="shared" si="78"/>
        <v>Error?</v>
      </c>
    </row>
    <row r="5115" spans="1:4" x14ac:dyDescent="0.2">
      <c r="A5115" s="5">
        <v>5054</v>
      </c>
      <c r="B5115" s="138">
        <f>'Revenues 9-14'!C98</f>
        <v>1815556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1973154</v>
      </c>
      <c r="C5120" s="2" t="s">
        <v>573</v>
      </c>
      <c r="D5120" s="2" t="str">
        <f t="shared" si="79"/>
        <v>Error?</v>
      </c>
    </row>
    <row r="5121" spans="1:4" x14ac:dyDescent="0.2">
      <c r="A5121" s="5">
        <v>5060</v>
      </c>
      <c r="B5121" s="138">
        <f>'Revenues 9-14'!C109</f>
        <v>9857931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5477784</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5477784</v>
      </c>
      <c r="C5125" s="2" t="s">
        <v>573</v>
      </c>
      <c r="D5125" s="2" t="str">
        <f t="shared" si="79"/>
        <v>Error?</v>
      </c>
    </row>
    <row r="5126" spans="1:4" x14ac:dyDescent="0.2">
      <c r="A5126" s="5">
        <v>5065</v>
      </c>
      <c r="B5126" s="138">
        <f>'Revenues 9-14'!C117</f>
        <v>1235729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1235729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1645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1645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1237374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56126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36917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97743</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340592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1621815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1962407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2515621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2515621</v>
      </c>
      <c r="C5326" s="2" t="s">
        <v>573</v>
      </c>
      <c r="D5326" s="2" t="str">
        <f t="shared" si="82"/>
        <v>Error?</v>
      </c>
    </row>
    <row r="5327" spans="1:5" x14ac:dyDescent="0.2">
      <c r="A5327" s="5">
        <v>5266</v>
      </c>
      <c r="B5327" s="138">
        <f>'Revenues 9-14'!C268</f>
        <v>19088710</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341349</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341349</v>
      </c>
      <c r="C5526" s="2" t="s">
        <v>573</v>
      </c>
      <c r="D5526" s="2" t="str">
        <f t="shared" si="85"/>
        <v>Error?</v>
      </c>
    </row>
    <row r="5527" spans="1:4" x14ac:dyDescent="0.2">
      <c r="A5527" s="5">
        <v>5466</v>
      </c>
      <c r="B5527" s="138">
        <f>'Revenues 9-14'!E109</f>
        <v>341349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341349</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3620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5125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21330</v>
      </c>
      <c r="D6076" s="2" t="str">
        <f t="shared" si="93"/>
        <v>Error?</v>
      </c>
      <c r="E6076" s="2" t="s">
        <v>930</v>
      </c>
    </row>
    <row r="6077" spans="1:5" x14ac:dyDescent="0.2">
      <c r="A6077">
        <v>6016</v>
      </c>
      <c r="B6077" s="138">
        <f>'Short-Term Long-Term Debt 24'!D27</f>
        <v>946</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22276</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1362250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1544613</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2827496</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770380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210678</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-3</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4.2393095663057413E-2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f>'Acct Summary 7-8'!E83</f>
        <v>-5.6082104200549606E-5</v>
      </c>
      <c r="D6278" s="2" t="str">
        <f t="shared" si="97"/>
        <v>Error?</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4700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19611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71527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19611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12722</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51059</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63781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1395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1395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201798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201798</v>
      </c>
      <c r="D6940" s="2" t="str">
        <f t="shared" si="107"/>
        <v>Error?</v>
      </c>
    </row>
    <row r="6941" spans="1:4" x14ac:dyDescent="0.2">
      <c r="A6941">
        <v>6880</v>
      </c>
      <c r="B6941" s="138">
        <f>'Expenditures 15-22'!L52</f>
        <v>210383</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14653</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14653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6028</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6028</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85857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522255</v>
      </c>
      <c r="D7006" s="2" t="str">
        <f t="shared" si="108"/>
        <v>Error?</v>
      </c>
    </row>
    <row r="7007" spans="1:4" x14ac:dyDescent="0.2">
      <c r="A7007">
        <v>6946</v>
      </c>
      <c r="B7007" s="138">
        <f>'Expenditures 15-22'!K98</f>
        <v>522255</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522255</v>
      </c>
      <c r="D7012" s="2" t="str">
        <f t="shared" si="108"/>
        <v>Error?</v>
      </c>
    </row>
    <row r="7013" spans="1:4" x14ac:dyDescent="0.2">
      <c r="A7013">
        <v>6952</v>
      </c>
      <c r="B7013" s="138">
        <f>'Expenditures 15-22'!K100</f>
        <v>522255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105468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39731</v>
      </c>
      <c r="D7251" s="2" t="str">
        <f t="shared" si="112"/>
        <v>Error?</v>
      </c>
    </row>
    <row r="7252" spans="1:4" x14ac:dyDescent="0.2">
      <c r="A7252">
        <f t="shared" si="113"/>
        <v>7191</v>
      </c>
      <c r="B7252" s="138">
        <f>'Expenditures 15-22'!D9</f>
        <v>31796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105468</v>
      </c>
      <c r="D7624" s="2" t="str">
        <f t="shared" si="124"/>
        <v>Error?</v>
      </c>
      <c r="E7624" s="2" t="s">
        <v>19</v>
      </c>
    </row>
    <row r="7625" spans="1:5" x14ac:dyDescent="0.2">
      <c r="A7625">
        <f t="shared" si="123"/>
        <v>7564</v>
      </c>
      <c r="B7625" s="138">
        <f>'Cap Outlay Deprec 26'!I17</f>
        <v>10546.8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177323.8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29'!D142</f>
        <v>76532</v>
      </c>
      <c r="D7797" s="2" t="str">
        <f t="shared" si="127"/>
        <v>Error?</v>
      </c>
      <c r="E7797" s="4" t="s">
        <v>1901</v>
      </c>
    </row>
    <row r="7798" spans="1:5" x14ac:dyDescent="0.2">
      <c r="A7798">
        <v>7737</v>
      </c>
      <c r="B7798" s="138">
        <f>'Contracts Paid in CY 29'!F142</f>
        <v>40000</v>
      </c>
      <c r="D7798" s="2" t="str">
        <f t="shared" si="127"/>
        <v>Error?</v>
      </c>
      <c r="E7798" s="4" t="s">
        <v>1901</v>
      </c>
    </row>
    <row r="7799" spans="1:5" x14ac:dyDescent="0.2">
      <c r="A7799">
        <v>7738</v>
      </c>
      <c r="B7799" s="138">
        <f>'Contracts Paid in CY 29'!G142</f>
        <v>36532</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5" zoomScale="110" zoomScaleNormal="110" workbookViewId="0">
      <selection activeCell="D43" sqref="D4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66" t="s">
        <v>1191</v>
      </c>
      <c r="B2" s="2466"/>
      <c r="C2" s="2466"/>
      <c r="D2" s="2466"/>
      <c r="E2" s="2466"/>
      <c r="F2" s="2466"/>
      <c r="G2" s="2466"/>
      <c r="H2" s="2466"/>
      <c r="I2" s="2466"/>
      <c r="J2" s="2466"/>
      <c r="K2" s="2466"/>
      <c r="L2" s="2466"/>
    </row>
    <row r="3" spans="1:29" ht="13.5" customHeight="1" x14ac:dyDescent="0.2">
      <c r="A3" s="2452" t="s">
        <v>1190</v>
      </c>
      <c r="B3" s="2452"/>
      <c r="C3" s="2452"/>
      <c r="D3" s="2452"/>
      <c r="E3" s="2452"/>
      <c r="F3" s="2452"/>
      <c r="G3" s="2452"/>
      <c r="H3" s="2452"/>
      <c r="I3" s="2452"/>
      <c r="J3" s="2452"/>
      <c r="K3" s="2452"/>
      <c r="L3" s="2452"/>
    </row>
    <row r="4" spans="1:29" ht="13.5" customHeight="1" x14ac:dyDescent="0.2">
      <c r="A4" s="2466" t="s">
        <v>1985</v>
      </c>
      <c r="B4" s="2483"/>
      <c r="C4" s="2483"/>
      <c r="D4" s="2483"/>
      <c r="E4" s="2483"/>
      <c r="F4" s="2483"/>
      <c r="G4" s="2483"/>
      <c r="H4" s="2483"/>
      <c r="I4" s="2483"/>
      <c r="J4" s="2483"/>
      <c r="K4" s="2483"/>
      <c r="L4" s="248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46" t="str">
        <f>COVER!A17</f>
        <v>Belleville Area Special Services</v>
      </c>
      <c r="B7" s="2447"/>
      <c r="C7" s="2447"/>
      <c r="D7" s="2484"/>
      <c r="E7" s="2485">
        <f>COVER!A13</f>
        <v>50082801060</v>
      </c>
      <c r="F7" s="2486"/>
      <c r="G7" s="2453" t="str">
        <f>COVER!T23</f>
        <v>065-026956</v>
      </c>
      <c r="H7" s="2454"/>
      <c r="I7" s="2454"/>
      <c r="J7" s="2454"/>
      <c r="K7" s="2454"/>
      <c r="L7" s="245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56"/>
      <c r="B9" s="2457"/>
      <c r="C9" s="2457"/>
      <c r="D9" s="2457"/>
      <c r="E9" s="2457"/>
      <c r="F9" s="2458"/>
      <c r="G9" s="2459" t="str">
        <f>COVER!T13</f>
        <v>Scheffel Boyle</v>
      </c>
      <c r="H9" s="2460"/>
      <c r="I9" s="2460"/>
      <c r="J9" s="2460"/>
      <c r="K9" s="2460"/>
      <c r="L9" s="2461"/>
    </row>
    <row r="10" spans="1:29" ht="13.5" customHeight="1" x14ac:dyDescent="0.2">
      <c r="A10" s="2443" t="str">
        <f>COVER!A38</f>
        <v>Brian Arteberry</v>
      </c>
      <c r="B10" s="2444"/>
      <c r="C10" s="2444"/>
      <c r="D10" s="2444"/>
      <c r="E10" s="2444"/>
      <c r="F10" s="2445"/>
      <c r="G10" s="2459" t="str">
        <f>COVER!T17</f>
        <v>222 East Main Street</v>
      </c>
      <c r="H10" s="2472"/>
      <c r="I10" s="2472"/>
      <c r="J10" s="2472"/>
      <c r="K10" s="2472"/>
      <c r="L10" s="2473"/>
    </row>
    <row r="11" spans="1:29" ht="13.5" customHeight="1" x14ac:dyDescent="0.2">
      <c r="A11" s="1184" t="s">
        <v>1519</v>
      </c>
      <c r="B11" s="1185"/>
      <c r="C11" s="1186"/>
      <c r="D11" s="1191"/>
      <c r="E11" s="1186"/>
      <c r="F11" s="1190"/>
      <c r="G11" s="2459" t="str">
        <f>COVER!T19</f>
        <v>Belleville</v>
      </c>
      <c r="H11" s="2472"/>
      <c r="I11" s="2472"/>
      <c r="J11" s="2472"/>
      <c r="K11" s="2472"/>
      <c r="L11" s="2473"/>
    </row>
    <row r="12" spans="1:29" ht="13.5" customHeight="1" x14ac:dyDescent="0.2">
      <c r="A12" s="2477" t="s">
        <v>1518</v>
      </c>
      <c r="B12" s="2478"/>
      <c r="C12" s="2478"/>
      <c r="D12" s="2478"/>
      <c r="E12" s="2478"/>
      <c r="F12" s="2479"/>
      <c r="G12" s="2474"/>
      <c r="H12" s="2475"/>
      <c r="I12" s="2475"/>
      <c r="J12" s="2475"/>
      <c r="K12" s="2475"/>
      <c r="L12" s="2476"/>
    </row>
    <row r="13" spans="1:29" ht="13.5" customHeight="1" x14ac:dyDescent="0.2">
      <c r="A13" s="2459"/>
      <c r="B13" s="2472"/>
      <c r="C13" s="2472"/>
      <c r="D13" s="2472"/>
      <c r="E13" s="2472"/>
      <c r="F13" s="2473"/>
      <c r="G13" s="2467" t="s">
        <v>1520</v>
      </c>
      <c r="H13" s="2468"/>
      <c r="I13" s="2480" t="str">
        <f>COVER!T25</f>
        <v>dale.holtmann@scheffelboyle.com</v>
      </c>
      <c r="J13" s="2481"/>
      <c r="K13" s="2481"/>
      <c r="L13" s="2482"/>
    </row>
    <row r="14" spans="1:29" ht="13.5" customHeight="1" x14ac:dyDescent="0.2">
      <c r="A14" s="2459" t="str">
        <f>COVER!A19</f>
        <v>2411 Pathways Crossing</v>
      </c>
      <c r="B14" s="2472"/>
      <c r="C14" s="2472"/>
      <c r="D14" s="2472"/>
      <c r="E14" s="2472"/>
      <c r="F14" s="2473"/>
      <c r="G14" s="1195" t="s">
        <v>1185</v>
      </c>
      <c r="H14" s="1193"/>
      <c r="I14" s="1193"/>
      <c r="J14" s="1193"/>
      <c r="K14" s="1193"/>
      <c r="L14" s="1194"/>
    </row>
    <row r="15" spans="1:29" ht="13.5" customHeight="1" x14ac:dyDescent="0.2">
      <c r="A15" s="2459" t="str">
        <f>COVER!A21</f>
        <v xml:space="preserve">Belleville  </v>
      </c>
      <c r="B15" s="2472"/>
      <c r="C15" s="2472"/>
      <c r="D15" s="2472"/>
      <c r="E15" s="2472"/>
      <c r="F15" s="2473"/>
      <c r="G15" s="2469" t="str">
        <f>COVER!T15</f>
        <v>Dale Holtmann</v>
      </c>
      <c r="H15" s="2470"/>
      <c r="I15" s="2470"/>
      <c r="J15" s="2470"/>
      <c r="K15" s="2470"/>
      <c r="L15" s="2471"/>
    </row>
    <row r="16" spans="1:29" ht="12.2" customHeight="1" x14ac:dyDescent="0.2">
      <c r="A16" s="2449">
        <f>COVER!A25</f>
        <v>62221</v>
      </c>
      <c r="B16" s="2450"/>
      <c r="C16" s="2450"/>
      <c r="D16" s="2450"/>
      <c r="E16" s="2450"/>
      <c r="F16" s="2451"/>
      <c r="G16" s="2462"/>
      <c r="H16" s="2463"/>
      <c r="I16" s="2463"/>
      <c r="J16" s="2463"/>
      <c r="K16" s="2463"/>
      <c r="L16" s="2464"/>
    </row>
    <row r="17" spans="1:13" ht="12.2" customHeight="1" x14ac:dyDescent="0.2">
      <c r="A17" s="2465"/>
      <c r="B17" s="2450"/>
      <c r="C17" s="2450"/>
      <c r="D17" s="2450"/>
      <c r="E17" s="2450"/>
      <c r="F17" s="2451"/>
      <c r="G17" s="1195" t="s">
        <v>1184</v>
      </c>
      <c r="H17" s="1193"/>
      <c r="I17" s="1193"/>
      <c r="J17" s="1193"/>
      <c r="K17" s="1197" t="s">
        <v>1183</v>
      </c>
      <c r="L17" s="1190"/>
      <c r="M17" s="1183"/>
    </row>
    <row r="18" spans="1:13" ht="12.2" customHeight="1" x14ac:dyDescent="0.2">
      <c r="A18" s="2443"/>
      <c r="B18" s="2444"/>
      <c r="C18" s="2444"/>
      <c r="D18" s="2444"/>
      <c r="E18" s="2444"/>
      <c r="F18" s="2445"/>
      <c r="G18" s="2446" t="str">
        <f>COVER!T21</f>
        <v>618-277-8100</v>
      </c>
      <c r="H18" s="2447"/>
      <c r="I18" s="2447"/>
      <c r="J18" s="2447"/>
      <c r="K18" s="2446" t="str">
        <f>COVER!X21</f>
        <v>618-233-6334</v>
      </c>
      <c r="L18" s="244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9" zoomScale="125" zoomScaleNormal="125" workbookViewId="0">
      <selection activeCell="D43" sqref="D4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87" t="str">
        <f>'Single Audit Cover'!A7</f>
        <v>Belleville Area Special Services</v>
      </c>
      <c r="B1" s="2483"/>
      <c r="C1" s="2483"/>
      <c r="D1" s="2483"/>
    </row>
    <row r="2" spans="1:11" s="1212" customFormat="1" ht="12.75" x14ac:dyDescent="0.2">
      <c r="A2" s="2488">
        <f>'Single Audit Cover'!E7</f>
        <v>50082801060</v>
      </c>
      <c r="B2" s="2489"/>
      <c r="C2" s="2489"/>
      <c r="D2" s="2489"/>
    </row>
    <row r="3" spans="1:11" s="1212" customFormat="1" ht="12.75" x14ac:dyDescent="0.2">
      <c r="A3" s="2487" t="s">
        <v>1513</v>
      </c>
      <c r="B3" s="2483"/>
      <c r="C3" s="2483"/>
      <c r="D3" s="248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91" t="str">
        <f>'Single Audit Cover'!A7</f>
        <v>Belleville Area Special Services</v>
      </c>
      <c r="B1" s="2491"/>
      <c r="C1" s="2491"/>
      <c r="D1" s="2491"/>
      <c r="E1" s="2491"/>
    </row>
    <row r="2" spans="1:5" x14ac:dyDescent="0.2">
      <c r="A2" s="2492">
        <f>'Single Audit Cover'!E7</f>
        <v>50082801060</v>
      </c>
      <c r="B2" s="2492"/>
      <c r="C2" s="2492"/>
      <c r="D2" s="2492"/>
      <c r="E2" s="2492"/>
    </row>
    <row r="3" spans="1:5" ht="4.5" customHeight="1" x14ac:dyDescent="0.2"/>
    <row r="4" spans="1:5" x14ac:dyDescent="0.2">
      <c r="A4" s="2491" t="s">
        <v>1245</v>
      </c>
      <c r="B4" s="2491"/>
      <c r="C4" s="2491"/>
      <c r="D4" s="2491"/>
      <c r="E4" s="2491"/>
    </row>
    <row r="5" spans="1:5" x14ac:dyDescent="0.2">
      <c r="A5" s="2494" t="str">
        <f>'Single Audit Cover'!A4</f>
        <v>Year Ending June 30, 2019</v>
      </c>
      <c r="B5" s="2494"/>
      <c r="C5" s="2494"/>
      <c r="D5" s="2494"/>
      <c r="E5" s="2494"/>
    </row>
    <row r="6" spans="1:5" x14ac:dyDescent="0.2">
      <c r="A6" s="2491" t="s">
        <v>1244</v>
      </c>
      <c r="B6" s="2491"/>
      <c r="C6" s="2491"/>
      <c r="D6" s="2491"/>
      <c r="E6" s="2491"/>
    </row>
    <row r="8" spans="1:5" x14ac:dyDescent="0.2">
      <c r="A8" s="1257" t="s">
        <v>1243</v>
      </c>
    </row>
    <row r="10" spans="1:5" x14ac:dyDescent="0.2">
      <c r="A10" s="1258" t="s">
        <v>1242</v>
      </c>
      <c r="B10" s="1259" t="s">
        <v>1241</v>
      </c>
      <c r="C10" s="1259"/>
      <c r="D10" s="1260">
        <f>SUM('Acct Summary 7-8'!C7:K7)</f>
        <v>2515621</v>
      </c>
    </row>
    <row r="11" spans="1:5" ht="18" customHeight="1" x14ac:dyDescent="0.2">
      <c r="A11" s="1258" t="s">
        <v>1240</v>
      </c>
      <c r="B11" s="1259"/>
      <c r="C11" s="1259"/>
    </row>
    <row r="12" spans="1:5" x14ac:dyDescent="0.2">
      <c r="A12" s="1258" t="s">
        <v>1239</v>
      </c>
      <c r="B12" s="1259" t="s">
        <v>1238</v>
      </c>
      <c r="C12" s="1259"/>
      <c r="D12" s="1261">
        <f>SUM('Revenues 9-14'!C112:D112,'Revenues 9-14'!F112:G112)</f>
        <v>5477784</v>
      </c>
    </row>
    <row r="13" spans="1:5" x14ac:dyDescent="0.2">
      <c r="A13" s="1258" t="s">
        <v>1237</v>
      </c>
      <c r="B13" s="1259"/>
      <c r="C13" s="1259"/>
    </row>
    <row r="14" spans="1:5" x14ac:dyDescent="0.2">
      <c r="A14" s="1258" t="s">
        <v>1727</v>
      </c>
      <c r="B14" s="1259"/>
      <c r="C14" s="1259"/>
      <c r="D14" s="1261">
        <f>'ICR Computation 30'!E11</f>
        <v>5125</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-360957</v>
      </c>
    </row>
    <row r="19" spans="1:4" ht="13.5" thickBot="1" x14ac:dyDescent="0.25">
      <c r="A19" s="1262" t="s">
        <v>1235</v>
      </c>
      <c r="D19" s="1263">
        <f>SUM(D10:D17)</f>
        <v>7637573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93"/>
      <c r="B24" s="2493"/>
      <c r="D24" s="1265"/>
    </row>
    <row r="25" spans="1:4" x14ac:dyDescent="0.2">
      <c r="A25" s="2490"/>
      <c r="B25" s="2490"/>
      <c r="D25" s="1265"/>
    </row>
    <row r="26" spans="1:4" x14ac:dyDescent="0.2">
      <c r="A26" s="2490"/>
      <c r="B26" s="2490"/>
      <c r="D26" s="1265"/>
    </row>
    <row r="27" spans="1:4" x14ac:dyDescent="0.2">
      <c r="A27" s="2490"/>
      <c r="B27" s="2490"/>
      <c r="D27" s="1265"/>
    </row>
    <row r="28" spans="1:4" x14ac:dyDescent="0.2">
      <c r="A28" s="2490"/>
      <c r="B28" s="2490"/>
      <c r="D28" s="1265"/>
    </row>
    <row r="29" spans="1:4" x14ac:dyDescent="0.2">
      <c r="A29" s="2490"/>
      <c r="B29" s="2490"/>
      <c r="D29" s="1265"/>
    </row>
    <row r="30" spans="1:4" x14ac:dyDescent="0.2">
      <c r="A30" s="2490"/>
      <c r="B30" s="2490"/>
      <c r="D30" s="1265"/>
    </row>
    <row r="32" spans="1:4" x14ac:dyDescent="0.2">
      <c r="A32" s="1257" t="s">
        <v>1233</v>
      </c>
      <c r="D32" s="1260">
        <f>SUM(D19:D30)</f>
        <v>7637573</v>
      </c>
    </row>
    <row r="33" spans="1:4" x14ac:dyDescent="0.2">
      <c r="D33" s="1266"/>
    </row>
    <row r="34" spans="1:4" x14ac:dyDescent="0.2">
      <c r="A34" s="317" t="s">
        <v>1232</v>
      </c>
    </row>
    <row r="35" spans="1:4" x14ac:dyDescent="0.2">
      <c r="A35" s="317" t="s">
        <v>1231</v>
      </c>
      <c r="B35" s="1255" t="s">
        <v>1230</v>
      </c>
      <c r="D35" s="1267">
        <v>7637573</v>
      </c>
    </row>
    <row r="37" spans="1:4" x14ac:dyDescent="0.2">
      <c r="A37" s="1257" t="s">
        <v>1229</v>
      </c>
    </row>
    <row r="39" spans="1:4" ht="13.35" customHeight="1" x14ac:dyDescent="0.2">
      <c r="A39" s="1264" t="s">
        <v>1228</v>
      </c>
    </row>
    <row r="40" spans="1:4" x14ac:dyDescent="0.2">
      <c r="A40" s="2490"/>
      <c r="B40" s="2490"/>
      <c r="D40" s="1265"/>
    </row>
    <row r="41" spans="1:4" x14ac:dyDescent="0.2">
      <c r="A41" s="2490"/>
      <c r="B41" s="2490"/>
      <c r="D41" s="1268"/>
    </row>
    <row r="42" spans="1:4" x14ac:dyDescent="0.2">
      <c r="A42" s="2490"/>
      <c r="B42" s="2490"/>
      <c r="D42" s="1268"/>
    </row>
    <row r="43" spans="1:4" x14ac:dyDescent="0.2">
      <c r="A43" s="2490"/>
      <c r="B43" s="2490"/>
      <c r="D43" s="1268"/>
    </row>
    <row r="44" spans="1:4" x14ac:dyDescent="0.2">
      <c r="A44" s="2490"/>
      <c r="B44" s="2490"/>
      <c r="D44" s="1268"/>
    </row>
    <row r="45" spans="1:4" x14ac:dyDescent="0.2">
      <c r="A45" s="2490"/>
      <c r="B45" s="2490"/>
      <c r="D45" s="1268"/>
    </row>
    <row r="47" spans="1:4" x14ac:dyDescent="0.2">
      <c r="B47" s="1269" t="s">
        <v>1227</v>
      </c>
      <c r="C47" s="1269"/>
      <c r="D47" s="1270">
        <f>SUM(D35:D45)</f>
        <v>7637573</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06ADA-04FC-49E6-A15C-C4E4C555CD5C}">
  <dimension ref="B1:N152"/>
  <sheetViews>
    <sheetView showGridLines="0" zoomScaleNormal="100" workbookViewId="0">
      <selection activeCell="D43" sqref="D4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52" t="str">
        <f>'Single Audit Cover'!A7</f>
        <v>Belleville Area Special Services</v>
      </c>
      <c r="C1" s="2495"/>
      <c r="D1" s="2495"/>
      <c r="E1" s="2495"/>
      <c r="F1" s="2495"/>
      <c r="G1" s="2495"/>
      <c r="H1" s="2495"/>
      <c r="I1" s="2495"/>
      <c r="J1" s="2495"/>
      <c r="K1" s="2495"/>
      <c r="L1" s="2495"/>
      <c r="M1" s="2495"/>
    </row>
    <row r="2" spans="2:14" ht="15" x14ac:dyDescent="0.2">
      <c r="B2" s="2496">
        <f>'Single Audit Cover'!E7</f>
        <v>50082801060</v>
      </c>
      <c r="C2" s="2496"/>
      <c r="D2" s="2496"/>
      <c r="E2" s="2496"/>
      <c r="F2" s="2496"/>
      <c r="G2" s="2496"/>
      <c r="H2" s="2496"/>
      <c r="I2" s="2496"/>
      <c r="J2" s="2496"/>
      <c r="K2" s="2496"/>
      <c r="L2" s="2496"/>
      <c r="M2" s="2496"/>
      <c r="N2" s="1299"/>
    </row>
    <row r="3" spans="2:14" ht="15" x14ac:dyDescent="0.2">
      <c r="B3" s="2497" t="s">
        <v>1219</v>
      </c>
      <c r="C3" s="2497"/>
      <c r="D3" s="2497"/>
      <c r="E3" s="2497"/>
      <c r="F3" s="2497"/>
      <c r="G3" s="2497"/>
      <c r="H3" s="2497"/>
      <c r="I3" s="2497"/>
      <c r="J3" s="2497"/>
      <c r="K3" s="2497"/>
      <c r="L3" s="2497"/>
      <c r="M3" s="2497"/>
      <c r="N3" s="1299"/>
    </row>
    <row r="4" spans="2:14" ht="15" x14ac:dyDescent="0.2">
      <c r="B4" s="2498" t="str">
        <f>'Single Audit Cover'!A4</f>
        <v>Year Ending June 30, 2019</v>
      </c>
      <c r="C4" s="2498"/>
      <c r="D4" s="2498"/>
      <c r="E4" s="2498"/>
      <c r="F4" s="2498"/>
      <c r="G4" s="2498"/>
      <c r="H4" s="2498"/>
      <c r="I4" s="2498"/>
      <c r="J4" s="2498"/>
      <c r="K4" s="2498"/>
      <c r="L4" s="2498"/>
      <c r="M4" s="2498"/>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2155</v>
      </c>
      <c r="C11" s="1335"/>
      <c r="D11" s="1336"/>
      <c r="E11" s="1337"/>
      <c r="F11" s="1337"/>
      <c r="G11" s="1337"/>
      <c r="H11" s="1337"/>
      <c r="I11" s="1337"/>
      <c r="J11" s="1337"/>
      <c r="K11" s="1337"/>
      <c r="L11" s="1337"/>
      <c r="M11" s="1337"/>
    </row>
    <row r="12" spans="2:14" ht="20.100000000000001" customHeight="1" x14ac:dyDescent="0.2">
      <c r="B12" s="1334" t="s">
        <v>2080</v>
      </c>
      <c r="C12" s="1338">
        <v>84.173000000000002</v>
      </c>
      <c r="D12" s="1339" t="s">
        <v>2082</v>
      </c>
      <c r="E12" s="1340"/>
      <c r="F12" s="1340">
        <v>339184</v>
      </c>
      <c r="G12" s="1340"/>
      <c r="H12" s="1340"/>
      <c r="I12" s="1340">
        <v>339184</v>
      </c>
      <c r="J12" s="1340">
        <v>1754</v>
      </c>
      <c r="K12" s="1340"/>
      <c r="L12" s="1337">
        <f t="shared" ref="L12:L24" si="0">+G12+I12+K12</f>
        <v>339184</v>
      </c>
      <c r="M12" s="1340">
        <v>341573</v>
      </c>
    </row>
    <row r="13" spans="2:14" ht="20.100000000000001" customHeight="1" x14ac:dyDescent="0.2">
      <c r="B13" s="1334" t="s">
        <v>2081</v>
      </c>
      <c r="C13" s="1338">
        <v>84.173000000000002</v>
      </c>
      <c r="D13" s="1339" t="s">
        <v>2083</v>
      </c>
      <c r="E13" s="1340">
        <v>292543</v>
      </c>
      <c r="F13" s="1340">
        <v>1408</v>
      </c>
      <c r="G13" s="1340">
        <v>292543</v>
      </c>
      <c r="H13" s="1340">
        <v>1574</v>
      </c>
      <c r="I13" s="1340">
        <v>1408</v>
      </c>
      <c r="J13" s="1340">
        <v>428</v>
      </c>
      <c r="K13" s="1340"/>
      <c r="L13" s="1337">
        <f t="shared" si="0"/>
        <v>293951</v>
      </c>
      <c r="M13" s="1340">
        <v>375642</v>
      </c>
    </row>
    <row r="14" spans="2:14" ht="20.100000000000001" customHeight="1" x14ac:dyDescent="0.2">
      <c r="B14" s="1334" t="s">
        <v>2160</v>
      </c>
      <c r="C14" s="1338">
        <v>84.027000000000001</v>
      </c>
      <c r="D14" s="1339" t="s">
        <v>2084</v>
      </c>
      <c r="E14" s="1340"/>
      <c r="F14" s="1340">
        <v>6591147</v>
      </c>
      <c r="G14" s="1340"/>
      <c r="H14" s="1340"/>
      <c r="I14" s="1340">
        <v>6591147</v>
      </c>
      <c r="J14" s="1340">
        <v>4978666</v>
      </c>
      <c r="K14" s="1340"/>
      <c r="L14" s="1337">
        <f t="shared" si="0"/>
        <v>6591147</v>
      </c>
      <c r="M14" s="1340">
        <v>7730098</v>
      </c>
    </row>
    <row r="15" spans="2:14" ht="20.100000000000001" customHeight="1" x14ac:dyDescent="0.2">
      <c r="B15" s="1334" t="s">
        <v>2156</v>
      </c>
      <c r="C15" s="1338">
        <v>84.027000000000001</v>
      </c>
      <c r="D15" s="1339" t="s">
        <v>2085</v>
      </c>
      <c r="E15" s="1340">
        <v>6160874</v>
      </c>
      <c r="F15" s="1340">
        <v>508452</v>
      </c>
      <c r="G15" s="1340">
        <v>6160874</v>
      </c>
      <c r="H15" s="1340">
        <v>4845291</v>
      </c>
      <c r="I15" s="1340">
        <v>508452</v>
      </c>
      <c r="J15" s="1340">
        <v>499119</v>
      </c>
      <c r="K15" s="1340"/>
      <c r="L15" s="1337">
        <f t="shared" si="0"/>
        <v>6669326</v>
      </c>
      <c r="M15" s="1340">
        <v>7315393</v>
      </c>
    </row>
    <row r="16" spans="2:14" ht="20.100000000000001" customHeight="1" x14ac:dyDescent="0.2">
      <c r="B16" s="1334" t="s">
        <v>2157</v>
      </c>
      <c r="C16" s="1338"/>
      <c r="D16" s="1339"/>
      <c r="E16" s="1340">
        <f t="shared" ref="E16:J16" si="1">+E12+E13+E14+E15</f>
        <v>6453417</v>
      </c>
      <c r="F16" s="1340">
        <f t="shared" si="1"/>
        <v>7440191</v>
      </c>
      <c r="G16" s="1340">
        <f t="shared" si="1"/>
        <v>6453417</v>
      </c>
      <c r="H16" s="1340">
        <f t="shared" si="1"/>
        <v>4846865</v>
      </c>
      <c r="I16" s="1340">
        <f t="shared" si="1"/>
        <v>7440191</v>
      </c>
      <c r="J16" s="1340">
        <f t="shared" si="1"/>
        <v>5479967</v>
      </c>
      <c r="K16" s="1340"/>
      <c r="L16" s="1337">
        <f t="shared" si="0"/>
        <v>13893608</v>
      </c>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t="s">
        <v>2158</v>
      </c>
      <c r="C18" s="1338"/>
      <c r="D18" s="1339"/>
      <c r="E18" s="1340"/>
      <c r="F18" s="1340"/>
      <c r="G18" s="1340"/>
      <c r="H18" s="1340"/>
      <c r="I18" s="1340"/>
      <c r="J18" s="1340"/>
      <c r="K18" s="1340"/>
      <c r="L18" s="1337"/>
      <c r="M18" s="1340"/>
    </row>
    <row r="19" spans="2:14" ht="20.100000000000001" customHeight="1" x14ac:dyDescent="0.2">
      <c r="B19" s="1334" t="s">
        <v>2086</v>
      </c>
      <c r="C19" s="1338">
        <v>10.555</v>
      </c>
      <c r="D19" s="1339" t="s">
        <v>2090</v>
      </c>
      <c r="E19" s="1340"/>
      <c r="F19" s="1340">
        <v>46723</v>
      </c>
      <c r="G19" s="1340"/>
      <c r="H19" s="1340"/>
      <c r="I19" s="1340">
        <v>46723</v>
      </c>
      <c r="J19" s="1340"/>
      <c r="K19" s="1340"/>
      <c r="L19" s="1337"/>
      <c r="M19" s="1340" t="s">
        <v>2102</v>
      </c>
    </row>
    <row r="20" spans="2:14" ht="20.100000000000001" customHeight="1" x14ac:dyDescent="0.2">
      <c r="B20" s="1334" t="s">
        <v>2087</v>
      </c>
      <c r="C20" s="1338">
        <v>10.555</v>
      </c>
      <c r="D20" s="1339" t="s">
        <v>2091</v>
      </c>
      <c r="E20" s="1340">
        <v>38754</v>
      </c>
      <c r="F20" s="1340">
        <v>9403</v>
      </c>
      <c r="G20" s="1340">
        <v>38754</v>
      </c>
      <c r="H20" s="1340"/>
      <c r="I20" s="1340">
        <v>9403</v>
      </c>
      <c r="J20" s="1340"/>
      <c r="K20" s="1340"/>
      <c r="L20" s="1337">
        <f t="shared" si="0"/>
        <v>48157</v>
      </c>
      <c r="M20" s="1340" t="s">
        <v>2102</v>
      </c>
    </row>
    <row r="21" spans="2:14" ht="20.100000000000001" customHeight="1" x14ac:dyDescent="0.2">
      <c r="B21" s="1334" t="s">
        <v>2088</v>
      </c>
      <c r="C21" s="1338">
        <v>10.553000000000001</v>
      </c>
      <c r="D21" s="1339" t="s">
        <v>2092</v>
      </c>
      <c r="E21" s="1340"/>
      <c r="F21" s="1340">
        <v>30305</v>
      </c>
      <c r="G21" s="1340"/>
      <c r="H21" s="1340"/>
      <c r="I21" s="1340">
        <v>30305</v>
      </c>
      <c r="J21" s="1340"/>
      <c r="K21" s="1340"/>
      <c r="L21" s="1337">
        <f t="shared" si="0"/>
        <v>30305</v>
      </c>
      <c r="M21" s="1340" t="s">
        <v>2102</v>
      </c>
    </row>
    <row r="22" spans="2:14" ht="20.100000000000001" customHeight="1" x14ac:dyDescent="0.2">
      <c r="B22" s="1334" t="s">
        <v>2089</v>
      </c>
      <c r="C22" s="1338">
        <v>10.553000000000001</v>
      </c>
      <c r="D22" s="1339" t="s">
        <v>2093</v>
      </c>
      <c r="E22" s="1340">
        <v>24657</v>
      </c>
      <c r="F22" s="1340">
        <f>7356-744</f>
        <v>6612</v>
      </c>
      <c r="G22" s="1340">
        <v>24657</v>
      </c>
      <c r="H22" s="1340"/>
      <c r="I22" s="1340">
        <v>6612</v>
      </c>
      <c r="J22" s="1340"/>
      <c r="K22" s="1340"/>
      <c r="L22" s="1337">
        <f t="shared" si="0"/>
        <v>31269</v>
      </c>
      <c r="M22" s="1340" t="s">
        <v>2102</v>
      </c>
    </row>
    <row r="23" spans="2:14" ht="20.100000000000001" customHeight="1" x14ac:dyDescent="0.2">
      <c r="B23" s="1334" t="s">
        <v>2094</v>
      </c>
      <c r="C23" s="1338">
        <v>10.579000000000001</v>
      </c>
      <c r="D23" s="1339" t="s">
        <v>2095</v>
      </c>
      <c r="E23" s="1340"/>
      <c r="F23" s="1340">
        <v>4700</v>
      </c>
      <c r="G23" s="1340"/>
      <c r="H23" s="1340" t="s">
        <v>1169</v>
      </c>
      <c r="I23" s="1340">
        <v>4700</v>
      </c>
      <c r="J23" s="1340"/>
      <c r="K23" s="1340"/>
      <c r="L23" s="1337">
        <f t="shared" si="0"/>
        <v>4700</v>
      </c>
      <c r="M23" s="1340">
        <v>4700</v>
      </c>
    </row>
    <row r="24" spans="2:14" ht="20.100000000000001" customHeight="1" x14ac:dyDescent="0.2">
      <c r="B24" s="1334" t="s">
        <v>2159</v>
      </c>
      <c r="C24" s="1338"/>
      <c r="D24" s="1339"/>
      <c r="E24" s="1340">
        <f>+E19+E20+E21+E22+E23</f>
        <v>63411</v>
      </c>
      <c r="F24" s="1340">
        <f>+F19+F20+F21+F22+F23</f>
        <v>97743</v>
      </c>
      <c r="G24" s="1340">
        <f>+G19+G20+G21+G22+G23</f>
        <v>63411</v>
      </c>
      <c r="H24" s="1340"/>
      <c r="I24" s="1340">
        <f>+I19+I20+I21+I22+I23</f>
        <v>97743</v>
      </c>
      <c r="J24" s="1340"/>
      <c r="K24" s="1340"/>
      <c r="L24" s="1337">
        <f t="shared" si="0"/>
        <v>161154</v>
      </c>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D43" sqref="D4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52" t="str">
        <f>'Single Audit Cover'!A7</f>
        <v>Belleville Area Special Services</v>
      </c>
      <c r="C1" s="2495"/>
      <c r="D1" s="2495"/>
      <c r="E1" s="2495"/>
      <c r="F1" s="2495"/>
      <c r="G1" s="2495"/>
      <c r="H1" s="2495"/>
      <c r="I1" s="2495"/>
      <c r="J1" s="2495"/>
      <c r="K1" s="2495"/>
      <c r="L1" s="2495"/>
      <c r="M1" s="2495"/>
    </row>
    <row r="2" spans="2:14" ht="15" x14ac:dyDescent="0.2">
      <c r="B2" s="2496">
        <f>'Single Audit Cover'!E7</f>
        <v>50082801060</v>
      </c>
      <c r="C2" s="2496"/>
      <c r="D2" s="2496"/>
      <c r="E2" s="2496"/>
      <c r="F2" s="2496"/>
      <c r="G2" s="2496"/>
      <c r="H2" s="2496"/>
      <c r="I2" s="2496"/>
      <c r="J2" s="2496"/>
      <c r="K2" s="2496"/>
      <c r="L2" s="2496"/>
      <c r="M2" s="2496"/>
      <c r="N2" s="1299"/>
    </row>
    <row r="3" spans="2:14" ht="15" x14ac:dyDescent="0.2">
      <c r="B3" s="2497" t="s">
        <v>1219</v>
      </c>
      <c r="C3" s="2497"/>
      <c r="D3" s="2497"/>
      <c r="E3" s="2497"/>
      <c r="F3" s="2497"/>
      <c r="G3" s="2497"/>
      <c r="H3" s="2497"/>
      <c r="I3" s="2497"/>
      <c r="J3" s="2497"/>
      <c r="K3" s="2497"/>
      <c r="L3" s="2497"/>
      <c r="M3" s="2497"/>
      <c r="N3" s="1299"/>
    </row>
    <row r="4" spans="2:14" ht="15" x14ac:dyDescent="0.2">
      <c r="B4" s="2498" t="str">
        <f>'Single Audit Cover'!A4</f>
        <v>Year Ending June 30, 2019</v>
      </c>
      <c r="C4" s="2498"/>
      <c r="D4" s="2498"/>
      <c r="E4" s="2498"/>
      <c r="F4" s="2498"/>
      <c r="G4" s="2498"/>
      <c r="H4" s="2498"/>
      <c r="I4" s="2498"/>
      <c r="J4" s="2498"/>
      <c r="K4" s="2498"/>
      <c r="L4" s="2498"/>
      <c r="M4" s="2498"/>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2161</v>
      </c>
      <c r="C11" s="1335"/>
      <c r="D11" s="1336"/>
      <c r="E11" s="1337"/>
      <c r="F11" s="1337"/>
      <c r="G11" s="1337"/>
      <c r="H11" s="1337"/>
      <c r="I11" s="1337"/>
      <c r="J11" s="1337"/>
      <c r="K11" s="1337"/>
      <c r="L11" s="1337"/>
      <c r="M11" s="1337"/>
    </row>
    <row r="12" spans="2:14" ht="20.100000000000001" customHeight="1" x14ac:dyDescent="0.2">
      <c r="B12" s="1334" t="s">
        <v>2096</v>
      </c>
      <c r="C12" s="1338">
        <v>93.778000000000006</v>
      </c>
      <c r="D12" s="1339" t="s">
        <v>2097</v>
      </c>
      <c r="E12" s="1340"/>
      <c r="F12" s="1340">
        <v>94514</v>
      </c>
      <c r="G12" s="1340"/>
      <c r="H12" s="1340"/>
      <c r="I12" s="1340">
        <v>94514</v>
      </c>
      <c r="J12" s="1340"/>
      <c r="K12" s="1340"/>
      <c r="L12" s="1337">
        <f t="shared" ref="L12:L19" si="0">+G12+I12+K12</f>
        <v>94514</v>
      </c>
      <c r="M12" s="1340" t="s">
        <v>2102</v>
      </c>
    </row>
    <row r="13" spans="2:14" ht="20.100000000000001" customHeight="1" x14ac:dyDescent="0.2">
      <c r="B13" s="1334"/>
      <c r="C13" s="1338"/>
      <c r="D13" s="1339"/>
      <c r="E13" s="1340"/>
      <c r="F13" s="1340"/>
      <c r="G13" s="1340"/>
      <c r="H13" s="1340"/>
      <c r="I13" s="1340"/>
      <c r="J13" s="1340"/>
      <c r="K13" s="1340"/>
      <c r="L13" s="1337"/>
      <c r="M13" s="1340"/>
    </row>
    <row r="14" spans="2:14" ht="20.100000000000001" customHeight="1" x14ac:dyDescent="0.2">
      <c r="B14" s="1334" t="s">
        <v>2098</v>
      </c>
      <c r="C14" s="1338"/>
      <c r="D14" s="1339"/>
      <c r="E14" s="1340">
        <f>+' SEFA (2)'!E16+' SEFA (2)'!E24+' SEFA'!E12</f>
        <v>6516828</v>
      </c>
      <c r="F14" s="1340">
        <f>+' SEFA (2)'!F16+' SEFA (2)'!F24+' SEFA'!F12</f>
        <v>7632448</v>
      </c>
      <c r="G14" s="1340">
        <f>+' SEFA (2)'!H16+' SEFA (2)'!H24+' SEFA'!G12</f>
        <v>4846865</v>
      </c>
      <c r="H14" s="1340">
        <f>+' SEFA (2)'!H16</f>
        <v>4846865</v>
      </c>
      <c r="I14" s="1340">
        <f>+' SEFA (2)'!I16+' SEFA (2)'!I24+' SEFA'!I12</f>
        <v>7632448</v>
      </c>
      <c r="J14" s="1340">
        <f>+' SEFA (2)'!J16</f>
        <v>5479967</v>
      </c>
      <c r="K14" s="1340"/>
      <c r="L14" s="1337">
        <f t="shared" si="0"/>
        <v>12479313</v>
      </c>
      <c r="M14" s="1340"/>
    </row>
    <row r="15" spans="2:14" ht="20.100000000000001" customHeight="1" x14ac:dyDescent="0.2">
      <c r="B15" s="1334" t="s">
        <v>1169</v>
      </c>
      <c r="C15" s="1338"/>
      <c r="D15" s="1339"/>
      <c r="E15" s="1340"/>
      <c r="F15" s="1340"/>
      <c r="G15" s="1340"/>
      <c r="H15" s="1340"/>
      <c r="I15" s="1340"/>
      <c r="J15" s="1340"/>
      <c r="K15" s="1340"/>
      <c r="L15" s="1337"/>
      <c r="M15" s="1340"/>
    </row>
    <row r="16" spans="2:14" ht="20.100000000000001" customHeight="1" x14ac:dyDescent="0.2">
      <c r="B16" s="1334" t="s">
        <v>2099</v>
      </c>
      <c r="C16" s="1338"/>
      <c r="D16" s="1339"/>
      <c r="E16" s="1340"/>
      <c r="F16" s="1340"/>
      <c r="G16" s="1340"/>
      <c r="H16" s="1340"/>
      <c r="I16" s="1340"/>
      <c r="J16" s="1340"/>
      <c r="K16" s="1340"/>
      <c r="L16" s="1337"/>
      <c r="M16" s="1340"/>
    </row>
    <row r="17" spans="2:14" ht="20.100000000000001" customHeight="1" x14ac:dyDescent="0.2">
      <c r="B17" s="1334" t="s">
        <v>2100</v>
      </c>
      <c r="C17" s="1338">
        <v>10.555</v>
      </c>
      <c r="D17" s="1339"/>
      <c r="E17" s="1340"/>
      <c r="F17" s="1340">
        <v>5125</v>
      </c>
      <c r="G17" s="1340"/>
      <c r="H17" s="1340"/>
      <c r="I17" s="1340">
        <v>5125</v>
      </c>
      <c r="J17" s="1340"/>
      <c r="K17" s="1340"/>
      <c r="L17" s="1337">
        <f t="shared" si="0"/>
        <v>5125</v>
      </c>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t="s">
        <v>2101</v>
      </c>
      <c r="C19" s="1338"/>
      <c r="D19" s="1339"/>
      <c r="E19" s="1340"/>
      <c r="F19" s="1340">
        <f>+F14+F17</f>
        <v>7637573</v>
      </c>
      <c r="G19" s="1340"/>
      <c r="H19" s="1340"/>
      <c r="I19" s="1340">
        <f>+I14+I17</f>
        <v>7637573</v>
      </c>
      <c r="J19" s="1340"/>
      <c r="K19" s="1340"/>
      <c r="L19" s="1337">
        <f t="shared" si="0"/>
        <v>7637573</v>
      </c>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2104</v>
      </c>
      <c r="C23" s="1338" t="s">
        <v>2103</v>
      </c>
      <c r="D23" s="1339"/>
      <c r="E23" s="1340">
        <f>+' SEFA (2)'!I19+' SEFA (2)'!I20+' SEFA (2)'!I21+' SEFA (2)'!I22+' SEFA'!I17</f>
        <v>98168</v>
      </c>
      <c r="F23" s="1340"/>
      <c r="G23" s="1340"/>
      <c r="H23" s="1340"/>
      <c r="I23" s="1340"/>
      <c r="J23" s="1340"/>
      <c r="K23" s="1340"/>
      <c r="L23" s="1337"/>
      <c r="M23" s="1340"/>
    </row>
    <row r="24" spans="2:14" ht="20.100000000000001" customHeight="1" x14ac:dyDescent="0.2">
      <c r="B24" s="1334" t="s">
        <v>2105</v>
      </c>
      <c r="C24" s="1942" t="s">
        <v>2106</v>
      </c>
      <c r="D24" s="1339"/>
      <c r="E24" s="1340">
        <f>+' SEFA (2)'!I16</f>
        <v>7440191</v>
      </c>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D43" sqref="D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6" t="s">
        <v>1168</v>
      </c>
      <c r="B2" s="2116"/>
      <c r="C2" s="2116"/>
      <c r="D2" s="2116"/>
      <c r="E2" s="2116"/>
      <c r="F2" s="2116"/>
      <c r="G2" s="2116"/>
      <c r="H2" s="2116"/>
      <c r="I2" s="2116"/>
      <c r="J2" s="211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30" t="s">
        <v>1633</v>
      </c>
      <c r="B35" s="2131"/>
      <c r="C35" s="2131"/>
      <c r="D35" s="2131"/>
      <c r="E35" s="2132"/>
      <c r="F35" s="2132"/>
      <c r="G35" s="2132"/>
      <c r="H35" s="2132"/>
      <c r="I35" s="213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30" t="s">
        <v>313</v>
      </c>
      <c r="B47" s="2133"/>
      <c r="C47" s="2133"/>
      <c r="D47" s="2133"/>
      <c r="E47" s="2134"/>
      <c r="F47" s="2134"/>
      <c r="G47" s="2134"/>
      <c r="H47" s="2134"/>
      <c r="I47" s="213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43707</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7"/>
      <c r="C57" s="2138"/>
      <c r="D57" s="2138"/>
      <c r="E57" s="2138"/>
      <c r="F57" s="2138"/>
      <c r="G57" s="2138"/>
      <c r="H57" s="2138"/>
      <c r="I57" s="2138"/>
      <c r="J57" s="2139"/>
    </row>
    <row r="58" spans="1:10" s="181" customFormat="1" x14ac:dyDescent="0.2">
      <c r="A58" s="253"/>
      <c r="B58" s="2140"/>
      <c r="C58" s="2141"/>
      <c r="D58" s="2141"/>
      <c r="E58" s="2141"/>
      <c r="F58" s="2141"/>
      <c r="G58" s="2141"/>
      <c r="H58" s="2141"/>
      <c r="I58" s="2141"/>
      <c r="J58" s="2142"/>
    </row>
    <row r="59" spans="1:10" s="181" customFormat="1" x14ac:dyDescent="0.2">
      <c r="A59" s="253"/>
      <c r="B59" s="2140"/>
      <c r="C59" s="2141"/>
      <c r="D59" s="2141"/>
      <c r="E59" s="2141"/>
      <c r="F59" s="2141"/>
      <c r="G59" s="2141"/>
      <c r="H59" s="2141"/>
      <c r="I59" s="2141"/>
      <c r="J59" s="2142"/>
    </row>
    <row r="60" spans="1:10" s="181" customFormat="1" x14ac:dyDescent="0.2">
      <c r="A60" s="253"/>
      <c r="B60" s="2140"/>
      <c r="C60" s="2141"/>
      <c r="D60" s="2141"/>
      <c r="E60" s="2141"/>
      <c r="F60" s="2141"/>
      <c r="G60" s="2141"/>
      <c r="H60" s="2141"/>
      <c r="I60" s="2141"/>
      <c r="J60" s="2142"/>
    </row>
    <row r="61" spans="1:10" s="181" customFormat="1" x14ac:dyDescent="0.2">
      <c r="A61" s="253"/>
      <c r="B61" s="2140"/>
      <c r="C61" s="2141"/>
      <c r="D61" s="2141"/>
      <c r="E61" s="2141"/>
      <c r="F61" s="2141"/>
      <c r="G61" s="2141"/>
      <c r="H61" s="2141"/>
      <c r="I61" s="2141"/>
      <c r="J61" s="2142"/>
    </row>
    <row r="62" spans="1:10" s="181" customFormat="1" x14ac:dyDescent="0.2">
      <c r="A62" s="253"/>
      <c r="B62" s="2140"/>
      <c r="C62" s="2141"/>
      <c r="D62" s="2141"/>
      <c r="E62" s="2141"/>
      <c r="F62" s="2141"/>
      <c r="G62" s="2141"/>
      <c r="H62" s="2141"/>
      <c r="I62" s="2141"/>
      <c r="J62" s="2142"/>
    </row>
    <row r="63" spans="1:10" s="181" customFormat="1" x14ac:dyDescent="0.2">
      <c r="A63" s="253"/>
      <c r="B63" s="2140"/>
      <c r="C63" s="2141"/>
      <c r="D63" s="2141"/>
      <c r="E63" s="2141"/>
      <c r="F63" s="2141"/>
      <c r="G63" s="2141"/>
      <c r="H63" s="2141"/>
      <c r="I63" s="2141"/>
      <c r="J63" s="2142"/>
    </row>
    <row r="64" spans="1:10" s="181" customFormat="1" x14ac:dyDescent="0.2">
      <c r="A64" s="253"/>
      <c r="B64" s="2140"/>
      <c r="C64" s="2141"/>
      <c r="D64" s="2141"/>
      <c r="E64" s="2141"/>
      <c r="F64" s="2141"/>
      <c r="G64" s="2141"/>
      <c r="H64" s="2141"/>
      <c r="I64" s="2141"/>
      <c r="J64" s="2142"/>
    </row>
    <row r="65" spans="1:10" s="181" customFormat="1" x14ac:dyDescent="0.2">
      <c r="A65" s="253"/>
      <c r="B65" s="2140"/>
      <c r="C65" s="2141"/>
      <c r="D65" s="2141"/>
      <c r="E65" s="2141"/>
      <c r="F65" s="2141"/>
      <c r="G65" s="2141"/>
      <c r="H65" s="2141"/>
      <c r="I65" s="2141"/>
      <c r="J65" s="2142"/>
    </row>
    <row r="66" spans="1:10" s="181" customFormat="1" x14ac:dyDescent="0.2">
      <c r="A66" s="253"/>
      <c r="B66" s="2140"/>
      <c r="C66" s="2141"/>
      <c r="D66" s="2141"/>
      <c r="E66" s="2141"/>
      <c r="F66" s="2141"/>
      <c r="G66" s="2141"/>
      <c r="H66" s="2141"/>
      <c r="I66" s="2141"/>
      <c r="J66" s="2142"/>
    </row>
    <row r="67" spans="1:10" s="181" customFormat="1" ht="9" customHeight="1" x14ac:dyDescent="0.2">
      <c r="A67" s="254"/>
      <c r="B67" s="2143"/>
      <c r="C67" s="2144"/>
      <c r="D67" s="2144"/>
      <c r="E67" s="2144"/>
      <c r="F67" s="2144"/>
      <c r="G67" s="2144"/>
      <c r="H67" s="2144"/>
      <c r="I67" s="2144"/>
      <c r="J67" s="214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0" t="s">
        <v>1323</v>
      </c>
      <c r="B70" s="2133"/>
      <c r="C70" s="2133"/>
      <c r="D70" s="2133"/>
      <c r="E70" s="2134"/>
      <c r="F70" s="2134"/>
      <c r="G70" s="2134"/>
      <c r="H70" s="2134"/>
      <c r="I70" s="213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35" t="s">
        <v>1320</v>
      </c>
      <c r="B83" s="2135"/>
      <c r="C83" s="2135"/>
      <c r="D83" s="213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v>1</v>
      </c>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17"/>
      <c r="C102" s="2118"/>
      <c r="D102" s="2118"/>
      <c r="E102" s="2118"/>
      <c r="F102" s="2118"/>
      <c r="G102" s="2118"/>
      <c r="H102" s="2118"/>
      <c r="I102" s="2119"/>
    </row>
    <row r="103" spans="1:9" s="181" customFormat="1" ht="11.25" customHeight="1" x14ac:dyDescent="0.2">
      <c r="A103" s="316"/>
      <c r="B103" s="2120"/>
      <c r="C103" s="2121"/>
      <c r="D103" s="2121"/>
      <c r="E103" s="2121"/>
      <c r="F103" s="2121"/>
      <c r="G103" s="2121"/>
      <c r="H103" s="2121"/>
      <c r="I103" s="2122"/>
    </row>
    <row r="104" spans="1:9" s="181" customFormat="1" ht="11.25" customHeight="1" x14ac:dyDescent="0.2">
      <c r="A104" s="316"/>
      <c r="B104" s="2120"/>
      <c r="C104" s="2121"/>
      <c r="D104" s="2121"/>
      <c r="E104" s="2121"/>
      <c r="F104" s="2121"/>
      <c r="G104" s="2121"/>
      <c r="H104" s="2121"/>
      <c r="I104" s="2122"/>
    </row>
    <row r="105" spans="1:9" s="181" customFormat="1" x14ac:dyDescent="0.2">
      <c r="A105" s="316"/>
      <c r="B105" s="2120"/>
      <c r="C105" s="2121"/>
      <c r="D105" s="2121"/>
      <c r="E105" s="2121"/>
      <c r="F105" s="2121"/>
      <c r="G105" s="2121"/>
      <c r="H105" s="2121"/>
      <c r="I105" s="2122"/>
    </row>
    <row r="106" spans="1:9" s="181" customFormat="1" ht="11.25" customHeight="1" x14ac:dyDescent="0.2">
      <c r="A106" s="316"/>
      <c r="B106" s="2120"/>
      <c r="C106" s="2121"/>
      <c r="D106" s="2121"/>
      <c r="E106" s="2121"/>
      <c r="F106" s="2121"/>
      <c r="G106" s="2121"/>
      <c r="H106" s="2121"/>
      <c r="I106" s="2122"/>
    </row>
    <row r="107" spans="1:9" s="181" customFormat="1" ht="11.25" customHeight="1" x14ac:dyDescent="0.2">
      <c r="A107" s="316"/>
      <c r="B107" s="2120"/>
      <c r="C107" s="2121"/>
      <c r="D107" s="2121"/>
      <c r="E107" s="2121"/>
      <c r="F107" s="2121"/>
      <c r="G107" s="2121"/>
      <c r="H107" s="2121"/>
      <c r="I107" s="2122"/>
    </row>
    <row r="108" spans="1:9" s="181" customFormat="1" ht="11.25" customHeight="1" x14ac:dyDescent="0.2">
      <c r="A108" s="316"/>
      <c r="B108" s="2120"/>
      <c r="C108" s="2121"/>
      <c r="D108" s="2121"/>
      <c r="E108" s="2121"/>
      <c r="F108" s="2121"/>
      <c r="G108" s="2121"/>
      <c r="H108" s="2121"/>
      <c r="I108" s="2122"/>
    </row>
    <row r="109" spans="1:9" s="181" customFormat="1" ht="11.25" customHeight="1" x14ac:dyDescent="0.2">
      <c r="A109" s="316"/>
      <c r="B109" s="2120"/>
      <c r="C109" s="2121"/>
      <c r="D109" s="2121"/>
      <c r="E109" s="2121"/>
      <c r="F109" s="2121"/>
      <c r="G109" s="2121"/>
      <c r="H109" s="2121"/>
      <c r="I109" s="2122"/>
    </row>
    <row r="110" spans="1:9" s="181" customFormat="1" ht="11.25" customHeight="1" x14ac:dyDescent="0.2">
      <c r="A110" s="316"/>
      <c r="B110" s="2120"/>
      <c r="C110" s="2121"/>
      <c r="D110" s="2121"/>
      <c r="E110" s="2121"/>
      <c r="F110" s="2121"/>
      <c r="G110" s="2121"/>
      <c r="H110" s="2121"/>
      <c r="I110" s="2122"/>
    </row>
    <row r="111" spans="1:9" s="181" customFormat="1" ht="11.25" customHeight="1" x14ac:dyDescent="0.2">
      <c r="A111" s="316"/>
      <c r="B111" s="2120"/>
      <c r="C111" s="2121"/>
      <c r="D111" s="2121"/>
      <c r="E111" s="2121"/>
      <c r="F111" s="2121"/>
      <c r="G111" s="2121"/>
      <c r="H111" s="2121"/>
      <c r="I111" s="2122"/>
    </row>
    <row r="112" spans="1:9" s="181" customFormat="1" ht="11.25" customHeight="1" x14ac:dyDescent="0.2">
      <c r="A112" s="316"/>
      <c r="B112" s="2123"/>
      <c r="C112" s="2124"/>
      <c r="D112" s="2124"/>
      <c r="E112" s="2124"/>
      <c r="F112" s="2124"/>
      <c r="G112" s="2124"/>
      <c r="H112" s="2124"/>
      <c r="I112" s="212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6" t="s">
        <v>2068</v>
      </c>
      <c r="D114" s="212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7" t="s">
        <v>1330</v>
      </c>
      <c r="D117" s="2128"/>
      <c r="E117" s="2129"/>
      <c r="F117" s="2129"/>
      <c r="G117" s="2129"/>
      <c r="H117" s="212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971A6-65D4-44D9-BDE1-5466B1FF36A8}">
  <sheetPr>
    <pageSetUpPr fitToPage="1"/>
  </sheetPr>
  <dimension ref="A1:G52"/>
  <sheetViews>
    <sheetView showGridLines="0" topLeftCell="A16" zoomScale="120" zoomScaleNormal="120" workbookViewId="0">
      <selection activeCell="C43" sqref="C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08" t="str">
        <f>'Single Audit Cover'!A7</f>
        <v>Belleville Area Special Services</v>
      </c>
      <c r="B1" s="2508"/>
      <c r="C1" s="2508"/>
      <c r="D1" s="2508"/>
      <c r="E1" s="2508"/>
      <c r="F1" s="2508"/>
    </row>
    <row r="2" spans="1:7" ht="13.5" customHeight="1" x14ac:dyDescent="0.2">
      <c r="A2" s="2496">
        <f>'Single Audit Cover'!E7</f>
        <v>50082801060</v>
      </c>
      <c r="B2" s="2496"/>
      <c r="C2" s="2496"/>
      <c r="D2" s="2496"/>
      <c r="E2" s="2496"/>
      <c r="F2" s="2496"/>
      <c r="G2" s="1272"/>
    </row>
    <row r="3" spans="1:7" ht="15.75" customHeight="1" x14ac:dyDescent="0.2">
      <c r="A3" s="2509" t="s">
        <v>1271</v>
      </c>
      <c r="B3" s="2509"/>
      <c r="C3" s="2509"/>
      <c r="D3" s="2509"/>
      <c r="E3" s="2509"/>
      <c r="F3" s="2509"/>
    </row>
    <row r="4" spans="1:7" ht="13.5" customHeight="1" x14ac:dyDescent="0.2">
      <c r="A4" s="2510" t="str">
        <f>'Single Audit Cover'!A4</f>
        <v>Year Ending June 30, 2019</v>
      </c>
      <c r="B4" s="2510"/>
      <c r="C4" s="2510"/>
      <c r="D4" s="2510"/>
      <c r="E4" s="2510"/>
      <c r="F4" s="2510"/>
    </row>
    <row r="5" spans="1:7" ht="8.25" customHeight="1" x14ac:dyDescent="0.2">
      <c r="C5" s="317"/>
      <c r="D5" s="317"/>
    </row>
    <row r="6" spans="1:7" ht="13.5" customHeight="1" x14ac:dyDescent="0.2">
      <c r="A6" s="1273" t="s">
        <v>1728</v>
      </c>
      <c r="C6" s="317"/>
      <c r="D6" s="317"/>
    </row>
    <row r="7" spans="1:7" ht="60.95" customHeight="1" x14ac:dyDescent="0.2">
      <c r="A7" s="2507" t="s">
        <v>2170</v>
      </c>
      <c r="B7" s="2507"/>
      <c r="C7" s="2507"/>
      <c r="D7" s="2507"/>
      <c r="E7" s="2507"/>
      <c r="F7" s="250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2063</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507" t="s">
        <v>2171</v>
      </c>
      <c r="B13" s="2507"/>
      <c r="C13" s="2507"/>
      <c r="D13" s="2507"/>
      <c r="E13" s="2507"/>
      <c r="F13" s="2507"/>
    </row>
    <row r="14" spans="1:7" ht="9.75" customHeight="1" x14ac:dyDescent="0.2">
      <c r="C14" s="1257"/>
      <c r="D14" s="1257"/>
    </row>
    <row r="15" spans="1:7" ht="13.5" customHeight="1" x14ac:dyDescent="0.2">
      <c r="C15" s="1949" t="s">
        <v>1270</v>
      </c>
      <c r="D15" s="2505" t="s">
        <v>1269</v>
      </c>
      <c r="E15" s="2505"/>
      <c r="F15" s="2505"/>
    </row>
    <row r="16" spans="1:7" ht="13.5" customHeight="1" x14ac:dyDescent="0.2">
      <c r="A16" s="1279"/>
      <c r="B16" s="1273" t="s">
        <v>1268</v>
      </c>
      <c r="C16" s="1949" t="s">
        <v>1267</v>
      </c>
      <c r="D16" s="2506" t="s">
        <v>1588</v>
      </c>
      <c r="E16" s="2506"/>
      <c r="F16" s="2506"/>
    </row>
    <row r="17" spans="1:6" ht="20.45" customHeight="1" x14ac:dyDescent="0.2">
      <c r="A17" s="1280"/>
      <c r="B17" s="1953" t="s">
        <v>2203</v>
      </c>
      <c r="C17" s="1954">
        <v>84.027000000000001</v>
      </c>
      <c r="D17" s="2499"/>
      <c r="E17" s="2499"/>
      <c r="F17" s="2499"/>
    </row>
    <row r="18" spans="1:6" ht="20.65" customHeight="1" x14ac:dyDescent="0.2">
      <c r="A18" s="1280"/>
      <c r="B18" s="1953" t="s">
        <v>2173</v>
      </c>
      <c r="C18" s="1954"/>
      <c r="D18" s="2499">
        <v>153744</v>
      </c>
      <c r="E18" s="2499"/>
      <c r="F18" s="2499"/>
    </row>
    <row r="19" spans="1:6" ht="20.65" customHeight="1" x14ac:dyDescent="0.2">
      <c r="A19" s="1280"/>
      <c r="B19" s="1953" t="s">
        <v>2174</v>
      </c>
      <c r="C19" s="1954"/>
      <c r="D19" s="2499">
        <v>127847</v>
      </c>
      <c r="E19" s="2499"/>
      <c r="F19" s="2499"/>
    </row>
    <row r="20" spans="1:6" ht="20.65" customHeight="1" x14ac:dyDescent="0.2">
      <c r="A20" s="1280"/>
      <c r="B20" s="1953" t="s">
        <v>2175</v>
      </c>
      <c r="C20" s="1954"/>
      <c r="D20" s="2499">
        <v>109849</v>
      </c>
      <c r="E20" s="2499"/>
      <c r="F20" s="2499"/>
    </row>
    <row r="21" spans="1:6" ht="20.65" customHeight="1" x14ac:dyDescent="0.2">
      <c r="A21" s="1280"/>
      <c r="B21" s="1953" t="s">
        <v>2176</v>
      </c>
      <c r="C21" s="1954"/>
      <c r="D21" s="2499">
        <v>499268</v>
      </c>
      <c r="E21" s="2499"/>
      <c r="F21" s="2499"/>
    </row>
    <row r="22" spans="1:6" ht="20.65" customHeight="1" x14ac:dyDescent="0.2">
      <c r="A22" s="1280"/>
      <c r="B22" s="1953" t="s">
        <v>2177</v>
      </c>
      <c r="C22" s="1954"/>
      <c r="D22" s="2499">
        <v>122233</v>
      </c>
      <c r="E22" s="2499"/>
      <c r="F22" s="2499"/>
    </row>
    <row r="23" spans="1:6" ht="20.65" customHeight="1" x14ac:dyDescent="0.2">
      <c r="A23" s="1280"/>
      <c r="B23" s="1953" t="s">
        <v>2178</v>
      </c>
      <c r="C23" s="1954"/>
      <c r="D23" s="2499">
        <v>92939</v>
      </c>
      <c r="E23" s="2499"/>
      <c r="F23" s="2499"/>
    </row>
    <row r="24" spans="1:6" ht="20.65" customHeight="1" x14ac:dyDescent="0.2">
      <c r="A24" s="1280"/>
      <c r="B24" s="1953" t="s">
        <v>2179</v>
      </c>
      <c r="C24" s="1954"/>
      <c r="D24" s="2499">
        <v>19818</v>
      </c>
      <c r="E24" s="2499"/>
      <c r="F24" s="2499"/>
    </row>
    <row r="25" spans="1:6" ht="20.65" customHeight="1" x14ac:dyDescent="0.2">
      <c r="A25" s="1280"/>
      <c r="B25" s="1953" t="s">
        <v>2180</v>
      </c>
      <c r="C25" s="1954"/>
      <c r="D25" s="2499">
        <v>369034</v>
      </c>
      <c r="E25" s="2499"/>
      <c r="F25" s="2499"/>
    </row>
    <row r="26" spans="1:6" ht="20.65" customHeight="1" x14ac:dyDescent="0.2">
      <c r="A26" s="1280"/>
      <c r="B26" s="1953" t="s">
        <v>2181</v>
      </c>
      <c r="C26" s="1954"/>
      <c r="D26" s="2499">
        <v>143304</v>
      </c>
      <c r="E26" s="2499"/>
      <c r="F26" s="2499"/>
    </row>
    <row r="27" spans="1:6" ht="20.65" customHeight="1" x14ac:dyDescent="0.2">
      <c r="A27" s="1280"/>
      <c r="B27" s="1953" t="s">
        <v>2182</v>
      </c>
      <c r="C27" s="1954"/>
      <c r="D27" s="2499">
        <v>122220</v>
      </c>
      <c r="E27" s="2499"/>
      <c r="F27" s="2499"/>
    </row>
    <row r="28" spans="1:6" ht="20.65" customHeight="1" x14ac:dyDescent="0.2">
      <c r="A28" s="1280"/>
      <c r="B28" s="1953" t="s">
        <v>2183</v>
      </c>
      <c r="C28" s="1954"/>
      <c r="D28" s="2499">
        <v>145703</v>
      </c>
      <c r="E28" s="2499"/>
      <c r="F28" s="2499"/>
    </row>
    <row r="29" spans="1:6" ht="20.65" customHeight="1" x14ac:dyDescent="0.2">
      <c r="A29" s="1280"/>
      <c r="B29" s="1953" t="s">
        <v>2184</v>
      </c>
      <c r="C29" s="1954"/>
      <c r="D29" s="2499">
        <v>201859</v>
      </c>
      <c r="E29" s="2499"/>
      <c r="F29" s="249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501" t="s">
        <v>1730</v>
      </c>
      <c r="B32" s="2501"/>
      <c r="C32" s="2501"/>
      <c r="D32" s="2501"/>
      <c r="E32" s="2501"/>
      <c r="F32" s="2501"/>
    </row>
    <row r="33" spans="1:6" ht="13.5" customHeight="1" x14ac:dyDescent="0.2">
      <c r="A33" s="328" t="s">
        <v>1434</v>
      </c>
      <c r="B33" s="328"/>
      <c r="C33" s="1285">
        <v>0</v>
      </c>
      <c r="D33" s="1903"/>
      <c r="E33" s="1283"/>
    </row>
    <row r="34" spans="1:6" ht="13.5" customHeight="1" x14ac:dyDescent="0.2">
      <c r="A34" s="328" t="s">
        <v>1836</v>
      </c>
      <c r="B34" s="328"/>
      <c r="C34" s="1286">
        <v>0</v>
      </c>
      <c r="D34" s="1903" t="s">
        <v>1589</v>
      </c>
      <c r="E34" s="2502">
        <f>+C33+C34</f>
        <v>0</v>
      </c>
      <c r="F34" s="250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504" t="s">
        <v>1590</v>
      </c>
      <c r="C49" s="2504"/>
      <c r="D49" s="2504"/>
      <c r="E49" s="1396"/>
    </row>
    <row r="50" spans="1:5" s="1297" customFormat="1" ht="3.75" customHeight="1" x14ac:dyDescent="0.2">
      <c r="A50" s="1296"/>
      <c r="B50" s="1950"/>
      <c r="C50" s="1950"/>
      <c r="D50" s="1950"/>
      <c r="E50" s="1396"/>
    </row>
    <row r="51" spans="1:5" s="1297" customFormat="1" ht="20.25" customHeight="1" x14ac:dyDescent="0.2">
      <c r="A51" s="1298">
        <v>6</v>
      </c>
      <c r="B51" s="2500" t="s">
        <v>1551</v>
      </c>
      <c r="C51" s="2500"/>
      <c r="D51" s="2500"/>
    </row>
    <row r="52" spans="1:5" ht="14.25" customHeight="1" x14ac:dyDescent="0.2">
      <c r="A52" s="1298"/>
      <c r="B52" s="2500"/>
      <c r="C52" s="2500"/>
      <c r="D52" s="2500"/>
    </row>
  </sheetData>
  <sheetProtection sheet="1" objects="1" scenarios="1"/>
  <mergeCells count="26">
    <mergeCell ref="A13:F13"/>
    <mergeCell ref="A1:F1"/>
    <mergeCell ref="A2:F2"/>
    <mergeCell ref="A3:F3"/>
    <mergeCell ref="A4:F4"/>
    <mergeCell ref="A7:F7"/>
    <mergeCell ref="D21:F21"/>
    <mergeCell ref="D22:F22"/>
    <mergeCell ref="D23:F23"/>
    <mergeCell ref="D15:F15"/>
    <mergeCell ref="D16:F16"/>
    <mergeCell ref="D17:F17"/>
    <mergeCell ref="D18:F18"/>
    <mergeCell ref="D19:F19"/>
    <mergeCell ref="D20:F20"/>
    <mergeCell ref="D24:F24"/>
    <mergeCell ref="D25:F25"/>
    <mergeCell ref="B51:D51"/>
    <mergeCell ref="B52:D52"/>
    <mergeCell ref="D27:F27"/>
    <mergeCell ref="D28:F28"/>
    <mergeCell ref="D29:F29"/>
    <mergeCell ref="A32:F32"/>
    <mergeCell ref="E34:F34"/>
    <mergeCell ref="B49:D49"/>
    <mergeCell ref="D26:F26"/>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9B299-3E57-4C82-AA79-52F31CA58692}">
  <sheetPr>
    <pageSetUpPr fitToPage="1"/>
  </sheetPr>
  <dimension ref="A1:G52"/>
  <sheetViews>
    <sheetView showGridLines="0" topLeftCell="A16" zoomScale="120" zoomScaleNormal="120" workbookViewId="0">
      <selection activeCell="D43" sqref="D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08" t="str">
        <f>'Single Audit Cover'!A7</f>
        <v>Belleville Area Special Services</v>
      </c>
      <c r="B1" s="2508"/>
      <c r="C1" s="2508"/>
      <c r="D1" s="2508"/>
      <c r="E1" s="2508"/>
      <c r="F1" s="2508"/>
    </row>
    <row r="2" spans="1:7" ht="13.5" customHeight="1" x14ac:dyDescent="0.2">
      <c r="A2" s="2496">
        <f>'Single Audit Cover'!E7</f>
        <v>50082801060</v>
      </c>
      <c r="B2" s="2496"/>
      <c r="C2" s="2496"/>
      <c r="D2" s="2496"/>
      <c r="E2" s="2496"/>
      <c r="F2" s="2496"/>
      <c r="G2" s="1272"/>
    </row>
    <row r="3" spans="1:7" ht="15.75" customHeight="1" x14ac:dyDescent="0.2">
      <c r="A3" s="2509" t="s">
        <v>1271</v>
      </c>
      <c r="B3" s="2509"/>
      <c r="C3" s="2509"/>
      <c r="D3" s="2509"/>
      <c r="E3" s="2509"/>
      <c r="F3" s="2509"/>
    </row>
    <row r="4" spans="1:7" ht="13.5" customHeight="1" x14ac:dyDescent="0.2">
      <c r="A4" s="2510" t="str">
        <f>'Single Audit Cover'!A4</f>
        <v>Year Ending June 30, 2019</v>
      </c>
      <c r="B4" s="2510"/>
      <c r="C4" s="2510"/>
      <c r="D4" s="2510"/>
      <c r="E4" s="2510"/>
      <c r="F4" s="2510"/>
    </row>
    <row r="5" spans="1:7" ht="8.25" customHeight="1" x14ac:dyDescent="0.2">
      <c r="C5" s="317"/>
      <c r="D5" s="317"/>
    </row>
    <row r="6" spans="1:7" ht="13.5" customHeight="1" x14ac:dyDescent="0.2">
      <c r="A6" s="1273" t="s">
        <v>1728</v>
      </c>
      <c r="C6" s="317"/>
      <c r="D6" s="317"/>
    </row>
    <row r="7" spans="1:7" ht="60.95" customHeight="1" x14ac:dyDescent="0.2">
      <c r="A7" s="2507" t="s">
        <v>2170</v>
      </c>
      <c r="B7" s="2507"/>
      <c r="C7" s="2507"/>
      <c r="D7" s="2507"/>
      <c r="E7" s="2507"/>
      <c r="F7" s="250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2063</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507" t="s">
        <v>2171</v>
      </c>
      <c r="B13" s="2507"/>
      <c r="C13" s="2507"/>
      <c r="D13" s="2507"/>
      <c r="E13" s="2507"/>
      <c r="F13" s="2507"/>
    </row>
    <row r="14" spans="1:7" ht="9.75" customHeight="1" x14ac:dyDescent="0.2">
      <c r="C14" s="1257"/>
      <c r="D14" s="1257"/>
    </row>
    <row r="15" spans="1:7" ht="13.5" customHeight="1" x14ac:dyDescent="0.2">
      <c r="C15" s="1949" t="s">
        <v>1270</v>
      </c>
      <c r="D15" s="2505" t="s">
        <v>1269</v>
      </c>
      <c r="E15" s="2505"/>
      <c r="F15" s="2505"/>
    </row>
    <row r="16" spans="1:7" ht="13.5" customHeight="1" x14ac:dyDescent="0.2">
      <c r="A16" s="1279"/>
      <c r="B16" s="1273" t="s">
        <v>1268</v>
      </c>
      <c r="C16" s="1949" t="s">
        <v>1267</v>
      </c>
      <c r="D16" s="2506" t="s">
        <v>1588</v>
      </c>
      <c r="E16" s="2506"/>
      <c r="F16" s="2506"/>
    </row>
    <row r="17" spans="1:6" ht="20.45" customHeight="1" x14ac:dyDescent="0.2">
      <c r="A17" s="1280"/>
      <c r="B17" s="1955" t="s">
        <v>2204</v>
      </c>
      <c r="C17" s="1956">
        <v>84.027000000000001</v>
      </c>
      <c r="D17" s="2499"/>
      <c r="E17" s="2499"/>
      <c r="F17" s="2499"/>
    </row>
    <row r="18" spans="1:6" ht="20.65" customHeight="1" x14ac:dyDescent="0.2">
      <c r="A18" s="1280"/>
      <c r="B18" s="1955" t="s">
        <v>2185</v>
      </c>
      <c r="C18" s="1956"/>
      <c r="D18" s="2499">
        <v>101292</v>
      </c>
      <c r="E18" s="2499"/>
      <c r="F18" s="2499"/>
    </row>
    <row r="19" spans="1:6" ht="20.65" customHeight="1" x14ac:dyDescent="0.2">
      <c r="A19" s="1280"/>
      <c r="B19" s="1955" t="s">
        <v>2186</v>
      </c>
      <c r="C19" s="1956"/>
      <c r="D19" s="2499">
        <v>93255</v>
      </c>
      <c r="E19" s="2499"/>
      <c r="F19" s="2499"/>
    </row>
    <row r="20" spans="1:6" ht="20.65" customHeight="1" x14ac:dyDescent="0.2">
      <c r="A20" s="1280"/>
      <c r="B20" s="1955" t="s">
        <v>2187</v>
      </c>
      <c r="C20" s="1956"/>
      <c r="D20" s="2499">
        <v>98035</v>
      </c>
      <c r="E20" s="2499"/>
      <c r="F20" s="2499"/>
    </row>
    <row r="21" spans="1:6" ht="20.65" customHeight="1" x14ac:dyDescent="0.2">
      <c r="A21" s="1280"/>
      <c r="B21" s="1955" t="s">
        <v>2188</v>
      </c>
      <c r="C21" s="1956"/>
      <c r="D21" s="2499">
        <v>148912</v>
      </c>
      <c r="E21" s="2499"/>
      <c r="F21" s="2499"/>
    </row>
    <row r="22" spans="1:6" ht="20.65" customHeight="1" x14ac:dyDescent="0.2">
      <c r="A22" s="1280"/>
      <c r="B22" s="1955" t="s">
        <v>2189</v>
      </c>
      <c r="C22" s="1956"/>
      <c r="D22" s="2499">
        <v>808785</v>
      </c>
      <c r="E22" s="2499"/>
      <c r="F22" s="2499"/>
    </row>
    <row r="23" spans="1:6" ht="20.65" customHeight="1" x14ac:dyDescent="0.2">
      <c r="A23" s="1280"/>
      <c r="B23" s="1955" t="s">
        <v>2190</v>
      </c>
      <c r="C23" s="1956"/>
      <c r="D23" s="2499">
        <v>107567</v>
      </c>
      <c r="E23" s="2499"/>
      <c r="F23" s="2499"/>
    </row>
    <row r="24" spans="1:6" ht="20.65" customHeight="1" x14ac:dyDescent="0.2">
      <c r="A24" s="1280"/>
      <c r="B24" s="1955" t="s">
        <v>2191</v>
      </c>
      <c r="C24" s="1956"/>
      <c r="D24" s="2499">
        <v>122179</v>
      </c>
      <c r="E24" s="2499"/>
      <c r="F24" s="2499"/>
    </row>
    <row r="25" spans="1:6" ht="20.65" customHeight="1" x14ac:dyDescent="0.2">
      <c r="A25" s="1280"/>
      <c r="B25" s="1955" t="s">
        <v>2192</v>
      </c>
      <c r="C25" s="1956"/>
      <c r="D25" s="2499">
        <v>779667</v>
      </c>
      <c r="E25" s="2499"/>
      <c r="F25" s="2499"/>
    </row>
    <row r="26" spans="1:6" ht="20.65" customHeight="1" x14ac:dyDescent="0.2">
      <c r="A26" s="1280"/>
      <c r="B26" s="1955" t="s">
        <v>2193</v>
      </c>
      <c r="C26" s="1956"/>
      <c r="D26" s="2499">
        <v>228896</v>
      </c>
      <c r="E26" s="2499"/>
      <c r="F26" s="2499"/>
    </row>
    <row r="27" spans="1:6" ht="20.65" customHeight="1" x14ac:dyDescent="0.2">
      <c r="A27" s="1280"/>
      <c r="B27" s="1955" t="s">
        <v>2194</v>
      </c>
      <c r="C27" s="1956"/>
      <c r="D27" s="2499">
        <v>226014</v>
      </c>
      <c r="E27" s="2499"/>
      <c r="F27" s="2499"/>
    </row>
    <row r="28" spans="1:6" ht="20.65" customHeight="1" x14ac:dyDescent="0.2">
      <c r="A28" s="1280"/>
      <c r="B28" s="1955" t="s">
        <v>2195</v>
      </c>
      <c r="C28" s="1956"/>
      <c r="D28" s="2499">
        <v>156246</v>
      </c>
      <c r="E28" s="2499"/>
      <c r="F28" s="2499"/>
    </row>
    <row r="29" spans="1:6" ht="20.65" customHeight="1" x14ac:dyDescent="0.2">
      <c r="A29" s="1280"/>
      <c r="B29" s="1957" t="s">
        <v>2205</v>
      </c>
      <c r="C29" s="1956"/>
      <c r="D29" s="2499">
        <f>+'SEFA NOTES (3)'!D18:F18+'SEFA NOTES (3)'!D19:F19+'SEFA NOTES (3)'!D20:F20+'SEFA NOTES (3)'!D21:F21+'SEFA NOTES (3)'!D22:F22+'SEFA NOTES (3)'!D23:F23+'SEFA NOTES (3)'!D24:F24+'SEFA NOTES (3)'!D25:F25+'SEFA NOTES (3)'!D26:F26+'SEFA NOTES (3)'!D27:F27+'SEFA NOTES (3)'!D28:F28+'SEFA NOTES (3)'!D29:F29+'SEFA NOTES (2)'!D18:F18+'SEFA NOTES (2)'!D19:F19+'SEFA NOTES (2)'!D20:F20+'SEFA NOTES (2)'!D21:F21+'SEFA NOTES (2)'!D22:F22+'SEFA NOTES (2)'!D23:F23+'SEFA NOTES (2)'!D24:F24+'SEFA NOTES (2)'!D25:F25+'SEFA NOTES (2)'!D26:F26+'SEFA NOTES (2)'!D27:F27+'SEFA NOTES (2)'!D28:F28</f>
        <v>4978666</v>
      </c>
      <c r="E29" s="2499"/>
      <c r="F29" s="249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501" t="s">
        <v>1730</v>
      </c>
      <c r="B32" s="2501"/>
      <c r="C32" s="2501"/>
      <c r="D32" s="2501"/>
      <c r="E32" s="2501"/>
      <c r="F32" s="2501"/>
    </row>
    <row r="33" spans="1:6" ht="13.5" customHeight="1" x14ac:dyDescent="0.2">
      <c r="A33" s="328" t="s">
        <v>1434</v>
      </c>
      <c r="B33" s="328"/>
      <c r="C33" s="1285">
        <v>0</v>
      </c>
      <c r="D33" s="1903"/>
      <c r="E33" s="1283"/>
    </row>
    <row r="34" spans="1:6" ht="13.5" customHeight="1" x14ac:dyDescent="0.2">
      <c r="A34" s="328" t="s">
        <v>1836</v>
      </c>
      <c r="B34" s="328"/>
      <c r="C34" s="1286">
        <v>0</v>
      </c>
      <c r="D34" s="1903" t="s">
        <v>1589</v>
      </c>
      <c r="E34" s="2502">
        <f>+C33+C34</f>
        <v>0</v>
      </c>
      <c r="F34" s="250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504" t="s">
        <v>1590</v>
      </c>
      <c r="C49" s="2504"/>
      <c r="D49" s="2504"/>
      <c r="E49" s="1396"/>
    </row>
    <row r="50" spans="1:5" s="1297" customFormat="1" ht="3.75" customHeight="1" x14ac:dyDescent="0.2">
      <c r="A50" s="1296"/>
      <c r="B50" s="1950"/>
      <c r="C50" s="1950"/>
      <c r="D50" s="1950"/>
      <c r="E50" s="1396"/>
    </row>
    <row r="51" spans="1:5" s="1297" customFormat="1" ht="20.25" customHeight="1" x14ac:dyDescent="0.2">
      <c r="A51" s="1298">
        <v>6</v>
      </c>
      <c r="B51" s="2500" t="s">
        <v>1551</v>
      </c>
      <c r="C51" s="2500"/>
      <c r="D51" s="2500"/>
    </row>
    <row r="52" spans="1:5" ht="14.25" customHeight="1" x14ac:dyDescent="0.2">
      <c r="A52" s="1298"/>
      <c r="B52" s="2500"/>
      <c r="C52" s="2500"/>
      <c r="D52" s="2500"/>
    </row>
  </sheetData>
  <sheetProtection sheet="1" objects="1" scenarios="1"/>
  <mergeCells count="26">
    <mergeCell ref="A13:F13"/>
    <mergeCell ref="A1:F1"/>
    <mergeCell ref="A2:F2"/>
    <mergeCell ref="A3:F3"/>
    <mergeCell ref="A4:F4"/>
    <mergeCell ref="A7:F7"/>
    <mergeCell ref="D21:F21"/>
    <mergeCell ref="D22:F22"/>
    <mergeCell ref="D23:F23"/>
    <mergeCell ref="D15:F15"/>
    <mergeCell ref="D16:F16"/>
    <mergeCell ref="D17:F17"/>
    <mergeCell ref="D18:F18"/>
    <mergeCell ref="D19:F19"/>
    <mergeCell ref="D20:F20"/>
    <mergeCell ref="D24:F24"/>
    <mergeCell ref="D25:F25"/>
    <mergeCell ref="B51:D51"/>
    <mergeCell ref="B52:D52"/>
    <mergeCell ref="D27:F27"/>
    <mergeCell ref="D28:F28"/>
    <mergeCell ref="D29:F29"/>
    <mergeCell ref="A32:F32"/>
    <mergeCell ref="E34:F34"/>
    <mergeCell ref="B49:D49"/>
    <mergeCell ref="D26:F26"/>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72585-7E25-45B8-8F8F-F3B5A5E3653C}">
  <sheetPr>
    <pageSetUpPr fitToPage="1"/>
  </sheetPr>
  <dimension ref="A1:G52"/>
  <sheetViews>
    <sheetView showGridLines="0" topLeftCell="A16" zoomScale="120" zoomScaleNormal="120" workbookViewId="0">
      <selection activeCell="D43" sqref="D43"/>
    </sheetView>
  </sheetViews>
  <sheetFormatPr defaultColWidth="8" defaultRowHeight="12.75" x14ac:dyDescent="0.2"/>
  <cols>
    <col min="1" max="1" width="1.42578125" style="1958" customWidth="1"/>
    <col min="2" max="2" width="53.28515625" style="1958" customWidth="1"/>
    <col min="3" max="3" width="14" style="1961" customWidth="1"/>
    <col min="4" max="4" width="16.7109375" style="1961" customWidth="1"/>
    <col min="5" max="5" width="7.5703125" style="1958" customWidth="1"/>
    <col min="6" max="6" width="2.7109375" style="1958" customWidth="1"/>
    <col min="7" max="7" width="3.28515625" style="1958" customWidth="1"/>
    <col min="8" max="16384" width="8" style="1958"/>
  </cols>
  <sheetData>
    <row r="1" spans="1:7" ht="13.5" customHeight="1" x14ac:dyDescent="0.2">
      <c r="A1" s="2508" t="str">
        <f>'Single Audit Cover'!A7</f>
        <v>Belleville Area Special Services</v>
      </c>
      <c r="B1" s="2508"/>
      <c r="C1" s="2508"/>
      <c r="D1" s="2508"/>
      <c r="E1" s="2508"/>
      <c r="F1" s="2508"/>
    </row>
    <row r="2" spans="1:7" ht="13.5" customHeight="1" x14ac:dyDescent="0.2">
      <c r="A2" s="2496">
        <f>'Single Audit Cover'!E7</f>
        <v>50082801060</v>
      </c>
      <c r="B2" s="2496"/>
      <c r="C2" s="2496"/>
      <c r="D2" s="2496"/>
      <c r="E2" s="2496"/>
      <c r="F2" s="2496"/>
      <c r="G2" s="1963"/>
    </row>
    <row r="3" spans="1:7" ht="15.75" customHeight="1" x14ac:dyDescent="0.2">
      <c r="A3" s="2509" t="s">
        <v>1271</v>
      </c>
      <c r="B3" s="2509"/>
      <c r="C3" s="2509"/>
      <c r="D3" s="2509"/>
      <c r="E3" s="2509"/>
      <c r="F3" s="2509"/>
    </row>
    <row r="4" spans="1:7" ht="13.5" customHeight="1" x14ac:dyDescent="0.2">
      <c r="A4" s="2510" t="str">
        <f>'Single Audit Cover'!A4</f>
        <v>Year Ending June 30, 2019</v>
      </c>
      <c r="B4" s="2510"/>
      <c r="C4" s="2510"/>
      <c r="D4" s="2510"/>
      <c r="E4" s="2510"/>
      <c r="F4" s="2510"/>
    </row>
    <row r="5" spans="1:7" ht="8.25" customHeight="1" x14ac:dyDescent="0.2">
      <c r="C5" s="1958"/>
      <c r="D5" s="1958"/>
    </row>
    <row r="6" spans="1:7" ht="13.5" customHeight="1" x14ac:dyDescent="0.2">
      <c r="A6" s="1964" t="s">
        <v>1728</v>
      </c>
      <c r="C6" s="1958"/>
      <c r="D6" s="1958"/>
    </row>
    <row r="7" spans="1:7" ht="60.95" customHeight="1" x14ac:dyDescent="0.2">
      <c r="A7" s="2507" t="s">
        <v>2170</v>
      </c>
      <c r="B7" s="2507"/>
      <c r="C7" s="2507"/>
      <c r="D7" s="2507"/>
      <c r="E7" s="2507"/>
      <c r="F7" s="2507"/>
    </row>
    <row r="8" spans="1:7" ht="12" customHeight="1" x14ac:dyDescent="0.2">
      <c r="A8" s="1964"/>
      <c r="B8" s="1970"/>
      <c r="C8" s="1970"/>
      <c r="D8" s="1970"/>
    </row>
    <row r="9" spans="1:7" ht="15" customHeight="1" x14ac:dyDescent="0.2">
      <c r="A9" s="1965" t="s">
        <v>1729</v>
      </c>
      <c r="B9" s="1968"/>
      <c r="C9" s="1968"/>
      <c r="D9" s="1968"/>
      <c r="E9" s="1966"/>
      <c r="F9" s="1966"/>
      <c r="G9" s="1966"/>
    </row>
    <row r="10" spans="1:7" ht="15" customHeight="1" x14ac:dyDescent="0.2">
      <c r="A10" s="1967" t="s">
        <v>1547</v>
      </c>
      <c r="B10" s="1968"/>
      <c r="C10" s="1969"/>
      <c r="D10" s="1968" t="s">
        <v>1548</v>
      </c>
      <c r="E10" s="1969" t="s">
        <v>2063</v>
      </c>
      <c r="F10" s="1968" t="s">
        <v>99</v>
      </c>
      <c r="G10" s="1966"/>
    </row>
    <row r="11" spans="1:7" ht="12" customHeight="1" x14ac:dyDescent="0.2">
      <c r="A11" s="1967"/>
      <c r="B11" s="1968"/>
      <c r="C11" s="1995"/>
      <c r="D11" s="1968"/>
      <c r="E11" s="1995"/>
      <c r="F11" s="1968"/>
      <c r="G11" s="1966"/>
    </row>
    <row r="12" spans="1:7" x14ac:dyDescent="0.2">
      <c r="A12" s="1964" t="s">
        <v>1587</v>
      </c>
      <c r="C12" s="1962"/>
      <c r="D12" s="1962"/>
    </row>
    <row r="13" spans="1:7" ht="15" customHeight="1" x14ac:dyDescent="0.2">
      <c r="A13" s="2507" t="s">
        <v>2171</v>
      </c>
      <c r="B13" s="2507"/>
      <c r="C13" s="2507"/>
      <c r="D13" s="2507"/>
      <c r="E13" s="2507"/>
      <c r="F13" s="2507"/>
    </row>
    <row r="14" spans="1:7" ht="9.75" customHeight="1" x14ac:dyDescent="0.2">
      <c r="C14" s="1962"/>
      <c r="D14" s="1962"/>
    </row>
    <row r="15" spans="1:7" ht="13.5" customHeight="1" x14ac:dyDescent="0.2">
      <c r="C15" s="1993" t="s">
        <v>1270</v>
      </c>
      <c r="D15" s="2505" t="s">
        <v>1269</v>
      </c>
      <c r="E15" s="2505"/>
      <c r="F15" s="2505"/>
    </row>
    <row r="16" spans="1:7" ht="13.5" customHeight="1" x14ac:dyDescent="0.2">
      <c r="A16" s="1970"/>
      <c r="B16" s="1964" t="s">
        <v>1268</v>
      </c>
      <c r="C16" s="1993" t="s">
        <v>1267</v>
      </c>
      <c r="D16" s="2506" t="s">
        <v>1588</v>
      </c>
      <c r="E16" s="2506"/>
      <c r="F16" s="2506"/>
    </row>
    <row r="17" spans="1:6" ht="20.45" customHeight="1" x14ac:dyDescent="0.2">
      <c r="A17" s="1971"/>
      <c r="B17" s="1972" t="s">
        <v>2172</v>
      </c>
      <c r="C17" s="1973">
        <v>84.027000000000001</v>
      </c>
      <c r="D17" s="2499"/>
      <c r="E17" s="2499"/>
      <c r="F17" s="2499"/>
    </row>
    <row r="18" spans="1:6" ht="20.65" customHeight="1" x14ac:dyDescent="0.2">
      <c r="A18" s="1971"/>
      <c r="B18" s="1972" t="s">
        <v>2175</v>
      </c>
      <c r="C18" s="1973"/>
      <c r="D18" s="2499">
        <v>16629</v>
      </c>
      <c r="E18" s="2499"/>
      <c r="F18" s="2499"/>
    </row>
    <row r="19" spans="1:6" ht="20.65" customHeight="1" x14ac:dyDescent="0.2">
      <c r="A19" s="1971"/>
      <c r="B19" s="1972" t="s">
        <v>2176</v>
      </c>
      <c r="C19" s="1973"/>
      <c r="D19" s="2499">
        <v>10442</v>
      </c>
      <c r="E19" s="2499"/>
      <c r="F19" s="2499"/>
    </row>
    <row r="20" spans="1:6" ht="20.65" customHeight="1" x14ac:dyDescent="0.2">
      <c r="A20" s="1971"/>
      <c r="B20" s="1972" t="s">
        <v>2184</v>
      </c>
      <c r="C20" s="1973"/>
      <c r="D20" s="2499">
        <v>18082</v>
      </c>
      <c r="E20" s="2499"/>
      <c r="F20" s="2499"/>
    </row>
    <row r="21" spans="1:6" ht="20.65" customHeight="1" x14ac:dyDescent="0.2">
      <c r="A21" s="1971"/>
      <c r="B21" s="1972" t="s">
        <v>2206</v>
      </c>
      <c r="C21" s="1973"/>
      <c r="D21" s="2499">
        <v>27403</v>
      </c>
      <c r="E21" s="2499"/>
      <c r="F21" s="2499"/>
    </row>
    <row r="22" spans="1:6" ht="20.65" customHeight="1" x14ac:dyDescent="0.2">
      <c r="A22" s="1971"/>
      <c r="B22" s="1972" t="s">
        <v>2188</v>
      </c>
      <c r="C22" s="1973"/>
      <c r="D22" s="2499">
        <v>6952</v>
      </c>
      <c r="E22" s="2499"/>
      <c r="F22" s="2499"/>
    </row>
    <row r="23" spans="1:6" ht="20.65" customHeight="1" x14ac:dyDescent="0.2">
      <c r="A23" s="1971"/>
      <c r="B23" s="1972" t="s">
        <v>2189</v>
      </c>
      <c r="C23" s="1973"/>
      <c r="D23" s="2499">
        <v>133951</v>
      </c>
      <c r="E23" s="2499"/>
      <c r="F23" s="2499"/>
    </row>
    <row r="24" spans="1:6" ht="20.65" customHeight="1" x14ac:dyDescent="0.2">
      <c r="A24" s="1971"/>
      <c r="B24" s="1972" t="s">
        <v>2192</v>
      </c>
      <c r="C24" s="1973"/>
      <c r="D24" s="2499">
        <v>284801</v>
      </c>
      <c r="E24" s="2499"/>
      <c r="F24" s="2499"/>
    </row>
    <row r="25" spans="1:6" ht="20.65" customHeight="1" x14ac:dyDescent="0.2">
      <c r="A25" s="1971"/>
      <c r="B25" s="1972" t="s">
        <v>2193</v>
      </c>
      <c r="C25" s="1973"/>
      <c r="D25" s="2499">
        <v>859</v>
      </c>
      <c r="E25" s="2499"/>
      <c r="F25" s="2499"/>
    </row>
    <row r="26" spans="1:6" ht="20.65" customHeight="1" x14ac:dyDescent="0.2">
      <c r="A26" s="1971"/>
      <c r="B26" s="1999" t="s">
        <v>2196</v>
      </c>
      <c r="C26" s="1973"/>
      <c r="D26" s="2499">
        <f>+D18+D19+D20+D21+D22+D23+D24+D25</f>
        <v>499119</v>
      </c>
      <c r="E26" s="2499"/>
      <c r="F26" s="2499"/>
    </row>
    <row r="27" spans="1:6" ht="20.65" customHeight="1" x14ac:dyDescent="0.2">
      <c r="A27" s="1971"/>
      <c r="B27" s="1972"/>
      <c r="C27" s="1973"/>
      <c r="D27" s="2499"/>
      <c r="E27" s="2499"/>
      <c r="F27" s="2499"/>
    </row>
    <row r="28" spans="1:6" ht="20.65" customHeight="1" x14ac:dyDescent="0.2">
      <c r="A28" s="1971"/>
      <c r="B28" s="1972"/>
      <c r="C28" s="1973"/>
      <c r="D28" s="2499"/>
      <c r="E28" s="2499"/>
      <c r="F28" s="2499"/>
    </row>
    <row r="29" spans="1:6" ht="20.65" customHeight="1" x14ac:dyDescent="0.2">
      <c r="A29" s="1971"/>
      <c r="B29" s="1972"/>
      <c r="C29" s="1973"/>
      <c r="D29" s="2499"/>
      <c r="E29" s="2499"/>
      <c r="F29" s="2499"/>
    </row>
    <row r="30" spans="1:6" ht="12" customHeight="1" x14ac:dyDescent="0.2">
      <c r="A30" s="1960"/>
      <c r="B30" s="1960"/>
      <c r="C30" s="1991"/>
      <c r="D30" s="1996"/>
      <c r="E30" s="1974"/>
    </row>
    <row r="31" spans="1:6" ht="12" customHeight="1" x14ac:dyDescent="0.2">
      <c r="A31" s="1975" t="s">
        <v>1549</v>
      </c>
      <c r="B31" s="1960"/>
      <c r="C31" s="1991"/>
      <c r="D31" s="1996"/>
      <c r="E31" s="1974"/>
    </row>
    <row r="32" spans="1:6" ht="30" customHeight="1" x14ac:dyDescent="0.2">
      <c r="A32" s="2501" t="s">
        <v>1730</v>
      </c>
      <c r="B32" s="2501"/>
      <c r="C32" s="2501"/>
      <c r="D32" s="2501"/>
      <c r="E32" s="2501"/>
      <c r="F32" s="2501"/>
    </row>
    <row r="33" spans="1:6" ht="13.5" customHeight="1" x14ac:dyDescent="0.2">
      <c r="A33" s="1960" t="s">
        <v>1434</v>
      </c>
      <c r="B33" s="1960"/>
      <c r="C33" s="1976">
        <v>0</v>
      </c>
      <c r="D33" s="1996"/>
      <c r="E33" s="1974"/>
    </row>
    <row r="34" spans="1:6" ht="13.5" customHeight="1" x14ac:dyDescent="0.2">
      <c r="A34" s="1960" t="s">
        <v>1836</v>
      </c>
      <c r="B34" s="1960"/>
      <c r="C34" s="1977">
        <v>0</v>
      </c>
      <c r="D34" s="1996" t="s">
        <v>1589</v>
      </c>
      <c r="E34" s="2502">
        <f>+C33+C34</f>
        <v>0</v>
      </c>
      <c r="F34" s="2503"/>
    </row>
    <row r="35" spans="1:6" ht="12" customHeight="1" x14ac:dyDescent="0.2">
      <c r="A35" s="1960"/>
      <c r="B35" s="1960"/>
      <c r="C35" s="1997"/>
      <c r="D35" s="1996"/>
      <c r="E35" s="1978"/>
      <c r="F35" s="1979"/>
    </row>
    <row r="36" spans="1:6" ht="13.5" customHeight="1" x14ac:dyDescent="0.2">
      <c r="A36" s="1975" t="s">
        <v>1550</v>
      </c>
      <c r="B36" s="1960"/>
      <c r="C36" s="1991"/>
      <c r="D36" s="1996"/>
      <c r="E36" s="1974"/>
    </row>
    <row r="37" spans="1:6" ht="14.25" customHeight="1" x14ac:dyDescent="0.2">
      <c r="A37" s="1960" t="s">
        <v>1484</v>
      </c>
      <c r="B37" s="1960"/>
      <c r="C37" s="1998"/>
      <c r="D37" s="1996"/>
      <c r="E37" s="1974"/>
    </row>
    <row r="38" spans="1:6" ht="14.25" customHeight="1" x14ac:dyDescent="0.2">
      <c r="A38" s="1960"/>
      <c r="B38" s="1960" t="s">
        <v>1435</v>
      </c>
      <c r="C38" s="1980"/>
      <c r="D38" s="1996"/>
      <c r="E38" s="1974"/>
    </row>
    <row r="39" spans="1:6" ht="14.25" customHeight="1" x14ac:dyDescent="0.2">
      <c r="A39" s="1960"/>
      <c r="B39" s="1960" t="s">
        <v>1436</v>
      </c>
      <c r="C39" s="1980"/>
      <c r="D39" s="1996"/>
      <c r="E39" s="1974"/>
    </row>
    <row r="40" spans="1:6" ht="14.25" customHeight="1" x14ac:dyDescent="0.2">
      <c r="A40" s="1960"/>
      <c r="B40" s="1960" t="s">
        <v>1437</v>
      </c>
      <c r="C40" s="1980"/>
      <c r="D40" s="1996"/>
      <c r="E40" s="1974"/>
    </row>
    <row r="41" spans="1:6" ht="14.25" customHeight="1" x14ac:dyDescent="0.2">
      <c r="A41" s="1960"/>
      <c r="B41" s="1960" t="s">
        <v>1438</v>
      </c>
      <c r="C41" s="1980"/>
      <c r="D41" s="1996"/>
      <c r="E41" s="1974"/>
    </row>
    <row r="42" spans="1:6" ht="14.25" customHeight="1" x14ac:dyDescent="0.2">
      <c r="A42" s="1960" t="s">
        <v>1439</v>
      </c>
      <c r="B42" s="1960"/>
      <c r="C42" s="1994"/>
      <c r="D42" s="1996"/>
      <c r="E42" s="1974"/>
    </row>
    <row r="43" spans="1:6" ht="14.25" customHeight="1" x14ac:dyDescent="0.2">
      <c r="A43" s="1960" t="s">
        <v>1440</v>
      </c>
      <c r="B43" s="1960"/>
      <c r="C43" s="1981"/>
      <c r="D43" s="1996"/>
      <c r="E43" s="1974"/>
    </row>
    <row r="44" spans="1:6" ht="14.25" customHeight="1" x14ac:dyDescent="0.2">
      <c r="A44" s="1960"/>
      <c r="B44" s="1960"/>
      <c r="C44" s="1998" t="s">
        <v>1441</v>
      </c>
      <c r="D44" s="1996"/>
      <c r="E44" s="1974"/>
    </row>
    <row r="45" spans="1:6" ht="13.5" customHeight="1" x14ac:dyDescent="0.2">
      <c r="B45" s="1959"/>
      <c r="C45" s="1982"/>
      <c r="D45" s="1982"/>
    </row>
    <row r="46" spans="1:6" x14ac:dyDescent="0.2">
      <c r="A46" s="1983" t="s">
        <v>1731</v>
      </c>
      <c r="C46" s="1958"/>
      <c r="D46" s="1958"/>
    </row>
    <row r="47" spans="1:6" s="1959" customFormat="1" ht="11.25" customHeight="1" x14ac:dyDescent="0.2">
      <c r="A47" s="1984"/>
      <c r="B47" s="1985"/>
      <c r="C47" s="1985"/>
      <c r="D47" s="1985"/>
      <c r="E47" s="1985"/>
      <c r="F47" s="1985"/>
    </row>
    <row r="48" spans="1:6" s="1959" customFormat="1" ht="6" customHeight="1" x14ac:dyDescent="0.2">
      <c r="A48" s="1986"/>
    </row>
    <row r="49" spans="1:5" s="1988" customFormat="1" ht="23.25" customHeight="1" x14ac:dyDescent="0.2">
      <c r="A49" s="1987">
        <v>5</v>
      </c>
      <c r="B49" s="2504" t="s">
        <v>1590</v>
      </c>
      <c r="C49" s="2504"/>
      <c r="D49" s="2504"/>
      <c r="E49" s="1990"/>
    </row>
    <row r="50" spans="1:5" s="1988" customFormat="1" ht="3.75" customHeight="1" x14ac:dyDescent="0.2">
      <c r="A50" s="1987"/>
      <c r="B50" s="1992"/>
      <c r="C50" s="1992"/>
      <c r="D50" s="1992"/>
      <c r="E50" s="1990"/>
    </row>
    <row r="51" spans="1:5" s="1988" customFormat="1" ht="20.25" customHeight="1" x14ac:dyDescent="0.2">
      <c r="A51" s="1989">
        <v>6</v>
      </c>
      <c r="B51" s="2500" t="s">
        <v>1551</v>
      </c>
      <c r="C51" s="2500"/>
      <c r="D51" s="2500"/>
    </row>
    <row r="52" spans="1:5" ht="14.25" customHeight="1" x14ac:dyDescent="0.2">
      <c r="A52" s="1989"/>
      <c r="B52" s="2500"/>
      <c r="C52" s="2500"/>
      <c r="D52" s="2500"/>
    </row>
  </sheetData>
  <sheetProtection sheet="1" objects="1" scenarios="1"/>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9" zoomScale="120" zoomScaleNormal="120" workbookViewId="0">
      <selection activeCell="D43" sqref="D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08" t="str">
        <f>'Single Audit Cover'!A7</f>
        <v>Belleville Area Special Services</v>
      </c>
      <c r="B1" s="2508"/>
      <c r="C1" s="2508"/>
      <c r="D1" s="2508"/>
      <c r="E1" s="2508"/>
      <c r="F1" s="2508"/>
    </row>
    <row r="2" spans="1:7" ht="13.5" customHeight="1" x14ac:dyDescent="0.2">
      <c r="A2" s="2496">
        <f>'Single Audit Cover'!E7</f>
        <v>50082801060</v>
      </c>
      <c r="B2" s="2496"/>
      <c r="C2" s="2496"/>
      <c r="D2" s="2496"/>
      <c r="E2" s="2496"/>
      <c r="F2" s="2496"/>
      <c r="G2" s="1272"/>
    </row>
    <row r="3" spans="1:7" ht="15.75" customHeight="1" x14ac:dyDescent="0.2">
      <c r="A3" s="2509" t="s">
        <v>1271</v>
      </c>
      <c r="B3" s="2509"/>
      <c r="C3" s="2509"/>
      <c r="D3" s="2509"/>
      <c r="E3" s="2509"/>
      <c r="F3" s="2509"/>
    </row>
    <row r="4" spans="1:7" ht="13.5" customHeight="1" x14ac:dyDescent="0.2">
      <c r="A4" s="2510" t="str">
        <f>'Single Audit Cover'!A4</f>
        <v>Year Ending June 30, 2019</v>
      </c>
      <c r="B4" s="2510"/>
      <c r="C4" s="2510"/>
      <c r="D4" s="2510"/>
      <c r="E4" s="2510"/>
      <c r="F4" s="2510"/>
    </row>
    <row r="5" spans="1:7" ht="8.25" customHeight="1" x14ac:dyDescent="0.2">
      <c r="C5" s="317"/>
      <c r="D5" s="317"/>
    </row>
    <row r="6" spans="1:7" ht="13.5" customHeight="1" x14ac:dyDescent="0.2">
      <c r="A6" s="1273" t="s">
        <v>1728</v>
      </c>
      <c r="C6" s="317"/>
      <c r="D6" s="317"/>
    </row>
    <row r="7" spans="1:7" ht="60.95" customHeight="1" x14ac:dyDescent="0.2">
      <c r="A7" s="2507" t="s">
        <v>2170</v>
      </c>
      <c r="B7" s="2507"/>
      <c r="C7" s="2507"/>
      <c r="D7" s="2507"/>
      <c r="E7" s="2507"/>
      <c r="F7" s="250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2063</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507" t="s">
        <v>2171</v>
      </c>
      <c r="B13" s="2507"/>
      <c r="C13" s="2507"/>
      <c r="D13" s="2507"/>
      <c r="E13" s="2507"/>
      <c r="F13" s="2507"/>
    </row>
    <row r="14" spans="1:7" ht="9.75" customHeight="1" x14ac:dyDescent="0.2">
      <c r="C14" s="1257"/>
      <c r="D14" s="1257"/>
    </row>
    <row r="15" spans="1:7" ht="13.5" customHeight="1" x14ac:dyDescent="0.2">
      <c r="C15" s="1846" t="s">
        <v>1270</v>
      </c>
      <c r="D15" s="2505" t="s">
        <v>1269</v>
      </c>
      <c r="E15" s="2505"/>
      <c r="F15" s="2505"/>
    </row>
    <row r="16" spans="1:7" ht="13.5" customHeight="1" x14ac:dyDescent="0.2">
      <c r="A16" s="1279"/>
      <c r="B16" s="1273" t="s">
        <v>1268</v>
      </c>
      <c r="C16" s="1846" t="s">
        <v>1267</v>
      </c>
      <c r="D16" s="2506" t="s">
        <v>1588</v>
      </c>
      <c r="E16" s="2506"/>
      <c r="F16" s="2506"/>
    </row>
    <row r="17" spans="1:6" ht="20.45" customHeight="1" x14ac:dyDescent="0.2">
      <c r="A17" s="1280"/>
      <c r="B17" s="2000" t="s">
        <v>2199</v>
      </c>
      <c r="C17" s="2001">
        <v>84.173000000000002</v>
      </c>
      <c r="D17" s="2499"/>
      <c r="E17" s="2499"/>
      <c r="F17" s="2499"/>
    </row>
    <row r="18" spans="1:6" ht="20.65" customHeight="1" x14ac:dyDescent="0.2">
      <c r="A18" s="1280"/>
      <c r="B18" s="2000" t="s">
        <v>2183</v>
      </c>
      <c r="C18" s="2001"/>
      <c r="D18" s="2499">
        <v>634</v>
      </c>
      <c r="E18" s="2499"/>
      <c r="F18" s="2499"/>
    </row>
    <row r="19" spans="1:6" ht="20.65" customHeight="1" x14ac:dyDescent="0.2">
      <c r="A19" s="1280"/>
      <c r="B19" s="2000" t="s">
        <v>2200</v>
      </c>
      <c r="C19" s="2001"/>
      <c r="D19" s="2499">
        <v>668</v>
      </c>
      <c r="E19" s="2499"/>
      <c r="F19" s="2499"/>
    </row>
    <row r="20" spans="1:6" ht="20.65" customHeight="1" x14ac:dyDescent="0.2">
      <c r="A20" s="1280"/>
      <c r="B20" s="2000" t="s">
        <v>2193</v>
      </c>
      <c r="C20" s="2001"/>
      <c r="D20" s="2499">
        <v>452</v>
      </c>
      <c r="E20" s="2499"/>
      <c r="F20" s="2499"/>
    </row>
    <row r="21" spans="1:6" ht="20.65" customHeight="1" x14ac:dyDescent="0.2">
      <c r="A21" s="1280"/>
      <c r="B21" s="2000" t="s">
        <v>1169</v>
      </c>
      <c r="C21" s="2001"/>
      <c r="D21" s="2499"/>
      <c r="E21" s="2499"/>
      <c r="F21" s="2499"/>
    </row>
    <row r="22" spans="1:6" ht="20.65" customHeight="1" x14ac:dyDescent="0.2">
      <c r="A22" s="1280"/>
      <c r="B22" s="2002" t="s">
        <v>2201</v>
      </c>
      <c r="C22" s="2001"/>
      <c r="D22" s="2499">
        <f>+D18+D19+D20</f>
        <v>1754</v>
      </c>
      <c r="E22" s="2499"/>
      <c r="F22" s="2499"/>
    </row>
    <row r="23" spans="1:6" ht="20.65" customHeight="1" x14ac:dyDescent="0.2">
      <c r="A23" s="1280"/>
      <c r="B23" s="2000"/>
      <c r="C23" s="2001"/>
      <c r="D23" s="2499"/>
      <c r="E23" s="2499"/>
      <c r="F23" s="2499"/>
    </row>
    <row r="24" spans="1:6" ht="20.65" customHeight="1" x14ac:dyDescent="0.2">
      <c r="A24" s="1280"/>
      <c r="B24" s="2000" t="s">
        <v>2197</v>
      </c>
      <c r="C24" s="2001">
        <v>84.173000000000002</v>
      </c>
      <c r="D24" s="2499"/>
      <c r="E24" s="2499"/>
      <c r="F24" s="2499"/>
    </row>
    <row r="25" spans="1:6" ht="20.65" customHeight="1" x14ac:dyDescent="0.2">
      <c r="A25" s="1280"/>
      <c r="B25" s="2000" t="s">
        <v>2202</v>
      </c>
      <c r="C25" s="2001"/>
      <c r="D25" s="2499">
        <v>138</v>
      </c>
      <c r="E25" s="2499"/>
      <c r="F25" s="2499"/>
    </row>
    <row r="26" spans="1:6" ht="20.65" customHeight="1" x14ac:dyDescent="0.2">
      <c r="A26" s="1280"/>
      <c r="B26" s="1999" t="s">
        <v>2193</v>
      </c>
      <c r="C26" s="1973"/>
      <c r="D26" s="2499">
        <v>290</v>
      </c>
      <c r="E26" s="2499"/>
      <c r="F26" s="2499"/>
    </row>
    <row r="27" spans="1:6" ht="20.65" customHeight="1" x14ac:dyDescent="0.2">
      <c r="A27" s="1280"/>
      <c r="B27" s="1281" t="s">
        <v>2198</v>
      </c>
      <c r="C27" s="1282"/>
      <c r="D27" s="2499">
        <f>+D25+D26</f>
        <v>428</v>
      </c>
      <c r="E27" s="2499"/>
      <c r="F27" s="2499"/>
    </row>
    <row r="28" spans="1:6" ht="20.65" customHeight="1" x14ac:dyDescent="0.2">
      <c r="A28" s="1280"/>
      <c r="B28" s="1281"/>
      <c r="C28" s="1282"/>
      <c r="D28" s="2499"/>
      <c r="E28" s="2499"/>
      <c r="F28" s="2499"/>
    </row>
    <row r="29" spans="1:6" ht="20.65" customHeight="1" x14ac:dyDescent="0.2">
      <c r="A29" s="1280"/>
      <c r="B29" s="1281"/>
      <c r="C29" s="1282"/>
      <c r="D29" s="2499"/>
      <c r="E29" s="2499"/>
      <c r="F29" s="249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501" t="s">
        <v>1730</v>
      </c>
      <c r="B32" s="2501"/>
      <c r="C32" s="2501"/>
      <c r="D32" s="2501"/>
      <c r="E32" s="2501"/>
      <c r="F32" s="2501"/>
    </row>
    <row r="33" spans="1:6" ht="13.5" customHeight="1" x14ac:dyDescent="0.2">
      <c r="A33" s="328" t="s">
        <v>1434</v>
      </c>
      <c r="B33" s="328"/>
      <c r="C33" s="1285">
        <v>5125</v>
      </c>
      <c r="D33" s="1903"/>
      <c r="E33" s="1283"/>
    </row>
    <row r="34" spans="1:6" ht="13.5" customHeight="1" x14ac:dyDescent="0.2">
      <c r="A34" s="328" t="s">
        <v>1836</v>
      </c>
      <c r="B34" s="328"/>
      <c r="C34" s="1286">
        <v>0</v>
      </c>
      <c r="D34" s="1903" t="s">
        <v>1589</v>
      </c>
      <c r="E34" s="2502">
        <f>+C33+C34</f>
        <v>5125</v>
      </c>
      <c r="F34" s="250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99</v>
      </c>
      <c r="D38" s="1903"/>
      <c r="E38" s="1283"/>
    </row>
    <row r="39" spans="1:6" ht="14.25" customHeight="1" x14ac:dyDescent="0.2">
      <c r="A39" s="328"/>
      <c r="B39" s="328" t="s">
        <v>1436</v>
      </c>
      <c r="C39" s="1289" t="s">
        <v>99</v>
      </c>
      <c r="D39" s="1903"/>
      <c r="E39" s="1283"/>
    </row>
    <row r="40" spans="1:6" ht="14.25" customHeight="1" x14ac:dyDescent="0.2">
      <c r="A40" s="328"/>
      <c r="B40" s="328" t="s">
        <v>1437</v>
      </c>
      <c r="C40" s="1289" t="s">
        <v>99</v>
      </c>
      <c r="D40" s="1903"/>
      <c r="E40" s="1283"/>
    </row>
    <row r="41" spans="1:6" ht="14.25" customHeight="1" x14ac:dyDescent="0.2">
      <c r="A41" s="328"/>
      <c r="B41" s="328" t="s">
        <v>1438</v>
      </c>
      <c r="C41" s="1289" t="s">
        <v>99</v>
      </c>
      <c r="D41" s="1903"/>
      <c r="E41" s="1283"/>
    </row>
    <row r="42" spans="1:6" ht="14.25" customHeight="1" x14ac:dyDescent="0.2">
      <c r="A42" s="328" t="s">
        <v>1439</v>
      </c>
      <c r="B42" s="328"/>
      <c r="C42" s="1901" t="s">
        <v>99</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504" t="s">
        <v>1590</v>
      </c>
      <c r="C49" s="2504"/>
      <c r="D49" s="2504"/>
      <c r="E49" s="1396"/>
    </row>
    <row r="50" spans="1:5" s="1297" customFormat="1" ht="3.75" customHeight="1" x14ac:dyDescent="0.2">
      <c r="A50" s="1296"/>
      <c r="B50" s="1845"/>
      <c r="C50" s="1845"/>
      <c r="D50" s="1845"/>
      <c r="E50" s="1396"/>
    </row>
    <row r="51" spans="1:5" s="1297" customFormat="1" ht="20.25" customHeight="1" x14ac:dyDescent="0.2">
      <c r="A51" s="1298">
        <v>6</v>
      </c>
      <c r="B51" s="2500" t="s">
        <v>1551</v>
      </c>
      <c r="C51" s="2500"/>
      <c r="D51" s="2500"/>
    </row>
    <row r="52" spans="1:5" ht="14.25" customHeight="1" x14ac:dyDescent="0.2">
      <c r="A52" s="1298"/>
      <c r="B52" s="2500"/>
      <c r="C52" s="2500"/>
      <c r="D52" s="2500"/>
    </row>
  </sheetData>
  <sheetProtection sheet="1" objects="1" scenarios="1"/>
  <mergeCells count="26">
    <mergeCell ref="D26:F26"/>
    <mergeCell ref="B51:D51"/>
    <mergeCell ref="B52:D52"/>
    <mergeCell ref="D27:F27"/>
    <mergeCell ref="D28:F28"/>
    <mergeCell ref="D29:F29"/>
    <mergeCell ref="A32:F32"/>
    <mergeCell ref="E34:F34"/>
    <mergeCell ref="B49:D49"/>
    <mergeCell ref="A7:F7"/>
    <mergeCell ref="A1:F1"/>
    <mergeCell ref="A2:F2"/>
    <mergeCell ref="A3:F3"/>
    <mergeCell ref="A4:F4"/>
    <mergeCell ref="D22:F22"/>
    <mergeCell ref="D23:F23"/>
    <mergeCell ref="D24:F24"/>
    <mergeCell ref="D25:F25"/>
    <mergeCell ref="A13:F13"/>
    <mergeCell ref="D15:F15"/>
    <mergeCell ref="D16:F16"/>
    <mergeCell ref="D17:F17"/>
    <mergeCell ref="D18:F18"/>
    <mergeCell ref="D19:F19"/>
    <mergeCell ref="D20:F20"/>
    <mergeCell ref="D21:F21"/>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43" sqref="C43:F43"/>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5" t="str">
        <f>'Single Audit Cover'!A7</f>
        <v>Belleville Area Special Services</v>
      </c>
      <c r="C1" s="2516"/>
      <c r="D1" s="2516"/>
      <c r="E1" s="2516"/>
      <c r="F1" s="2516"/>
      <c r="G1" s="2516"/>
      <c r="H1" s="2516"/>
      <c r="I1" s="2516"/>
      <c r="J1" s="1406"/>
    </row>
    <row r="2" spans="2:10" s="317" customFormat="1" ht="12.75" customHeight="1" x14ac:dyDescent="0.2">
      <c r="B2" s="2517">
        <f>'Single Audit Cover'!E7</f>
        <v>50082801060</v>
      </c>
      <c r="C2" s="2518"/>
      <c r="D2" s="2518"/>
      <c r="E2" s="2518"/>
      <c r="F2" s="2518"/>
      <c r="G2" s="2518"/>
      <c r="H2" s="2518"/>
      <c r="I2" s="2518"/>
      <c r="J2" s="1406"/>
    </row>
    <row r="3" spans="2:10" s="317" customFormat="1" ht="12.75" customHeight="1" x14ac:dyDescent="0.2">
      <c r="B3" s="2519" t="s">
        <v>1285</v>
      </c>
      <c r="C3" s="2520"/>
      <c r="D3" s="2520"/>
      <c r="E3" s="2520"/>
      <c r="F3" s="2520"/>
      <c r="G3" s="2520"/>
      <c r="H3" s="2520"/>
      <c r="I3" s="2520"/>
      <c r="J3" s="1407"/>
    </row>
    <row r="4" spans="2:10" s="317" customFormat="1" ht="12.75" customHeight="1" x14ac:dyDescent="0.2">
      <c r="B4" s="2519" t="str">
        <f>'Single Audit Cover'!A4</f>
        <v>Year Ending June 30, 2019</v>
      </c>
      <c r="C4" s="2520"/>
      <c r="D4" s="2520"/>
      <c r="E4" s="2520"/>
      <c r="F4" s="2520"/>
      <c r="G4" s="2520"/>
      <c r="H4" s="2520"/>
      <c r="I4" s="252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519" t="s">
        <v>1284</v>
      </c>
      <c r="C7" s="2520"/>
      <c r="D7" s="2520"/>
      <c r="E7" s="2520"/>
      <c r="F7" s="2520"/>
      <c r="G7" s="2520"/>
      <c r="H7" s="2520"/>
      <c r="I7" s="252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521" t="s">
        <v>2207</v>
      </c>
      <c r="D11" s="252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2063</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2063</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2063</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2063</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t="s">
        <v>2063</v>
      </c>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522" t="s">
        <v>2207</v>
      </c>
      <c r="E29" s="2522"/>
      <c r="F29" s="2522"/>
      <c r="G29" s="2522"/>
      <c r="H29" s="2522"/>
      <c r="I29" s="2522"/>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2063</v>
      </c>
      <c r="F33" s="1297" t="s">
        <v>885</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523" t="s">
        <v>1749</v>
      </c>
      <c r="D37" s="2524"/>
      <c r="E37" s="2524"/>
      <c r="F37" s="2525"/>
      <c r="G37" s="2523" t="s">
        <v>1592</v>
      </c>
      <c r="H37" s="2524"/>
      <c r="I37" s="2525"/>
    </row>
    <row r="38" spans="2:9" ht="16.5" customHeight="1" x14ac:dyDescent="0.2">
      <c r="B38" s="1428" t="s">
        <v>2106</v>
      </c>
      <c r="C38" s="2511" t="s">
        <v>2208</v>
      </c>
      <c r="D38" s="2512"/>
      <c r="E38" s="2512"/>
      <c r="F38" s="2513"/>
      <c r="G38" s="2526">
        <v>7440191</v>
      </c>
      <c r="H38" s="2527"/>
      <c r="I38" s="2528"/>
    </row>
    <row r="39" spans="2:9" ht="16.5" customHeight="1" x14ac:dyDescent="0.2">
      <c r="B39" s="1428"/>
      <c r="C39" s="2511"/>
      <c r="D39" s="2512"/>
      <c r="E39" s="2512"/>
      <c r="F39" s="2513"/>
      <c r="G39" s="2514"/>
      <c r="H39" s="2514"/>
      <c r="I39" s="2514"/>
    </row>
    <row r="40" spans="2:9" ht="16.5" customHeight="1" x14ac:dyDescent="0.2">
      <c r="B40" s="1428"/>
      <c r="C40" s="2511"/>
      <c r="D40" s="2512"/>
      <c r="E40" s="2512"/>
      <c r="F40" s="2513"/>
      <c r="G40" s="2514"/>
      <c r="H40" s="2514"/>
      <c r="I40" s="2514"/>
    </row>
    <row r="41" spans="2:9" ht="16.5" customHeight="1" x14ac:dyDescent="0.2">
      <c r="B41" s="1428"/>
      <c r="C41" s="2511"/>
      <c r="D41" s="2512"/>
      <c r="E41" s="2512"/>
      <c r="F41" s="2513"/>
      <c r="G41" s="2514"/>
      <c r="H41" s="2514"/>
      <c r="I41" s="2514"/>
    </row>
    <row r="42" spans="2:9" ht="16.5" customHeight="1" x14ac:dyDescent="0.2">
      <c r="B42" s="1428"/>
      <c r="C42" s="2511"/>
      <c r="D42" s="2512"/>
      <c r="E42" s="2512"/>
      <c r="F42" s="2513"/>
      <c r="G42" s="2514"/>
      <c r="H42" s="2514"/>
      <c r="I42" s="2514"/>
    </row>
    <row r="43" spans="2:9" ht="16.5" customHeight="1" x14ac:dyDescent="0.2">
      <c r="B43" s="1428"/>
      <c r="C43" s="2529" t="s">
        <v>1593</v>
      </c>
      <c r="D43" s="2530"/>
      <c r="E43" s="2530"/>
      <c r="F43" s="2531"/>
      <c r="G43" s="2532">
        <f>SUM(G38:I42)</f>
        <v>7440191</v>
      </c>
      <c r="H43" s="2532"/>
      <c r="I43" s="2532"/>
    </row>
    <row r="44" spans="2:9" ht="12.75" customHeight="1" x14ac:dyDescent="0.2"/>
    <row r="45" spans="2:9" ht="12.75" customHeight="1" x14ac:dyDescent="0.2">
      <c r="B45" s="1419" t="s">
        <v>2060</v>
      </c>
      <c r="D45" s="2533">
        <v>7637573</v>
      </c>
      <c r="E45" s="2534"/>
    </row>
    <row r="46" spans="2:9" ht="5.25" customHeight="1" x14ac:dyDescent="0.2">
      <c r="B46" s="1429"/>
      <c r="D46" s="1430"/>
      <c r="E46" s="1431"/>
    </row>
    <row r="47" spans="2:9" ht="12.75" customHeight="1" x14ac:dyDescent="0.2">
      <c r="B47" s="1297" t="s">
        <v>1594</v>
      </c>
      <c r="C47" s="1297"/>
      <c r="D47" s="1432">
        <f>+G43/D45</f>
        <v>0.97415644996126383</v>
      </c>
      <c r="E47" s="1433"/>
      <c r="F47" s="1434"/>
      <c r="I47" s="1435"/>
    </row>
    <row r="48" spans="2:9" ht="9.9499999999999993" customHeight="1" x14ac:dyDescent="0.2"/>
    <row r="49" spans="1:9" x14ac:dyDescent="0.2">
      <c r="B49" s="1365" t="s">
        <v>1273</v>
      </c>
      <c r="C49" s="1279"/>
      <c r="D49" s="1279"/>
      <c r="E49" s="2535">
        <v>750000</v>
      </c>
      <c r="F49" s="2535"/>
      <c r="G49" s="2535"/>
      <c r="H49" s="322"/>
    </row>
    <row r="51" spans="1:9" ht="13.5" customHeight="1" x14ac:dyDescent="0.2">
      <c r="B51" s="1365" t="s">
        <v>1272</v>
      </c>
      <c r="C51" s="1279"/>
      <c r="E51" s="1422"/>
      <c r="F51" s="1297" t="s">
        <v>885</v>
      </c>
      <c r="G51" s="1422" t="s">
        <v>2063</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AEBAD-F182-4D51-BA4A-C7F358F5B6F6}">
  <dimension ref="A1:M41"/>
  <sheetViews>
    <sheetView showGridLines="0" zoomScale="110" zoomScaleNormal="110" workbookViewId="0">
      <selection activeCell="N23" sqref="N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5" t="str">
        <f>'Single Audit Cover'!A7</f>
        <v>Belleville Area Special Services</v>
      </c>
      <c r="C1" s="2515"/>
      <c r="D1" s="2515"/>
      <c r="E1" s="2515"/>
      <c r="F1" s="2515"/>
      <c r="G1" s="2515"/>
      <c r="H1" s="2515"/>
      <c r="I1" s="2515"/>
      <c r="J1" s="2515"/>
      <c r="K1" s="2515"/>
      <c r="L1" s="1371"/>
      <c r="M1" s="1371"/>
    </row>
    <row r="2" spans="1:13" ht="12" customHeight="1" x14ac:dyDescent="0.2">
      <c r="B2" s="2517">
        <f>'Single Audit Cover'!E7</f>
        <v>50082801060</v>
      </c>
      <c r="C2" s="2517"/>
      <c r="D2" s="2517"/>
      <c r="E2" s="2517"/>
      <c r="F2" s="2517"/>
      <c r="G2" s="2517"/>
      <c r="H2" s="2517"/>
      <c r="I2" s="2517"/>
      <c r="J2" s="2517"/>
      <c r="K2" s="2517"/>
      <c r="L2" s="1372"/>
      <c r="M2" s="1373"/>
    </row>
    <row r="3" spans="1:13" ht="10.35" customHeight="1" x14ac:dyDescent="0.2">
      <c r="B3" s="2538" t="s">
        <v>1285</v>
      </c>
      <c r="C3" s="2538"/>
      <c r="D3" s="2538"/>
      <c r="E3" s="2538"/>
      <c r="F3" s="2538"/>
      <c r="G3" s="2538"/>
      <c r="H3" s="2538"/>
      <c r="I3" s="2538"/>
      <c r="J3" s="2538"/>
      <c r="K3" s="2538"/>
      <c r="L3" s="1941"/>
      <c r="M3" s="1941"/>
    </row>
    <row r="4" spans="1:13" ht="14.25" customHeight="1" x14ac:dyDescent="0.2">
      <c r="B4" s="2539" t="str">
        <f>'Single Audit Cover'!A4</f>
        <v>Year Ending June 30, 2019</v>
      </c>
      <c r="C4" s="2539"/>
      <c r="D4" s="2539"/>
      <c r="E4" s="2539"/>
      <c r="F4" s="2539"/>
      <c r="G4" s="2539"/>
      <c r="H4" s="2539"/>
      <c r="I4" s="2539"/>
      <c r="J4" s="2539"/>
      <c r="K4" s="253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39" t="s">
        <v>1296</v>
      </c>
      <c r="C7" s="2539"/>
      <c r="D7" s="2540"/>
      <c r="E7" s="2540"/>
      <c r="F7" s="2540"/>
      <c r="G7" s="2540"/>
      <c r="H7" s="2540"/>
      <c r="I7" s="2540"/>
      <c r="J7" s="2540"/>
      <c r="K7" s="254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1987</v>
      </c>
      <c r="D10" s="1383">
        <v>1</v>
      </c>
      <c r="E10" s="322"/>
      <c r="F10" s="1384" t="s">
        <v>1295</v>
      </c>
      <c r="G10" s="1385"/>
      <c r="H10" s="1386" t="s">
        <v>1294</v>
      </c>
      <c r="I10" s="1385" t="s">
        <v>2107</v>
      </c>
      <c r="J10" s="1387" t="s">
        <v>1293</v>
      </c>
      <c r="K10" s="322"/>
      <c r="L10" s="1378"/>
    </row>
    <row r="11" spans="1:13" ht="13.5" customHeight="1" x14ac:dyDescent="0.2">
      <c r="B11" s="322"/>
      <c r="C11" s="322"/>
      <c r="D11" s="322"/>
      <c r="E11" s="322"/>
      <c r="F11" s="322"/>
      <c r="G11" s="1380"/>
      <c r="H11" s="322"/>
      <c r="I11" s="1388" t="s">
        <v>1292</v>
      </c>
      <c r="J11" s="322"/>
      <c r="K11" s="1389">
        <v>2008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37" t="s">
        <v>2111</v>
      </c>
      <c r="C14" s="2537"/>
      <c r="D14" s="2537"/>
      <c r="E14" s="2537"/>
      <c r="F14" s="2537"/>
      <c r="G14" s="2537"/>
      <c r="H14" s="2537"/>
      <c r="I14" s="2537"/>
      <c r="J14" s="2537"/>
      <c r="K14" s="253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37" t="s">
        <v>2112</v>
      </c>
      <c r="C17" s="2537"/>
      <c r="D17" s="2537"/>
      <c r="E17" s="2537"/>
      <c r="F17" s="2537"/>
      <c r="G17" s="2537"/>
      <c r="H17" s="2537"/>
      <c r="I17" s="2537"/>
      <c r="J17" s="2537"/>
      <c r="K17" s="2537"/>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541" t="s">
        <v>2213</v>
      </c>
      <c r="C20" s="2541"/>
      <c r="D20" s="2537"/>
      <c r="E20" s="2537"/>
      <c r="F20" s="2537"/>
      <c r="G20" s="2537"/>
      <c r="H20" s="2537"/>
      <c r="I20" s="2537"/>
      <c r="J20" s="2537"/>
      <c r="K20" s="253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37" t="s">
        <v>2113</v>
      </c>
      <c r="C23" s="2537"/>
      <c r="D23" s="2537"/>
      <c r="E23" s="2537"/>
      <c r="F23" s="2537"/>
      <c r="G23" s="2537"/>
      <c r="H23" s="2537"/>
      <c r="I23" s="2537"/>
      <c r="J23" s="2537"/>
      <c r="K23" s="253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37" t="s">
        <v>2108</v>
      </c>
      <c r="C26" s="2537"/>
      <c r="D26" s="2537"/>
      <c r="E26" s="2537"/>
      <c r="F26" s="2537"/>
      <c r="G26" s="2537"/>
      <c r="H26" s="2537"/>
      <c r="I26" s="2537"/>
      <c r="J26" s="2537"/>
      <c r="K26" s="253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36" t="s">
        <v>2109</v>
      </c>
      <c r="C29" s="2536"/>
      <c r="D29" s="2537"/>
      <c r="E29" s="2537"/>
      <c r="F29" s="2537"/>
      <c r="G29" s="2537"/>
      <c r="H29" s="2537"/>
      <c r="I29" s="2537"/>
      <c r="J29" s="2537"/>
      <c r="K29" s="253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536" t="s">
        <v>2110</v>
      </c>
      <c r="C32" s="2536"/>
      <c r="D32" s="2537"/>
      <c r="E32" s="2537"/>
      <c r="F32" s="2537"/>
      <c r="G32" s="2537"/>
      <c r="H32" s="2537"/>
      <c r="I32" s="2537"/>
      <c r="J32" s="2537"/>
      <c r="K32" s="253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43" sqref="D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5" t="str">
        <f>'Single Audit Cover'!A7</f>
        <v>Belleville Area Special Services</v>
      </c>
      <c r="C1" s="2515"/>
      <c r="D1" s="2515"/>
      <c r="E1" s="2515"/>
      <c r="F1" s="2515"/>
      <c r="G1" s="2515"/>
      <c r="H1" s="2515"/>
      <c r="I1" s="2515"/>
      <c r="J1" s="2515"/>
      <c r="K1" s="2515"/>
      <c r="L1" s="1371"/>
      <c r="M1" s="1371"/>
    </row>
    <row r="2" spans="1:13" ht="12" customHeight="1" x14ac:dyDescent="0.2">
      <c r="B2" s="2517">
        <f>'Single Audit Cover'!E7</f>
        <v>50082801060</v>
      </c>
      <c r="C2" s="2517"/>
      <c r="D2" s="2517"/>
      <c r="E2" s="2517"/>
      <c r="F2" s="2517"/>
      <c r="G2" s="2517"/>
      <c r="H2" s="2517"/>
      <c r="I2" s="2517"/>
      <c r="J2" s="2517"/>
      <c r="K2" s="2517"/>
      <c r="L2" s="1372"/>
      <c r="M2" s="1373"/>
    </row>
    <row r="3" spans="1:13" ht="10.35" customHeight="1" x14ac:dyDescent="0.2">
      <c r="B3" s="2538" t="s">
        <v>1285</v>
      </c>
      <c r="C3" s="2538"/>
      <c r="D3" s="2538"/>
      <c r="E3" s="2538"/>
      <c r="F3" s="2538"/>
      <c r="G3" s="2538"/>
      <c r="H3" s="2538"/>
      <c r="I3" s="2538"/>
      <c r="J3" s="2538"/>
      <c r="K3" s="2538"/>
      <c r="L3" s="1374"/>
      <c r="M3" s="1374"/>
    </row>
    <row r="4" spans="1:13" ht="14.25" customHeight="1" x14ac:dyDescent="0.2">
      <c r="B4" s="2539" t="str">
        <f>'Single Audit Cover'!A4</f>
        <v>Year Ending June 30, 2019</v>
      </c>
      <c r="C4" s="2539"/>
      <c r="D4" s="2539"/>
      <c r="E4" s="2539"/>
      <c r="F4" s="2539"/>
      <c r="G4" s="2539"/>
      <c r="H4" s="2539"/>
      <c r="I4" s="2539"/>
      <c r="J4" s="2539"/>
      <c r="K4" s="253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39" t="s">
        <v>1296</v>
      </c>
      <c r="C7" s="2539"/>
      <c r="D7" s="2540"/>
      <c r="E7" s="2540"/>
      <c r="F7" s="2540"/>
      <c r="G7" s="2540"/>
      <c r="H7" s="2540"/>
      <c r="I7" s="2540"/>
      <c r="J7" s="2540"/>
      <c r="K7" s="254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1987</v>
      </c>
      <c r="D10" s="1383">
        <v>2</v>
      </c>
      <c r="E10" s="322"/>
      <c r="F10" s="1384" t="s">
        <v>1295</v>
      </c>
      <c r="G10" s="1385"/>
      <c r="H10" s="1386" t="s">
        <v>1294</v>
      </c>
      <c r="I10" s="1385" t="s">
        <v>2107</v>
      </c>
      <c r="J10" s="1387" t="s">
        <v>1293</v>
      </c>
      <c r="K10" s="322"/>
      <c r="L10" s="1378"/>
    </row>
    <row r="11" spans="1:13" ht="13.5" customHeight="1" x14ac:dyDescent="0.2">
      <c r="B11" s="322"/>
      <c r="C11" s="322"/>
      <c r="D11" s="322"/>
      <c r="E11" s="322"/>
      <c r="F11" s="322"/>
      <c r="G11" s="1380"/>
      <c r="H11" s="322"/>
      <c r="I11" s="1388" t="s">
        <v>1292</v>
      </c>
      <c r="J11" s="322"/>
      <c r="K11" s="1389">
        <v>2008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37" t="s">
        <v>2114</v>
      </c>
      <c r="C14" s="2537"/>
      <c r="D14" s="2537"/>
      <c r="E14" s="2537"/>
      <c r="F14" s="2537"/>
      <c r="G14" s="2537"/>
      <c r="H14" s="2537"/>
      <c r="I14" s="2537"/>
      <c r="J14" s="2537"/>
      <c r="K14" s="253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37" t="s">
        <v>2118</v>
      </c>
      <c r="C17" s="2537"/>
      <c r="D17" s="2537"/>
      <c r="E17" s="2537"/>
      <c r="F17" s="2537"/>
      <c r="G17" s="2537"/>
      <c r="H17" s="2537"/>
      <c r="I17" s="2537"/>
      <c r="J17" s="2537"/>
      <c r="K17" s="2537"/>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541" t="s">
        <v>2119</v>
      </c>
      <c r="C20" s="2541"/>
      <c r="D20" s="2537"/>
      <c r="E20" s="2537"/>
      <c r="F20" s="2537"/>
      <c r="G20" s="2537"/>
      <c r="H20" s="2537"/>
      <c r="I20" s="2537"/>
      <c r="J20" s="2537"/>
      <c r="K20" s="253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37" t="s">
        <v>2120</v>
      </c>
      <c r="C23" s="2537"/>
      <c r="D23" s="2537"/>
      <c r="E23" s="2537"/>
      <c r="F23" s="2537"/>
      <c r="G23" s="2537"/>
      <c r="H23" s="2537"/>
      <c r="I23" s="2537"/>
      <c r="J23" s="2537"/>
      <c r="K23" s="253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37" t="s">
        <v>2115</v>
      </c>
      <c r="C26" s="2537"/>
      <c r="D26" s="2537"/>
      <c r="E26" s="2537"/>
      <c r="F26" s="2537"/>
      <c r="G26" s="2537"/>
      <c r="H26" s="2537"/>
      <c r="I26" s="2537"/>
      <c r="J26" s="2537"/>
      <c r="K26" s="253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36" t="s">
        <v>2116</v>
      </c>
      <c r="C29" s="2536"/>
      <c r="D29" s="2537"/>
      <c r="E29" s="2537"/>
      <c r="F29" s="2537"/>
      <c r="G29" s="2537"/>
      <c r="H29" s="2537"/>
      <c r="I29" s="2537"/>
      <c r="J29" s="2537"/>
      <c r="K29" s="253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536" t="s">
        <v>2117</v>
      </c>
      <c r="C32" s="2536"/>
      <c r="D32" s="2537"/>
      <c r="E32" s="2537"/>
      <c r="F32" s="2537"/>
      <c r="G32" s="2537"/>
      <c r="H32" s="2537"/>
      <c r="I32" s="2537"/>
      <c r="J32" s="2537"/>
      <c r="K32" s="253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sheet="1" objects="1" scenarios="1"/>
  <mergeCells count="12">
    <mergeCell ref="B23:K23"/>
    <mergeCell ref="B26:K26"/>
    <mergeCell ref="B29:K29"/>
    <mergeCell ref="B32:K32"/>
    <mergeCell ref="B1:K1"/>
    <mergeCell ref="B2:K2"/>
    <mergeCell ref="B3:K3"/>
    <mergeCell ref="B4:K4"/>
    <mergeCell ref="B7:K7"/>
    <mergeCell ref="B14:K14"/>
    <mergeCell ref="B17:K17"/>
    <mergeCell ref="B20:K20"/>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7212-EB71-472F-90AC-12DAF897576A}">
  <dimension ref="A1:L48"/>
  <sheetViews>
    <sheetView showGridLines="0" topLeftCell="A4" zoomScale="110" zoomScaleNormal="110" workbookViewId="0">
      <selection activeCell="O35" sqref="O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2" t="str">
        <f>'Single Audit Cover'!A7</f>
        <v>Belleville Area Special Services</v>
      </c>
      <c r="C1" s="2542"/>
      <c r="D1" s="2542"/>
      <c r="E1" s="2542"/>
      <c r="F1" s="2542"/>
      <c r="G1" s="2542"/>
      <c r="H1" s="2542"/>
      <c r="I1" s="2542"/>
      <c r="J1" s="2542"/>
      <c r="K1" s="2542"/>
      <c r="L1" s="1449"/>
    </row>
    <row r="2" spans="1:12" ht="12.75" customHeight="1" x14ac:dyDescent="0.2">
      <c r="B2" s="2543">
        <f>'Single Audit Cover'!E7</f>
        <v>50082801060</v>
      </c>
      <c r="C2" s="2543"/>
      <c r="D2" s="2543"/>
      <c r="E2" s="2543"/>
      <c r="F2" s="2543"/>
      <c r="G2" s="2543"/>
      <c r="H2" s="2543"/>
      <c r="I2" s="2543"/>
      <c r="J2" s="2543"/>
      <c r="K2" s="2543"/>
      <c r="L2" s="1450"/>
    </row>
    <row r="3" spans="1:12" ht="12.75" customHeight="1" x14ac:dyDescent="0.2">
      <c r="B3" s="2538" t="s">
        <v>1285</v>
      </c>
      <c r="C3" s="2538"/>
      <c r="D3" s="2538"/>
      <c r="E3" s="2538"/>
      <c r="F3" s="2538"/>
      <c r="G3" s="2538"/>
      <c r="H3" s="2538"/>
      <c r="I3" s="2538"/>
      <c r="J3" s="2538"/>
      <c r="K3" s="2538"/>
      <c r="L3" s="1941"/>
    </row>
    <row r="4" spans="1:12" ht="12.75" customHeight="1" x14ac:dyDescent="0.2">
      <c r="B4" s="2538" t="str">
        <f>'Single Audit Cover'!A4</f>
        <v>Year Ending June 30, 2019</v>
      </c>
      <c r="C4" s="2538"/>
      <c r="D4" s="2538"/>
      <c r="E4" s="2538"/>
      <c r="F4" s="2538"/>
      <c r="G4" s="2538"/>
      <c r="H4" s="2538"/>
      <c r="I4" s="2538"/>
      <c r="J4" s="2538"/>
      <c r="K4" s="2538"/>
      <c r="L4" s="1941"/>
    </row>
    <row r="5" spans="1:12" ht="5.25" customHeight="1" x14ac:dyDescent="0.2">
      <c r="B5" s="1257" t="s">
        <v>1169</v>
      </c>
      <c r="C5" s="1257"/>
      <c r="L5" s="322"/>
    </row>
    <row r="6" spans="1:12" ht="30.75" customHeight="1" x14ac:dyDescent="0.2">
      <c r="A6" s="322"/>
      <c r="B6" s="2544" t="s">
        <v>1308</v>
      </c>
      <c r="C6" s="2544"/>
      <c r="D6" s="2544"/>
      <c r="E6" s="2544"/>
      <c r="F6" s="2544"/>
      <c r="G6" s="2544"/>
      <c r="H6" s="2544"/>
      <c r="I6" s="2544"/>
      <c r="J6" s="2544"/>
      <c r="K6" s="2544"/>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1987</v>
      </c>
      <c r="D8" s="1452">
        <v>3</v>
      </c>
      <c r="E8" s="322"/>
      <c r="F8" s="1381" t="s">
        <v>1295</v>
      </c>
      <c r="G8" s="1453" t="s">
        <v>2107</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522" t="s">
        <v>2121</v>
      </c>
      <c r="G12" s="2522"/>
      <c r="H12" s="2522"/>
      <c r="I12" s="2522"/>
      <c r="J12" s="2522"/>
      <c r="K12" s="252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45" t="s">
        <v>2084</v>
      </c>
      <c r="E14" s="2545"/>
      <c r="F14" s="2545"/>
      <c r="H14" s="1459" t="s">
        <v>1303</v>
      </c>
      <c r="I14" s="2546">
        <v>84.027000000000001</v>
      </c>
      <c r="J14" s="2546"/>
      <c r="K14" s="254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46" t="s">
        <v>2122</v>
      </c>
      <c r="E16" s="2546"/>
      <c r="F16" s="2546"/>
      <c r="G16" s="2546"/>
      <c r="H16" s="2546"/>
      <c r="I16" s="2546"/>
      <c r="J16" s="2546"/>
      <c r="K16" s="2546"/>
      <c r="L16" s="322"/>
    </row>
    <row r="17" spans="2:12" ht="13.5" customHeight="1" x14ac:dyDescent="0.2">
      <c r="B17" s="1384" t="s">
        <v>1301</v>
      </c>
      <c r="C17" s="1384"/>
      <c r="D17" s="2547" t="s">
        <v>2123</v>
      </c>
      <c r="E17" s="2547"/>
      <c r="F17" s="2547"/>
      <c r="G17" s="2547"/>
      <c r="H17" s="2547"/>
      <c r="I17" s="2547"/>
      <c r="J17" s="2547"/>
      <c r="K17" s="254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37" t="s">
        <v>2130</v>
      </c>
      <c r="C20" s="2537"/>
      <c r="D20" s="2537"/>
      <c r="E20" s="2537"/>
      <c r="F20" s="2537"/>
      <c r="G20" s="2537"/>
      <c r="H20" s="2537"/>
      <c r="I20" s="2537"/>
      <c r="J20" s="2537"/>
      <c r="K20" s="253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537" t="s">
        <v>2124</v>
      </c>
      <c r="C23" s="2537"/>
      <c r="D23" s="2537"/>
      <c r="E23" s="2537"/>
      <c r="F23" s="2537"/>
      <c r="G23" s="2537"/>
      <c r="H23" s="2537"/>
      <c r="I23" s="2537"/>
      <c r="J23" s="2537"/>
      <c r="K23" s="253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537" t="s">
        <v>2125</v>
      </c>
      <c r="C26" s="2537"/>
      <c r="D26" s="2537"/>
      <c r="E26" s="2537"/>
      <c r="F26" s="2537"/>
      <c r="G26" s="2537"/>
      <c r="H26" s="2537"/>
      <c r="I26" s="2537"/>
      <c r="J26" s="2537"/>
      <c r="K26" s="253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537" t="s">
        <v>2209</v>
      </c>
      <c r="C29" s="2537"/>
      <c r="D29" s="2537"/>
      <c r="E29" s="2537"/>
      <c r="F29" s="2537"/>
      <c r="G29" s="2537"/>
      <c r="H29" s="2537"/>
      <c r="I29" s="2537"/>
      <c r="J29" s="2537"/>
      <c r="K29" s="253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37" t="s">
        <v>2127</v>
      </c>
      <c r="C32" s="2537"/>
      <c r="D32" s="2537"/>
      <c r="E32" s="2537"/>
      <c r="F32" s="2537"/>
      <c r="G32" s="2537"/>
      <c r="H32" s="2537"/>
      <c r="I32" s="2537"/>
      <c r="J32" s="2537"/>
      <c r="K32" s="253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37" t="s">
        <v>2210</v>
      </c>
      <c r="C35" s="2537"/>
      <c r="D35" s="2537"/>
      <c r="E35" s="2537"/>
      <c r="F35" s="2537"/>
      <c r="G35" s="2537"/>
      <c r="H35" s="2537"/>
      <c r="I35" s="2537"/>
      <c r="J35" s="2537"/>
      <c r="K35" s="253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37" t="s">
        <v>2126</v>
      </c>
      <c r="C38" s="2537"/>
      <c r="D38" s="2537"/>
      <c r="E38" s="2537"/>
      <c r="F38" s="2537"/>
      <c r="G38" s="2537"/>
      <c r="H38" s="2537"/>
      <c r="I38" s="2537"/>
      <c r="J38" s="2537"/>
      <c r="K38" s="253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537" t="s">
        <v>2128</v>
      </c>
      <c r="C41" s="2537"/>
      <c r="D41" s="2537"/>
      <c r="E41" s="2537"/>
      <c r="F41" s="2537"/>
      <c r="G41" s="2537"/>
      <c r="H41" s="2537"/>
      <c r="I41" s="2537"/>
      <c r="J41" s="2537"/>
      <c r="K41" s="253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N32" sqref="N3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2" t="str">
        <f>'Single Audit Cover'!A7</f>
        <v>Belleville Area Special Services</v>
      </c>
      <c r="C1" s="2542"/>
      <c r="D1" s="2542"/>
      <c r="E1" s="2542"/>
      <c r="F1" s="2542"/>
      <c r="G1" s="2542"/>
      <c r="H1" s="2542"/>
      <c r="I1" s="2542"/>
      <c r="J1" s="2542"/>
      <c r="K1" s="2542"/>
      <c r="L1" s="1449"/>
    </row>
    <row r="2" spans="1:12" ht="12.75" customHeight="1" x14ac:dyDescent="0.2">
      <c r="B2" s="2543">
        <f>'Single Audit Cover'!E7</f>
        <v>50082801060</v>
      </c>
      <c r="C2" s="2543"/>
      <c r="D2" s="2543"/>
      <c r="E2" s="2543"/>
      <c r="F2" s="2543"/>
      <c r="G2" s="2543"/>
      <c r="H2" s="2543"/>
      <c r="I2" s="2543"/>
      <c r="J2" s="2543"/>
      <c r="K2" s="2543"/>
      <c r="L2" s="1450"/>
    </row>
    <row r="3" spans="1:12" ht="12.75" customHeight="1" x14ac:dyDescent="0.2">
      <c r="B3" s="2538" t="s">
        <v>1285</v>
      </c>
      <c r="C3" s="2538"/>
      <c r="D3" s="2538"/>
      <c r="E3" s="2538"/>
      <c r="F3" s="2538"/>
      <c r="G3" s="2538"/>
      <c r="H3" s="2538"/>
      <c r="I3" s="2538"/>
      <c r="J3" s="2538"/>
      <c r="K3" s="2538"/>
      <c r="L3" s="1374"/>
    </row>
    <row r="4" spans="1:12" ht="12.75" customHeight="1" x14ac:dyDescent="0.2">
      <c r="B4" s="2538" t="str">
        <f>'Single Audit Cover'!A4</f>
        <v>Year Ending June 30, 2019</v>
      </c>
      <c r="C4" s="2538"/>
      <c r="D4" s="2538"/>
      <c r="E4" s="2538"/>
      <c r="F4" s="2538"/>
      <c r="G4" s="2538"/>
      <c r="H4" s="2538"/>
      <c r="I4" s="2538"/>
      <c r="J4" s="2538"/>
      <c r="K4" s="2538"/>
      <c r="L4" s="1374"/>
    </row>
    <row r="5" spans="1:12" ht="5.25" customHeight="1" x14ac:dyDescent="0.2">
      <c r="B5" s="1257" t="s">
        <v>1169</v>
      </c>
      <c r="C5" s="1257"/>
      <c r="L5" s="322"/>
    </row>
    <row r="6" spans="1:12" ht="30.75" customHeight="1" x14ac:dyDescent="0.2">
      <c r="A6" s="322"/>
      <c r="B6" s="2544" t="s">
        <v>1308</v>
      </c>
      <c r="C6" s="2544"/>
      <c r="D6" s="2544"/>
      <c r="E6" s="2544"/>
      <c r="F6" s="2544"/>
      <c r="G6" s="2544"/>
      <c r="H6" s="2544"/>
      <c r="I6" s="2544"/>
      <c r="J6" s="2544"/>
      <c r="K6" s="2544"/>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1987</v>
      </c>
      <c r="D8" s="1452">
        <v>4</v>
      </c>
      <c r="E8" s="322"/>
      <c r="F8" s="1381" t="s">
        <v>1295</v>
      </c>
      <c r="G8" s="1453" t="s">
        <v>2063</v>
      </c>
      <c r="H8" s="1454" t="s">
        <v>1307</v>
      </c>
      <c r="I8" s="1453" t="s">
        <v>1169</v>
      </c>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522" t="s">
        <v>2129</v>
      </c>
      <c r="G12" s="2522"/>
      <c r="H12" s="2522"/>
      <c r="I12" s="2522"/>
      <c r="J12" s="2522"/>
      <c r="K12" s="252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45" t="s">
        <v>2084</v>
      </c>
      <c r="E14" s="2545"/>
      <c r="F14" s="2545"/>
      <c r="H14" s="1459" t="s">
        <v>1303</v>
      </c>
      <c r="I14" s="2546">
        <v>84.027000000000001</v>
      </c>
      <c r="J14" s="2546"/>
      <c r="K14" s="254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46" t="s">
        <v>405</v>
      </c>
      <c r="E16" s="2546"/>
      <c r="F16" s="2546"/>
      <c r="G16" s="2546"/>
      <c r="H16" s="2546"/>
      <c r="I16" s="2546"/>
      <c r="J16" s="2546"/>
      <c r="K16" s="2546"/>
      <c r="L16" s="322"/>
    </row>
    <row r="17" spans="2:12" ht="13.5" customHeight="1" x14ac:dyDescent="0.2">
      <c r="B17" s="1384" t="s">
        <v>1301</v>
      </c>
      <c r="C17" s="1384"/>
      <c r="D17" s="2547" t="s">
        <v>2123</v>
      </c>
      <c r="E17" s="2547"/>
      <c r="F17" s="2547"/>
      <c r="G17" s="2547"/>
      <c r="H17" s="2547"/>
      <c r="I17" s="2547"/>
      <c r="J17" s="2547"/>
      <c r="K17" s="254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37" t="s">
        <v>2131</v>
      </c>
      <c r="C20" s="2537"/>
      <c r="D20" s="2537"/>
      <c r="E20" s="2537"/>
      <c r="F20" s="2537"/>
      <c r="G20" s="2537"/>
      <c r="H20" s="2537"/>
      <c r="I20" s="2537"/>
      <c r="J20" s="2537"/>
      <c r="K20" s="253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537" t="s">
        <v>2132</v>
      </c>
      <c r="C23" s="2537"/>
      <c r="D23" s="2537"/>
      <c r="E23" s="2537"/>
      <c r="F23" s="2537"/>
      <c r="G23" s="2537"/>
      <c r="H23" s="2537"/>
      <c r="I23" s="2537"/>
      <c r="J23" s="2537"/>
      <c r="K23" s="253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537" t="s">
        <v>2133</v>
      </c>
      <c r="C26" s="2537"/>
      <c r="D26" s="2537"/>
      <c r="E26" s="2537"/>
      <c r="F26" s="2537"/>
      <c r="G26" s="2537"/>
      <c r="H26" s="2537"/>
      <c r="I26" s="2537"/>
      <c r="J26" s="2537"/>
      <c r="K26" s="253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537" t="s">
        <v>2211</v>
      </c>
      <c r="C29" s="2537"/>
      <c r="D29" s="2537"/>
      <c r="E29" s="2537"/>
      <c r="F29" s="2537"/>
      <c r="G29" s="2537"/>
      <c r="H29" s="2537"/>
      <c r="I29" s="2537"/>
      <c r="J29" s="2537"/>
      <c r="K29" s="253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37" t="s">
        <v>2212</v>
      </c>
      <c r="C32" s="2537"/>
      <c r="D32" s="2537"/>
      <c r="E32" s="2537"/>
      <c r="F32" s="2537"/>
      <c r="G32" s="2537"/>
      <c r="H32" s="2537"/>
      <c r="I32" s="2537"/>
      <c r="J32" s="2537"/>
      <c r="K32" s="253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37" t="s">
        <v>2135</v>
      </c>
      <c r="C35" s="2537"/>
      <c r="D35" s="2537"/>
      <c r="E35" s="2537"/>
      <c r="F35" s="2537"/>
      <c r="G35" s="2537"/>
      <c r="H35" s="2537"/>
      <c r="I35" s="2537"/>
      <c r="J35" s="2537"/>
      <c r="K35" s="253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37" t="s">
        <v>2134</v>
      </c>
      <c r="C38" s="2537"/>
      <c r="D38" s="2537"/>
      <c r="E38" s="2537"/>
      <c r="F38" s="2537"/>
      <c r="G38" s="2537"/>
      <c r="H38" s="2537"/>
      <c r="I38" s="2537"/>
      <c r="J38" s="2537"/>
      <c r="K38" s="253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537" t="s">
        <v>2162</v>
      </c>
      <c r="C41" s="2537"/>
      <c r="D41" s="2537"/>
      <c r="E41" s="2537"/>
      <c r="F41" s="2537"/>
      <c r="G41" s="2537"/>
      <c r="H41" s="2537"/>
      <c r="I41" s="2537"/>
      <c r="J41" s="2537"/>
      <c r="K41" s="253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43" sqref="D4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15" t="str">
        <f>'Single Audit Cover'!A7</f>
        <v>Belleville Area Special Services</v>
      </c>
      <c r="C1" s="2515"/>
      <c r="D1" s="2515"/>
      <c r="E1" s="1469"/>
    </row>
    <row r="2" spans="2:5" s="1279" customFormat="1" ht="12.75" customHeight="1" x14ac:dyDescent="0.2">
      <c r="B2" s="2517">
        <f>'Single Audit Cover'!E7</f>
        <v>50082801060</v>
      </c>
      <c r="C2" s="2517"/>
      <c r="D2" s="2517"/>
      <c r="E2" s="1470"/>
    </row>
    <row r="3" spans="2:5" ht="12.75" customHeight="1" x14ac:dyDescent="0.2">
      <c r="B3" s="2538" t="s">
        <v>1764</v>
      </c>
      <c r="C3" s="2538"/>
      <c r="D3" s="2538"/>
      <c r="E3" s="1271"/>
    </row>
    <row r="4" spans="2:5" s="1279" customFormat="1" ht="12.75" customHeight="1" x14ac:dyDescent="0.2">
      <c r="B4" s="2548" t="str">
        <f>'Single Audit Cover'!A4</f>
        <v>Year Ending June 30, 2019</v>
      </c>
      <c r="C4" s="2548"/>
      <c r="D4" s="2548"/>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t="s">
        <v>2136</v>
      </c>
      <c r="C8" s="1943" t="s">
        <v>2137</v>
      </c>
      <c r="D8" s="1945" t="s">
        <v>2138</v>
      </c>
      <c r="E8" s="324"/>
    </row>
    <row r="9" spans="2:5" ht="13.5" customHeight="1" x14ac:dyDescent="0.2">
      <c r="B9" s="1475"/>
      <c r="C9" s="323"/>
      <c r="D9" s="1944" t="s">
        <v>2139</v>
      </c>
      <c r="E9" s="323"/>
    </row>
    <row r="10" spans="2:5" ht="13.5" customHeight="1" x14ac:dyDescent="0.2">
      <c r="B10" s="1474"/>
      <c r="C10" s="323"/>
      <c r="D10" s="1944" t="s">
        <v>2140</v>
      </c>
      <c r="E10" s="323"/>
    </row>
    <row r="11" spans="2:5" ht="13.5" customHeight="1" x14ac:dyDescent="0.2">
      <c r="B11" s="1474"/>
      <c r="C11" s="323"/>
      <c r="D11" s="1944" t="s">
        <v>2141</v>
      </c>
      <c r="E11" s="323"/>
    </row>
    <row r="12" spans="2:5" ht="13.5" customHeight="1" x14ac:dyDescent="0.2">
      <c r="B12" s="1474"/>
      <c r="C12" s="323"/>
      <c r="D12" s="1944" t="s">
        <v>2142</v>
      </c>
      <c r="E12" s="323"/>
    </row>
    <row r="13" spans="2:5" ht="13.5" customHeight="1" x14ac:dyDescent="0.2">
      <c r="B13" s="1474"/>
      <c r="C13" s="323"/>
      <c r="D13" s="323"/>
      <c r="E13" s="323"/>
    </row>
    <row r="14" spans="2:5" ht="13.5" customHeight="1" x14ac:dyDescent="0.2">
      <c r="B14" s="1474" t="s">
        <v>2143</v>
      </c>
      <c r="C14" s="1946" t="s">
        <v>2144</v>
      </c>
      <c r="D14" s="1947" t="s">
        <v>2145</v>
      </c>
      <c r="E14" s="323"/>
    </row>
    <row r="15" spans="2:5" ht="13.5" customHeight="1" x14ac:dyDescent="0.2">
      <c r="B15" s="1474"/>
      <c r="C15" s="323"/>
      <c r="D15" s="1947" t="s">
        <v>2146</v>
      </c>
      <c r="E15" s="323"/>
    </row>
    <row r="16" spans="2:5" ht="13.5" customHeight="1" x14ac:dyDescent="0.2">
      <c r="B16" s="1474"/>
      <c r="C16" s="323"/>
      <c r="D16" s="1947" t="s">
        <v>2147</v>
      </c>
      <c r="E16" s="323"/>
    </row>
    <row r="17" spans="2:5" ht="13.5" customHeight="1" x14ac:dyDescent="0.2">
      <c r="B17" s="1474"/>
      <c r="C17" s="323"/>
      <c r="D17" s="323"/>
      <c r="E17" s="323"/>
    </row>
    <row r="18" spans="2:5" ht="13.5" customHeight="1" x14ac:dyDescent="0.2">
      <c r="B18" s="1474" t="s">
        <v>2148</v>
      </c>
      <c r="C18" s="323" t="s">
        <v>2150</v>
      </c>
      <c r="D18" s="1948" t="s">
        <v>2151</v>
      </c>
      <c r="E18" s="323"/>
    </row>
    <row r="19" spans="2:5" ht="13.5" customHeight="1" x14ac:dyDescent="0.2">
      <c r="B19" s="1474" t="s">
        <v>2149</v>
      </c>
      <c r="C19" s="323"/>
      <c r="D19" s="1948" t="s">
        <v>2152</v>
      </c>
      <c r="E19" s="323"/>
    </row>
    <row r="20" spans="2:5" ht="13.5" customHeight="1" x14ac:dyDescent="0.2">
      <c r="B20" s="1474"/>
      <c r="C20" s="323"/>
      <c r="D20" s="1948" t="s">
        <v>1169</v>
      </c>
      <c r="E20" s="323"/>
    </row>
    <row r="21" spans="2:5" ht="13.5" customHeight="1" x14ac:dyDescent="0.2">
      <c r="B21" s="1474"/>
      <c r="C21" s="323"/>
      <c r="D21" s="1948" t="s">
        <v>2153</v>
      </c>
      <c r="E21" s="323"/>
    </row>
    <row r="22" spans="2:5" ht="13.5" customHeight="1" x14ac:dyDescent="0.2">
      <c r="B22" s="1474"/>
      <c r="C22" s="323"/>
      <c r="D22" s="1948" t="s">
        <v>2154</v>
      </c>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43" sqref="D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6" t="s">
        <v>386</v>
      </c>
      <c r="B1" s="2146"/>
      <c r="C1" s="2146"/>
      <c r="D1" s="2146"/>
      <c r="E1" s="2146"/>
      <c r="F1" s="2146"/>
      <c r="G1" s="2146"/>
      <c r="H1" s="2146"/>
      <c r="I1" s="2146"/>
      <c r="J1" s="2146"/>
      <c r="K1" s="2146"/>
      <c r="L1" s="2146"/>
      <c r="M1" s="214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56" t="str">
        <f>IF(SUM(J10)&lt;=0.0999999,"","Enter the Tax Rates by moving the decimal two places to the left.")</f>
        <v/>
      </c>
      <c r="E11" s="2157"/>
      <c r="F11" s="2157"/>
      <c r="G11" s="2157"/>
      <c r="H11" s="2157"/>
      <c r="I11" s="2157"/>
      <c r="J11" s="215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19088710</v>
      </c>
      <c r="E16" s="356"/>
      <c r="F16" s="1733">
        <f>SUM('Acct Summary 7-8'!C17,'Acct Summary 7-8'!D17,'Acct Summary 7-8'!F17)</f>
        <v>18878032</v>
      </c>
      <c r="G16" s="356"/>
      <c r="H16" s="1733">
        <f>SUM(D16-F16)</f>
        <v>210678</v>
      </c>
      <c r="I16" s="222"/>
      <c r="J16" s="1733">
        <f>SUM('Acct Summary 7-8'!C81,'Acct Summary 7-8'!D81,'Acct Summary 7-8'!F81,'Acct Summary 7-8'!I81)</f>
        <v>4969630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22276</v>
      </c>
      <c r="E24" s="356" t="s">
        <v>1006</v>
      </c>
      <c r="F24" s="1734">
        <f>SUM(D22,F22,H22,J22,L22, D24)</f>
        <v>22276</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47"/>
      <c r="C54" s="2148"/>
      <c r="D54" s="2148"/>
      <c r="E54" s="2148"/>
      <c r="F54" s="2148"/>
      <c r="G54" s="2148"/>
      <c r="H54" s="2148"/>
      <c r="I54" s="2148"/>
      <c r="J54" s="2148"/>
      <c r="K54" s="2148"/>
      <c r="L54" s="2149"/>
      <c r="M54" s="380"/>
    </row>
    <row r="55" spans="1:13" ht="12.75" customHeight="1" x14ac:dyDescent="0.2">
      <c r="B55" s="2150"/>
      <c r="C55" s="2151"/>
      <c r="D55" s="2151"/>
      <c r="E55" s="2151"/>
      <c r="F55" s="2151"/>
      <c r="G55" s="2151"/>
      <c r="H55" s="2151"/>
      <c r="I55" s="2151"/>
      <c r="J55" s="2151"/>
      <c r="K55" s="2151"/>
      <c r="L55" s="2152"/>
      <c r="M55" s="380"/>
    </row>
    <row r="56" spans="1:13" ht="12.75" customHeight="1" x14ac:dyDescent="0.2">
      <c r="B56" s="2150"/>
      <c r="C56" s="2151"/>
      <c r="D56" s="2151"/>
      <c r="E56" s="2151"/>
      <c r="F56" s="2151"/>
      <c r="G56" s="2151"/>
      <c r="H56" s="2151"/>
      <c r="I56" s="2151"/>
      <c r="J56" s="2151"/>
      <c r="K56" s="2151"/>
      <c r="L56" s="2152"/>
      <c r="M56" s="222"/>
    </row>
    <row r="57" spans="1:13" ht="12.75" customHeight="1" x14ac:dyDescent="0.2">
      <c r="B57" s="2150"/>
      <c r="C57" s="2151"/>
      <c r="D57" s="2151"/>
      <c r="E57" s="2151"/>
      <c r="F57" s="2151"/>
      <c r="G57" s="2151"/>
      <c r="H57" s="2151"/>
      <c r="I57" s="2151"/>
      <c r="J57" s="2151"/>
      <c r="K57" s="2151"/>
      <c r="L57" s="2152"/>
      <c r="M57" s="222"/>
    </row>
    <row r="58" spans="1:13" x14ac:dyDescent="0.2">
      <c r="B58" s="2153"/>
      <c r="C58" s="2154"/>
      <c r="D58" s="2154"/>
      <c r="E58" s="2154"/>
      <c r="F58" s="2154"/>
      <c r="G58" s="2154"/>
      <c r="H58" s="2154"/>
      <c r="I58" s="2154"/>
      <c r="J58" s="2154"/>
      <c r="K58" s="2154"/>
      <c r="L58" s="215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8"/>
      <c r="D61" s="215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3" sqref="D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1"/>
      <c r="B1" s="2162"/>
      <c r="C1" s="2162"/>
      <c r="D1" s="384"/>
      <c r="E1" s="384"/>
      <c r="F1" s="384"/>
      <c r="G1" s="384"/>
      <c r="H1" s="384"/>
      <c r="I1" s="384"/>
      <c r="J1" s="384"/>
      <c r="K1" s="384"/>
      <c r="L1" s="384"/>
      <c r="M1" s="384"/>
      <c r="N1" s="384"/>
      <c r="O1" s="2161"/>
      <c r="P1" s="2162"/>
      <c r="Q1" s="2162"/>
    </row>
    <row r="2" spans="1:18" ht="15" x14ac:dyDescent="0.2">
      <c r="A2" s="2165" t="s">
        <v>556</v>
      </c>
      <c r="B2" s="2165"/>
      <c r="C2" s="2165"/>
      <c r="D2" s="2165"/>
      <c r="E2" s="2165"/>
      <c r="F2" s="2165"/>
      <c r="G2" s="2165"/>
      <c r="H2" s="2165"/>
      <c r="I2" s="2165"/>
      <c r="J2" s="2165"/>
      <c r="K2" s="2165"/>
      <c r="L2" s="2165"/>
      <c r="M2" s="2165"/>
      <c r="N2" s="2165"/>
      <c r="O2" s="2165"/>
      <c r="P2" s="2165"/>
      <c r="Q2" s="2165"/>
      <c r="R2" s="2165"/>
    </row>
    <row r="3" spans="1:18" ht="12.75" x14ac:dyDescent="0.2">
      <c r="A3" s="2166" t="s">
        <v>1413</v>
      </c>
      <c r="B3" s="2166"/>
      <c r="C3" s="2166"/>
      <c r="D3" s="2166"/>
      <c r="E3" s="2166"/>
      <c r="F3" s="2166"/>
      <c r="G3" s="2166"/>
      <c r="H3" s="2166"/>
      <c r="I3" s="2166"/>
      <c r="J3" s="2166"/>
      <c r="K3" s="2166"/>
      <c r="L3" s="2166"/>
      <c r="M3" s="2166"/>
      <c r="N3" s="2166"/>
      <c r="O3" s="2166"/>
      <c r="P3" s="2166"/>
      <c r="Q3" s="2166"/>
      <c r="R3" s="2166"/>
    </row>
    <row r="4" spans="1:18" x14ac:dyDescent="0.2">
      <c r="A4" s="2167" t="s">
        <v>1554</v>
      </c>
      <c r="B4" s="2167"/>
      <c r="C4" s="2167"/>
      <c r="D4" s="2167"/>
      <c r="E4" s="2167"/>
      <c r="F4" s="2167"/>
      <c r="G4" s="2167"/>
      <c r="H4" s="2167"/>
      <c r="I4" s="2167"/>
      <c r="J4" s="2167"/>
      <c r="K4" s="2167"/>
      <c r="L4" s="2167"/>
      <c r="M4" s="2167"/>
      <c r="N4" s="2167"/>
      <c r="O4" s="2167"/>
      <c r="P4" s="2167"/>
      <c r="Q4" s="2167"/>
      <c r="R4" s="216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Belleville Area Special Services</v>
      </c>
      <c r="E7" s="391"/>
      <c r="G7" s="252"/>
      <c r="H7" s="387"/>
      <c r="I7" s="387"/>
      <c r="J7" s="387"/>
      <c r="K7" s="387"/>
      <c r="L7" s="329"/>
      <c r="M7" s="329"/>
      <c r="N7" s="329"/>
      <c r="O7" s="329"/>
      <c r="P7" s="329"/>
    </row>
    <row r="8" spans="1:18" ht="12.75" x14ac:dyDescent="0.2">
      <c r="A8" s="329"/>
      <c r="B8" s="329"/>
      <c r="C8" s="389" t="s">
        <v>1125</v>
      </c>
      <c r="D8" s="392">
        <f>COVER!A13</f>
        <v>50082801060</v>
      </c>
      <c r="E8" s="393"/>
      <c r="G8" s="329"/>
      <c r="H8" s="329"/>
      <c r="I8" s="329"/>
      <c r="J8" s="329"/>
      <c r="K8" s="329"/>
      <c r="L8" s="329"/>
      <c r="M8" s="329"/>
      <c r="N8" s="329"/>
      <c r="O8" s="329"/>
      <c r="P8" s="329"/>
    </row>
    <row r="9" spans="1:18" ht="12.75" x14ac:dyDescent="0.2">
      <c r="A9" s="329"/>
      <c r="B9" s="329"/>
      <c r="C9" s="389" t="s">
        <v>713</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4969630</v>
      </c>
      <c r="I12" s="404"/>
      <c r="J12" s="404"/>
      <c r="K12" s="405">
        <f>TRUNC((H12/H13*100000),5)/100000</f>
        <v>0.26034394150000001</v>
      </c>
      <c r="L12" s="406"/>
      <c r="M12" s="360" t="s">
        <v>1144</v>
      </c>
      <c r="N12" s="360"/>
      <c r="O12" s="407">
        <v>0.35</v>
      </c>
      <c r="P12" s="218"/>
      <c r="Q12" s="218"/>
    </row>
    <row r="13" spans="1:18" s="408" customFormat="1" ht="12.75" x14ac:dyDescent="0.2">
      <c r="A13" s="218"/>
      <c r="B13" s="401"/>
      <c r="C13" s="2163" t="s">
        <v>1324</v>
      </c>
      <c r="D13" s="2164"/>
      <c r="E13" s="218"/>
      <c r="F13" s="409" t="s">
        <v>793</v>
      </c>
      <c r="G13" s="402"/>
      <c r="H13" s="403">
        <f>SUM('Acct Summary 7-8'!C8+'Acct Summary 7-8'!D8+'Acct Summary 7-8'!F8+'Acct Summary 7-8'!I8)+H14</f>
        <v>19088710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18878032</v>
      </c>
      <c r="I17" s="404"/>
      <c r="J17" s="416"/>
      <c r="K17" s="405">
        <f>TRUNC((H17/H18*100000),5)/100000</f>
        <v>0.9889632143</v>
      </c>
      <c r="L17" s="406"/>
      <c r="M17" s="417" t="s">
        <v>1171</v>
      </c>
      <c r="O17" s="418" t="str">
        <f>IF(AND(O16="2", J20 &gt; 2),"1",IF(AND(O16 = "1", J20 &gt; 2),"2",IF(AND(O16="1", J20 &gt;1),"1","0")))</f>
        <v>0</v>
      </c>
      <c r="P17" s="218"/>
    </row>
    <row r="18" spans="1:18" s="408" customFormat="1" ht="11.25" x14ac:dyDescent="0.2">
      <c r="A18" s="218"/>
      <c r="B18" s="401"/>
      <c r="C18" s="2163" t="s">
        <v>1317</v>
      </c>
      <c r="D18" s="2164"/>
      <c r="E18" s="218"/>
      <c r="F18" s="419" t="s">
        <v>794</v>
      </c>
      <c r="G18" s="402"/>
      <c r="H18" s="403">
        <f>SUM('Acct Summary 7-8'!C8+'Acct Summary 7-8'!D8+'Acct Summary 7-8'!F8+'Acct Summary 7-8'!I8)+H19</f>
        <v>19088710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60" t="s">
        <v>1412</v>
      </c>
      <c r="D24" s="2160"/>
      <c r="E24" s="218"/>
      <c r="F24" s="218" t="s">
        <v>445</v>
      </c>
      <c r="G24" s="402"/>
      <c r="H24" s="403">
        <f>SUM('Assets-Liab 5-6'!C4+'Assets-Liab 5-6'!D4+'Assets-Liab 5-6'!F4+'Assets-Liab 5-6'!I4+'Assets-Liab 5-6'!C5+'Assets-Liab 5-6'!D5+'Assets-Liab 5-6'!F5+'Assets-Liab 5-6'!I5)</f>
        <v>6279903</v>
      </c>
      <c r="I24" s="422"/>
      <c r="J24" s="422"/>
      <c r="K24" s="423">
        <f>TRUNC(((H24/H25*100000)/100000),2)</f>
        <v>119.75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52438.977780000001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975000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D43" sqref="D43"/>
      <selection pane="bottomLeft" activeCell="D43" sqref="D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6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6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70" t="s">
        <v>973</v>
      </c>
      <c r="B3" s="2171"/>
      <c r="C3" s="1559"/>
      <c r="D3" s="1560"/>
      <c r="E3" s="1560"/>
      <c r="F3" s="1560"/>
      <c r="G3" s="1560"/>
      <c r="H3" s="1560"/>
      <c r="I3" s="1560"/>
      <c r="J3" s="1560"/>
      <c r="K3" s="1560"/>
      <c r="L3" s="1560"/>
      <c r="M3" s="1561"/>
      <c r="N3" s="1562"/>
    </row>
    <row r="4" spans="1:14" ht="13.5" customHeight="1" x14ac:dyDescent="0.2">
      <c r="A4" s="463" t="s">
        <v>1651</v>
      </c>
      <c r="B4" s="464"/>
      <c r="C4" s="465">
        <f>1130652+5132480+16771</f>
        <v>6279903</v>
      </c>
      <c r="D4" s="466"/>
      <c r="E4" s="466">
        <v>53493</v>
      </c>
      <c r="F4" s="466"/>
      <c r="G4" s="466"/>
      <c r="H4" s="466"/>
      <c r="I4" s="466"/>
      <c r="J4" s="467"/>
      <c r="K4" s="466"/>
      <c r="L4" s="466">
        <v>19529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1362250</v>
      </c>
      <c r="D8" s="467"/>
      <c r="E8" s="467"/>
      <c r="F8" s="467"/>
      <c r="G8" s="478"/>
      <c r="H8" s="467"/>
      <c r="I8" s="474"/>
      <c r="J8" s="474"/>
      <c r="K8" s="479"/>
      <c r="L8" s="480"/>
      <c r="M8" s="468"/>
      <c r="N8" s="469"/>
    </row>
    <row r="9" spans="1:14" ht="13.5" customHeight="1" x14ac:dyDescent="0.2">
      <c r="A9" s="473" t="s">
        <v>270</v>
      </c>
      <c r="B9" s="470">
        <v>160</v>
      </c>
      <c r="C9" s="476">
        <v>1544613</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9186766</v>
      </c>
      <c r="D13" s="1737">
        <f t="shared" ref="D13:L13" si="0">SUM(D4:D12)</f>
        <v>0</v>
      </c>
      <c r="E13" s="1737">
        <f t="shared" si="0"/>
        <v>53493</v>
      </c>
      <c r="F13" s="1737">
        <f t="shared" si="0"/>
        <v>0</v>
      </c>
      <c r="G13" s="1737">
        <f t="shared" si="0"/>
        <v>0</v>
      </c>
      <c r="H13" s="1737">
        <f t="shared" si="0"/>
        <v>0</v>
      </c>
      <c r="I13" s="1737">
        <f t="shared" si="0"/>
        <v>0</v>
      </c>
      <c r="J13" s="1737">
        <f t="shared" si="0"/>
        <v>0</v>
      </c>
      <c r="K13" s="1737">
        <f t="shared" si="0"/>
        <v>0</v>
      </c>
      <c r="L13" s="1737">
        <f t="shared" si="0"/>
        <v>19529</v>
      </c>
      <c r="M13" s="468"/>
      <c r="N13" s="469"/>
    </row>
    <row r="14" spans="1:14" ht="18" customHeight="1" thickTop="1" x14ac:dyDescent="0.2">
      <c r="A14" s="2172" t="s">
        <v>147</v>
      </c>
      <c r="B14" s="217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53493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921507</v>
      </c>
    </row>
    <row r="23" spans="1:14" ht="13.5" customHeight="1" thickBot="1" x14ac:dyDescent="0.25">
      <c r="A23" s="1736" t="s">
        <v>643</v>
      </c>
      <c r="B23" s="1741"/>
      <c r="C23" s="468"/>
      <c r="D23" s="468"/>
      <c r="E23" s="468"/>
      <c r="F23" s="468"/>
      <c r="G23" s="468"/>
      <c r="H23" s="468"/>
      <c r="I23" s="468"/>
      <c r="J23" s="468"/>
      <c r="K23" s="468"/>
      <c r="L23" s="468"/>
      <c r="M23" s="1688">
        <f>SUM(M15:M22)</f>
        <v>0</v>
      </c>
      <c r="N23" s="1688">
        <f>SUM(N21:N22)</f>
        <v>975000</v>
      </c>
    </row>
    <row r="24" spans="1:14" ht="18" customHeight="1" thickTop="1" x14ac:dyDescent="0.2">
      <c r="A24" s="2174" t="s">
        <v>598</v>
      </c>
      <c r="B24" s="217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f>975816+615951+1235729</f>
        <v>2827496</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770380</v>
      </c>
      <c r="D30" s="474"/>
      <c r="E30" s="467"/>
      <c r="F30" s="467"/>
      <c r="G30" s="467"/>
      <c r="H30" s="467"/>
      <c r="I30" s="467"/>
      <c r="J30" s="467"/>
      <c r="K30" s="478"/>
      <c r="L30" s="468"/>
      <c r="M30" s="468"/>
      <c r="N30" s="468"/>
    </row>
    <row r="31" spans="1:14" ht="13.5" customHeight="1" x14ac:dyDescent="0.2">
      <c r="A31" s="473" t="s">
        <v>651</v>
      </c>
      <c r="B31" s="470">
        <v>480</v>
      </c>
      <c r="C31" s="466">
        <f>84436+45545+37845+28365+36925+6677+356789+9550+8217+4911</f>
        <v>619260</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19529</v>
      </c>
      <c r="M33" s="468"/>
      <c r="N33" s="469"/>
    </row>
    <row r="34" spans="1:14" ht="13.5" customHeight="1" thickBot="1" x14ac:dyDescent="0.25">
      <c r="A34" s="1738" t="s">
        <v>654</v>
      </c>
      <c r="B34" s="1739"/>
      <c r="C34" s="1740">
        <f>SUM(C25:C33)</f>
        <v>4217136</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19529</v>
      </c>
      <c r="M34" s="468"/>
      <c r="N34" s="480"/>
    </row>
    <row r="35" spans="1:14" ht="18" customHeight="1" thickTop="1" x14ac:dyDescent="0.2">
      <c r="A35" s="2176" t="s">
        <v>529</v>
      </c>
      <c r="B35" s="217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975000</v>
      </c>
    </row>
    <row r="37" spans="1:14" ht="13.5" thickBot="1" x14ac:dyDescent="0.25">
      <c r="A37" s="1736" t="s">
        <v>653</v>
      </c>
      <c r="B37" s="1741"/>
      <c r="C37" s="477"/>
      <c r="D37" s="477"/>
      <c r="E37" s="477"/>
      <c r="F37" s="477"/>
      <c r="G37" s="477"/>
      <c r="H37" s="477"/>
      <c r="I37" s="477"/>
      <c r="J37" s="477"/>
      <c r="K37" s="477"/>
      <c r="L37" s="480"/>
      <c r="M37" s="468"/>
      <c r="N37" s="1688">
        <f>SUM(N36:N36)</f>
        <v>975000</v>
      </c>
    </row>
    <row r="38" spans="1:14" s="329" customFormat="1" ht="13.5" customHeight="1" thickTop="1" x14ac:dyDescent="0.2">
      <c r="A38" s="496" t="s">
        <v>420</v>
      </c>
      <c r="B38" s="483">
        <v>714</v>
      </c>
      <c r="C38" s="466">
        <v>4969630</v>
      </c>
      <c r="D38" s="466"/>
      <c r="E38" s="466">
        <v>53493</v>
      </c>
      <c r="F38" s="466"/>
      <c r="G38" s="466"/>
      <c r="H38" s="466"/>
      <c r="I38" s="466"/>
      <c r="J38" s="467"/>
      <c r="K38" s="466"/>
      <c r="L38" s="481"/>
      <c r="M38" s="497"/>
      <c r="N38" s="497"/>
    </row>
    <row r="39" spans="1:14" s="329" customFormat="1" ht="13.5" customHeight="1" x14ac:dyDescent="0.2">
      <c r="A39" s="496" t="s">
        <v>342</v>
      </c>
      <c r="B39" s="483">
        <v>730</v>
      </c>
      <c r="C39" s="466"/>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6" t="s">
        <v>655</v>
      </c>
      <c r="B41" s="1706"/>
      <c r="C41" s="1688">
        <f>(SUM(C34,C37,C38,C39))</f>
        <v>9186766</v>
      </c>
      <c r="D41" s="1688">
        <f t="shared" ref="D41:L41" si="2">SUM(D34,D37,D38:D39)</f>
        <v>0</v>
      </c>
      <c r="E41" s="1688">
        <f t="shared" si="2"/>
        <v>53493</v>
      </c>
      <c r="F41" s="1688">
        <f t="shared" si="2"/>
        <v>0</v>
      </c>
      <c r="G41" s="1688">
        <f t="shared" si="2"/>
        <v>0</v>
      </c>
      <c r="H41" s="1688">
        <f t="shared" si="2"/>
        <v>0</v>
      </c>
      <c r="I41" s="1688">
        <f t="shared" si="2"/>
        <v>0</v>
      </c>
      <c r="J41" s="1688">
        <f t="shared" si="2"/>
        <v>0</v>
      </c>
      <c r="K41" s="1688">
        <f t="shared" si="2"/>
        <v>0</v>
      </c>
      <c r="L41" s="1688">
        <f t="shared" si="2"/>
        <v>19529</v>
      </c>
      <c r="M41" s="1688">
        <f>SUM(M40)</f>
        <v>0</v>
      </c>
      <c r="N41" s="1688">
        <f>SUM(N37)</f>
        <v>975000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8" activePane="bottomLeft" state="frozen"/>
      <selection activeCell="D43" sqref="D43"/>
      <selection pane="bottomLeft" activeCell="D43" sqref="D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8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8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98" t="s">
        <v>1175</v>
      </c>
      <c r="B3" s="2199"/>
      <c r="C3" s="1573"/>
      <c r="D3" s="1574"/>
      <c r="E3" s="1574"/>
      <c r="F3" s="1574"/>
      <c r="G3" s="1574"/>
      <c r="H3" s="1574"/>
      <c r="I3" s="1574"/>
      <c r="J3" s="1574"/>
      <c r="K3" s="1575"/>
      <c r="L3" s="506"/>
    </row>
    <row r="4" spans="1:13" ht="15.75" customHeight="1" x14ac:dyDescent="0.2">
      <c r="A4" s="1928" t="s">
        <v>1499</v>
      </c>
      <c r="B4" s="1929">
        <v>1000</v>
      </c>
      <c r="C4" s="1742">
        <f>'Revenues 9-14'!C109</f>
        <v>9857931</v>
      </c>
      <c r="D4" s="1742">
        <f>'Revenues 9-14'!D109</f>
        <v>0</v>
      </c>
      <c r="E4" s="1742">
        <f>'Revenues 9-14'!E109</f>
        <v>341349</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5477784</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1237374</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2515621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19088710</v>
      </c>
      <c r="D8" s="1688">
        <f t="shared" ref="D8:K8" si="0">SUM(D4:D7)</f>
        <v>0</v>
      </c>
      <c r="E8" s="1688">
        <f t="shared" si="0"/>
        <v>341349</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3693370</v>
      </c>
      <c r="D9" s="516"/>
      <c r="E9" s="481"/>
      <c r="F9" s="481"/>
      <c r="G9" s="517"/>
      <c r="H9" s="481"/>
      <c r="I9" s="509" t="s">
        <v>1169</v>
      </c>
      <c r="J9" s="478"/>
      <c r="K9" s="481"/>
      <c r="L9" s="347"/>
    </row>
    <row r="10" spans="1:13" s="519" customFormat="1" ht="13.5" thickBot="1" x14ac:dyDescent="0.25">
      <c r="A10" s="1736" t="s">
        <v>1173</v>
      </c>
      <c r="B10" s="1709"/>
      <c r="C10" s="1688">
        <f>SUM(C8:C9)</f>
        <v>22782080</v>
      </c>
      <c r="D10" s="1688">
        <f t="shared" ref="D10:K10" si="1">SUM(D8:D9)</f>
        <v>0</v>
      </c>
      <c r="E10" s="1688">
        <f t="shared" si="1"/>
        <v>341349</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72" t="s">
        <v>1176</v>
      </c>
      <c r="B11" s="2173"/>
      <c r="C11" s="1570"/>
      <c r="D11" s="1571"/>
      <c r="E11" s="1571"/>
      <c r="F11" s="1571"/>
      <c r="G11" s="1571"/>
      <c r="H11" s="1571"/>
      <c r="I11" s="1571"/>
      <c r="J11" s="1571"/>
      <c r="K11" s="1572"/>
      <c r="L11" s="518"/>
    </row>
    <row r="12" spans="1:13" ht="15.75" customHeight="1" x14ac:dyDescent="0.2">
      <c r="A12" s="1576" t="s">
        <v>456</v>
      </c>
      <c r="B12" s="1578">
        <v>1000</v>
      </c>
      <c r="C12" s="1742">
        <f>'Expenditures 15-22'!K33</f>
        <v>6423430</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6364882</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6089720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341352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18878032</v>
      </c>
      <c r="D17" s="1688">
        <f t="shared" si="2"/>
        <v>0</v>
      </c>
      <c r="E17" s="1688">
        <f t="shared" si="2"/>
        <v>341352</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3693370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22571402</v>
      </c>
      <c r="D19" s="1688">
        <f t="shared" si="4"/>
        <v>0</v>
      </c>
      <c r="E19" s="1688">
        <f t="shared" si="4"/>
        <v>341352</v>
      </c>
      <c r="F19" s="1688">
        <f t="shared" si="4"/>
        <v>0</v>
      </c>
      <c r="G19" s="1688">
        <f t="shared" si="4"/>
        <v>0</v>
      </c>
      <c r="H19" s="1688">
        <f t="shared" si="4"/>
        <v>0</v>
      </c>
      <c r="I19" s="468"/>
      <c r="J19" s="1688">
        <f>SUM(J17:J18)</f>
        <v>0</v>
      </c>
      <c r="K19" s="1688">
        <f>SUM(K17:K18)</f>
        <v>0</v>
      </c>
      <c r="L19" s="347"/>
    </row>
    <row r="20" spans="1:12" ht="16.5" thickTop="1" thickBot="1" x14ac:dyDescent="0.25">
      <c r="A20" s="2188" t="s">
        <v>1655</v>
      </c>
      <c r="B20" s="2189"/>
      <c r="C20" s="1746">
        <f>C8-C17</f>
        <v>210678</v>
      </c>
      <c r="D20" s="1746">
        <f t="shared" ref="D20:K20" si="5">D8-D17</f>
        <v>0</v>
      </c>
      <c r="E20" s="1746">
        <f t="shared" si="5"/>
        <v>-3</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200" t="s">
        <v>595</v>
      </c>
      <c r="B21" s="2201"/>
      <c r="C21" s="1570"/>
      <c r="D21" s="1571"/>
      <c r="E21" s="1571"/>
      <c r="F21" s="1571"/>
      <c r="G21" s="1571"/>
      <c r="H21" s="1571"/>
      <c r="I21" s="1571"/>
      <c r="J21" s="1571"/>
      <c r="K21" s="1572"/>
      <c r="L21" s="524"/>
    </row>
    <row r="22" spans="1:12" ht="15.75" customHeight="1" collapsed="1" x14ac:dyDescent="0.2">
      <c r="A22" s="2196" t="s">
        <v>596</v>
      </c>
      <c r="B22" s="2197"/>
      <c r="C22" s="477"/>
      <c r="D22" s="477"/>
      <c r="E22" s="477"/>
      <c r="F22" s="477"/>
      <c r="G22" s="477"/>
      <c r="H22" s="477"/>
      <c r="I22" s="477"/>
      <c r="J22" s="477"/>
      <c r="K22" s="477"/>
      <c r="L22" s="347"/>
    </row>
    <row r="23" spans="1:12" s="485" customFormat="1" ht="15.75" customHeight="1" x14ac:dyDescent="0.2">
      <c r="A23" s="2192" t="s">
        <v>293</v>
      </c>
      <c r="B23" s="219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94" t="s">
        <v>981</v>
      </c>
      <c r="B32" s="219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202" t="s">
        <v>374</v>
      </c>
      <c r="B44" s="220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96" t="s">
        <v>108</v>
      </c>
      <c r="B45" s="2197"/>
      <c r="C45" s="528"/>
      <c r="D45" s="528"/>
      <c r="E45" s="528"/>
      <c r="F45" s="528"/>
      <c r="G45" s="528"/>
      <c r="H45" s="528"/>
      <c r="I45" s="528"/>
      <c r="J45" s="528"/>
      <c r="K45" s="528"/>
      <c r="L45" s="347"/>
    </row>
    <row r="46" spans="1:12" s="485" customFormat="1" ht="15.75" customHeight="1" x14ac:dyDescent="0.2">
      <c r="A46" s="2204" t="s">
        <v>109</v>
      </c>
      <c r="B46" s="220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78" t="s">
        <v>440</v>
      </c>
      <c r="B76" s="217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80" t="s">
        <v>1177</v>
      </c>
      <c r="B77" s="2181"/>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84" t="s">
        <v>597</v>
      </c>
      <c r="B78" s="2185"/>
      <c r="C78" s="1702">
        <f t="shared" ref="C78:K78" si="9">C20+C77</f>
        <v>210678</v>
      </c>
      <c r="D78" s="1702">
        <f t="shared" si="9"/>
        <v>0</v>
      </c>
      <c r="E78" s="1702">
        <f t="shared" si="9"/>
        <v>-3</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1945</v>
      </c>
      <c r="B79" s="534"/>
      <c r="C79" s="478">
        <v>4758952</v>
      </c>
      <c r="D79" s="535"/>
      <c r="E79" s="535">
        <v>53496</v>
      </c>
      <c r="F79" s="535"/>
      <c r="G79" s="535"/>
      <c r="H79" s="535"/>
      <c r="I79" s="535"/>
      <c r="J79" s="535"/>
      <c r="K79" s="535"/>
      <c r="L79" s="347"/>
    </row>
    <row r="80" spans="1:12" x14ac:dyDescent="0.2">
      <c r="A80" s="2190" t="s">
        <v>1793</v>
      </c>
      <c r="B80" s="2191"/>
      <c r="C80" s="467"/>
      <c r="D80" s="467"/>
      <c r="E80" s="467"/>
      <c r="F80" s="467"/>
      <c r="G80" s="467"/>
      <c r="H80" s="467"/>
      <c r="I80" s="467"/>
      <c r="J80" s="467"/>
      <c r="K80" s="467"/>
      <c r="L80" s="347"/>
    </row>
    <row r="81" spans="1:12" ht="13.5" thickBot="1" x14ac:dyDescent="0.25">
      <c r="A81" s="2182" t="s">
        <v>1946</v>
      </c>
      <c r="B81" s="2183"/>
      <c r="C81" s="1688">
        <f>(SUM(C78:C80))</f>
        <v>4969630</v>
      </c>
      <c r="D81" s="1688">
        <f>SUM(D78:D80)</f>
        <v>0</v>
      </c>
      <c r="E81" s="1688">
        <f t="shared" ref="E81:K81" si="10">SUM(E78:E80)</f>
        <v>53493</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210678</v>
      </c>
      <c r="D82" s="538">
        <f t="shared" ref="D82:K82" si="11">(D81-D79)</f>
        <v>0</v>
      </c>
      <c r="E82" s="538">
        <f t="shared" si="11"/>
        <v>-3</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4.2393095663057413E-2</v>
      </c>
      <c r="D83" s="540" t="e">
        <f t="shared" ref="D83:K83" si="12">D82/D81</f>
        <v>#DIV/0!</v>
      </c>
      <c r="E83" s="540">
        <f t="shared" si="12"/>
        <v>-5.6082104200549606E-5</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61" activePane="bottomLeft" state="frozen"/>
      <selection activeCell="D43" sqref="D43"/>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86" t="s">
        <v>1800</v>
      </c>
      <c r="B1" s="452"/>
      <c r="C1" s="453" t="s">
        <v>425</v>
      </c>
      <c r="D1" s="453" t="s">
        <v>426</v>
      </c>
      <c r="E1" s="453" t="s">
        <v>427</v>
      </c>
      <c r="F1" s="453" t="s">
        <v>428</v>
      </c>
      <c r="G1" s="453" t="s">
        <v>429</v>
      </c>
      <c r="H1" s="453" t="s">
        <v>430</v>
      </c>
      <c r="I1" s="453" t="s">
        <v>431</v>
      </c>
      <c r="J1" s="453" t="s">
        <v>432</v>
      </c>
      <c r="K1" s="453" t="s">
        <v>756</v>
      </c>
    </row>
    <row r="2" spans="1:12" ht="36" x14ac:dyDescent="0.2">
      <c r="A2" s="218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7871768</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7871768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8327</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8327</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3620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1062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4682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155884</v>
      </c>
      <c r="D95" s="551"/>
      <c r="E95" s="521"/>
      <c r="F95" s="521"/>
      <c r="G95" s="521"/>
      <c r="H95" s="521"/>
      <c r="I95" s="521"/>
      <c r="J95" s="521"/>
      <c r="K95" s="521"/>
    </row>
    <row r="96" spans="1:11" ht="12.75" customHeight="1" x14ac:dyDescent="0.2">
      <c r="A96" s="463" t="s">
        <v>391</v>
      </c>
      <c r="B96" s="470">
        <v>1920</v>
      </c>
      <c r="C96" s="551">
        <v>1714</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1815556</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v>341349</v>
      </c>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1973154</v>
      </c>
      <c r="D108" s="1707">
        <f t="shared" ref="D108:K108" si="3">SUM(D95:D107)</f>
        <v>0</v>
      </c>
      <c r="E108" s="1707">
        <f t="shared" si="3"/>
        <v>341349</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9857931</v>
      </c>
      <c r="D109" s="1715">
        <f t="shared" si="4"/>
        <v>0</v>
      </c>
      <c r="E109" s="1715">
        <f t="shared" si="4"/>
        <v>341349</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5477784</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5477784</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1235729</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1235729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1645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206" t="s">
        <v>398</v>
      </c>
      <c r="B169" s="2207"/>
      <c r="C169" s="1722">
        <f t="shared" ref="C169:K169" si="6">SUM(C132,C141,C145,C146:C150,C155,C156:C167,C168)</f>
        <v>1645</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1237374</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208" t="s">
        <v>1492</v>
      </c>
      <c r="B172" s="220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212" t="s">
        <v>1665</v>
      </c>
      <c r="B175" s="221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216" t="s">
        <v>1664</v>
      </c>
      <c r="B176" s="221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214" t="s">
        <v>785</v>
      </c>
      <c r="B181" s="221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210" t="s">
        <v>1801</v>
      </c>
      <c r="B182" s="221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4700</v>
      </c>
      <c r="D190" s="468"/>
      <c r="E190" s="561"/>
      <c r="F190" s="553"/>
      <c r="G190" s="585"/>
      <c r="H190" s="468"/>
      <c r="I190" s="468"/>
      <c r="J190" s="468"/>
      <c r="K190" s="468"/>
    </row>
    <row r="191" spans="1:11" ht="12.75" customHeight="1" x14ac:dyDescent="0.2">
      <c r="A191" s="463" t="s">
        <v>1058</v>
      </c>
      <c r="B191" s="470">
        <v>4210</v>
      </c>
      <c r="C191" s="466">
        <v>56126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36917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97743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340592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1621815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1962407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94514</v>
      </c>
      <c r="D263" s="576"/>
      <c r="E263" s="468"/>
      <c r="F263" s="576"/>
      <c r="G263" s="576"/>
      <c r="H263" s="468"/>
      <c r="I263" s="468"/>
      <c r="J263" s="468"/>
      <c r="K263" s="468"/>
    </row>
    <row r="264" spans="1:11" ht="12.75" customHeight="1" thickTop="1" thickBot="1" x14ac:dyDescent="0.25">
      <c r="A264" s="463" t="s">
        <v>377</v>
      </c>
      <c r="B264" s="470">
        <v>4992</v>
      </c>
      <c r="C264" s="575">
        <v>360957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2515621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2515621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19088710</v>
      </c>
      <c r="D268" s="1715">
        <f t="shared" si="12"/>
        <v>0</v>
      </c>
      <c r="E268" s="1715">
        <f t="shared" si="12"/>
        <v>341349</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4" activePane="bottomLeft" state="frozen"/>
      <selection activeCell="D43" sqref="D43"/>
      <selection pane="bottomLeft" activeCell="D43" sqref="D4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86"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22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226" t="s">
        <v>297</v>
      </c>
      <c r="B3" s="222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4115707</v>
      </c>
      <c r="D8" s="466">
        <v>2035760</v>
      </c>
      <c r="E8" s="466">
        <v>81332</v>
      </c>
      <c r="F8" s="466">
        <v>96872</v>
      </c>
      <c r="G8" s="466"/>
      <c r="H8" s="466"/>
      <c r="I8" s="467">
        <v>19611</v>
      </c>
      <c r="J8" s="467"/>
      <c r="K8" s="1671">
        <f t="shared" si="0"/>
        <v>6349282</v>
      </c>
      <c r="L8" s="466">
        <v>6894073</v>
      </c>
    </row>
    <row r="9" spans="1:14" x14ac:dyDescent="0.2">
      <c r="A9" s="1504" t="s">
        <v>721</v>
      </c>
      <c r="B9" s="614" t="s">
        <v>968</v>
      </c>
      <c r="C9" s="467">
        <v>39731</v>
      </c>
      <c r="D9" s="467">
        <v>31796</v>
      </c>
      <c r="E9" s="467"/>
      <c r="F9" s="467"/>
      <c r="G9" s="467"/>
      <c r="H9" s="467"/>
      <c r="I9" s="467"/>
      <c r="J9" s="467"/>
      <c r="K9" s="1671">
        <f t="shared" si="0"/>
        <v>71527</v>
      </c>
      <c r="L9" s="466">
        <v>254343</v>
      </c>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v>2320</v>
      </c>
      <c r="D15" s="466">
        <v>301</v>
      </c>
      <c r="E15" s="466"/>
      <c r="F15" s="466"/>
      <c r="G15" s="466"/>
      <c r="H15" s="466"/>
      <c r="I15" s="467"/>
      <c r="J15" s="467"/>
      <c r="K15" s="1671">
        <f t="shared" si="0"/>
        <v>2621</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4157758</v>
      </c>
      <c r="D33" s="1670">
        <f t="shared" ref="D33:L33" si="1">SUM(D5:D32)</f>
        <v>2067857</v>
      </c>
      <c r="E33" s="1670">
        <f t="shared" si="1"/>
        <v>81332</v>
      </c>
      <c r="F33" s="1670">
        <f t="shared" si="1"/>
        <v>96872</v>
      </c>
      <c r="G33" s="1670">
        <f t="shared" si="1"/>
        <v>0</v>
      </c>
      <c r="H33" s="1670">
        <f t="shared" si="1"/>
        <v>0</v>
      </c>
      <c r="I33" s="1670">
        <f t="shared" si="1"/>
        <v>19611</v>
      </c>
      <c r="J33" s="1670">
        <f t="shared" si="1"/>
        <v>0</v>
      </c>
      <c r="K33" s="1670">
        <f t="shared" si="1"/>
        <v>6423430</v>
      </c>
      <c r="L33" s="1670">
        <f t="shared" si="1"/>
        <v>7148416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210134</v>
      </c>
      <c r="D36" s="481">
        <v>63314</v>
      </c>
      <c r="E36" s="481">
        <v>1751</v>
      </c>
      <c r="F36" s="481"/>
      <c r="G36" s="481"/>
      <c r="H36" s="481"/>
      <c r="I36" s="467"/>
      <c r="J36" s="467"/>
      <c r="K36" s="1671">
        <f t="shared" ref="K36:K41" si="2">SUM(C36:J36)</f>
        <v>275199</v>
      </c>
      <c r="L36" s="466">
        <v>361110</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403358</v>
      </c>
      <c r="D38" s="466">
        <v>166541</v>
      </c>
      <c r="E38" s="466">
        <v>28718</v>
      </c>
      <c r="F38" s="466">
        <v>12751</v>
      </c>
      <c r="G38" s="466"/>
      <c r="H38" s="466"/>
      <c r="I38" s="467">
        <v>12722</v>
      </c>
      <c r="J38" s="467"/>
      <c r="K38" s="1671">
        <f t="shared" si="2"/>
        <v>624090</v>
      </c>
      <c r="L38" s="466">
        <v>681805</v>
      </c>
    </row>
    <row r="39" spans="1:14" x14ac:dyDescent="0.2">
      <c r="A39" s="1504" t="s">
        <v>199</v>
      </c>
      <c r="B39" s="614">
        <v>2140</v>
      </c>
      <c r="C39" s="466">
        <v>975148</v>
      </c>
      <c r="D39" s="466">
        <v>268311</v>
      </c>
      <c r="E39" s="466">
        <v>12813</v>
      </c>
      <c r="F39" s="466">
        <v>22825</v>
      </c>
      <c r="G39" s="466"/>
      <c r="H39" s="466"/>
      <c r="I39" s="467"/>
      <c r="J39" s="467"/>
      <c r="K39" s="1671">
        <f t="shared" si="2"/>
        <v>1279097</v>
      </c>
      <c r="L39" s="466">
        <v>1270128</v>
      </c>
    </row>
    <row r="40" spans="1:14" x14ac:dyDescent="0.2">
      <c r="A40" s="1504" t="s">
        <v>200</v>
      </c>
      <c r="B40" s="614">
        <v>2150</v>
      </c>
      <c r="C40" s="466">
        <v>424885</v>
      </c>
      <c r="D40" s="466">
        <v>140200</v>
      </c>
      <c r="E40" s="466">
        <v>7941</v>
      </c>
      <c r="F40" s="466">
        <v>5912</v>
      </c>
      <c r="G40" s="466"/>
      <c r="H40" s="466"/>
      <c r="I40" s="467">
        <v>51059</v>
      </c>
      <c r="J40" s="467"/>
      <c r="K40" s="1671">
        <f t="shared" si="2"/>
        <v>629997</v>
      </c>
      <c r="L40" s="466">
        <v>682012</v>
      </c>
    </row>
    <row r="41" spans="1:14" x14ac:dyDescent="0.2">
      <c r="A41" s="1504" t="s">
        <v>1669</v>
      </c>
      <c r="B41" s="614">
        <v>2190</v>
      </c>
      <c r="C41" s="466">
        <v>109282</v>
      </c>
      <c r="D41" s="466">
        <v>43974</v>
      </c>
      <c r="E41" s="466">
        <v>2795</v>
      </c>
      <c r="F41" s="466">
        <v>460</v>
      </c>
      <c r="G41" s="466"/>
      <c r="H41" s="466"/>
      <c r="I41" s="467"/>
      <c r="J41" s="467"/>
      <c r="K41" s="1671">
        <f t="shared" si="2"/>
        <v>156511</v>
      </c>
      <c r="L41" s="466">
        <v>163425</v>
      </c>
    </row>
    <row r="42" spans="1:14" ht="12.75" customHeight="1" thickBot="1" x14ac:dyDescent="0.25">
      <c r="A42" s="1668" t="s">
        <v>560</v>
      </c>
      <c r="B42" s="1669" t="s">
        <v>716</v>
      </c>
      <c r="C42" s="1670">
        <f>SUM(C36:C41)</f>
        <v>2122807</v>
      </c>
      <c r="D42" s="1670">
        <f t="shared" ref="D42:L42" si="3">SUM(D36:D41)</f>
        <v>682340</v>
      </c>
      <c r="E42" s="1670">
        <f t="shared" si="3"/>
        <v>54018</v>
      </c>
      <c r="F42" s="1670">
        <f t="shared" si="3"/>
        <v>41948</v>
      </c>
      <c r="G42" s="1670">
        <f t="shared" si="3"/>
        <v>0</v>
      </c>
      <c r="H42" s="1670">
        <f t="shared" si="3"/>
        <v>0</v>
      </c>
      <c r="I42" s="1670">
        <f t="shared" si="3"/>
        <v>63781</v>
      </c>
      <c r="J42" s="1670">
        <f t="shared" si="3"/>
        <v>0</v>
      </c>
      <c r="K42" s="1670">
        <f t="shared" si="3"/>
        <v>2964894</v>
      </c>
      <c r="L42" s="1670">
        <f t="shared" si="3"/>
        <v>3158480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401615</v>
      </c>
      <c r="D44" s="481">
        <v>136576</v>
      </c>
      <c r="E44" s="481">
        <v>48512</v>
      </c>
      <c r="F44" s="481">
        <v>13639</v>
      </c>
      <c r="G44" s="481"/>
      <c r="H44" s="481"/>
      <c r="I44" s="467">
        <v>1395</v>
      </c>
      <c r="J44" s="467"/>
      <c r="K44" s="1672">
        <f>SUM(C44:J44)</f>
        <v>601737</v>
      </c>
      <c r="L44" s="481">
        <v>656606</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401615</v>
      </c>
      <c r="D47" s="1670">
        <f t="shared" ref="D47:K47" si="4">SUM(D44:D46)</f>
        <v>136576</v>
      </c>
      <c r="E47" s="1670">
        <f t="shared" si="4"/>
        <v>48512</v>
      </c>
      <c r="F47" s="1670">
        <f t="shared" si="4"/>
        <v>13639</v>
      </c>
      <c r="G47" s="1670">
        <f t="shared" si="4"/>
        <v>0</v>
      </c>
      <c r="H47" s="1670">
        <f t="shared" si="4"/>
        <v>0</v>
      </c>
      <c r="I47" s="1670">
        <f t="shared" si="4"/>
        <v>1395</v>
      </c>
      <c r="J47" s="1670">
        <f t="shared" si="4"/>
        <v>0</v>
      </c>
      <c r="K47" s="1670">
        <f t="shared" si="4"/>
        <v>601737</v>
      </c>
      <c r="L47" s="1670">
        <f>SUM(L44:L46)</f>
        <v>656606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v>190487</v>
      </c>
      <c r="D51" s="466">
        <v>57999</v>
      </c>
      <c r="E51" s="466">
        <v>93670</v>
      </c>
      <c r="F51" s="466">
        <v>6881</v>
      </c>
      <c r="G51" s="466"/>
      <c r="H51" s="466">
        <v>2866</v>
      </c>
      <c r="I51" s="467"/>
      <c r="J51" s="467"/>
      <c r="K51" s="1672">
        <f>SUM(C51:J51)</f>
        <v>351903</v>
      </c>
      <c r="L51" s="466">
        <v>373467</v>
      </c>
    </row>
    <row r="52" spans="1:14" ht="22.5" x14ac:dyDescent="0.2">
      <c r="A52" s="1505" t="s">
        <v>298</v>
      </c>
      <c r="B52" s="627" t="s">
        <v>366</v>
      </c>
      <c r="C52" s="474"/>
      <c r="D52" s="474"/>
      <c r="E52" s="474">
        <v>201798</v>
      </c>
      <c r="F52" s="474"/>
      <c r="G52" s="474"/>
      <c r="H52" s="474"/>
      <c r="I52" s="474"/>
      <c r="J52" s="474"/>
      <c r="K52" s="1672">
        <f>SUM(C52:J52)</f>
        <v>201798</v>
      </c>
      <c r="L52" s="474">
        <v>210383</v>
      </c>
    </row>
    <row r="53" spans="1:14" ht="12.75" customHeight="1" thickBot="1" x14ac:dyDescent="0.25">
      <c r="A53" s="1668" t="s">
        <v>717</v>
      </c>
      <c r="B53" s="1669" t="s">
        <v>33</v>
      </c>
      <c r="C53" s="1670">
        <f>SUM(C49:C52)</f>
        <v>190487</v>
      </c>
      <c r="D53" s="1670">
        <f t="shared" ref="D53:L53" si="5">SUM(D49:D52)</f>
        <v>57999</v>
      </c>
      <c r="E53" s="1670">
        <f t="shared" si="5"/>
        <v>295468</v>
      </c>
      <c r="F53" s="1670">
        <f t="shared" si="5"/>
        <v>6881</v>
      </c>
      <c r="G53" s="1670">
        <f t="shared" si="5"/>
        <v>0</v>
      </c>
      <c r="H53" s="1670">
        <f t="shared" si="5"/>
        <v>2866</v>
      </c>
      <c r="I53" s="1670">
        <f t="shared" si="5"/>
        <v>0</v>
      </c>
      <c r="J53" s="1670">
        <f t="shared" si="5"/>
        <v>0</v>
      </c>
      <c r="K53" s="1670">
        <f t="shared" si="5"/>
        <v>553701</v>
      </c>
      <c r="L53" s="1670">
        <f t="shared" si="5"/>
        <v>583850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168090</v>
      </c>
      <c r="D55" s="481">
        <v>66998</v>
      </c>
      <c r="E55" s="481">
        <v>1143</v>
      </c>
      <c r="F55" s="481"/>
      <c r="G55" s="481"/>
      <c r="H55" s="481"/>
      <c r="I55" s="467"/>
      <c r="J55" s="467"/>
      <c r="K55" s="1672">
        <f>SUM(C55:J55)</f>
        <v>236231</v>
      </c>
      <c r="L55" s="481">
        <v>268370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168090</v>
      </c>
      <c r="D57" s="1674">
        <f t="shared" ref="D57:K57" si="6">SUM(D55:D56)</f>
        <v>66998</v>
      </c>
      <c r="E57" s="1674">
        <f t="shared" si="6"/>
        <v>1143</v>
      </c>
      <c r="F57" s="1674">
        <f t="shared" si="6"/>
        <v>0</v>
      </c>
      <c r="G57" s="1674">
        <f t="shared" si="6"/>
        <v>0</v>
      </c>
      <c r="H57" s="1674">
        <f t="shared" si="6"/>
        <v>0</v>
      </c>
      <c r="I57" s="1674">
        <f t="shared" si="6"/>
        <v>0</v>
      </c>
      <c r="J57" s="1674">
        <f t="shared" si="6"/>
        <v>0</v>
      </c>
      <c r="K57" s="1674">
        <f t="shared" si="6"/>
        <v>236231</v>
      </c>
      <c r="L57" s="1670">
        <f>SUM(L55:L56)</f>
        <v>268370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85145</v>
      </c>
      <c r="D59" s="481">
        <v>27872</v>
      </c>
      <c r="E59" s="481">
        <v>1008</v>
      </c>
      <c r="F59" s="481"/>
      <c r="G59" s="481"/>
      <c r="H59" s="481"/>
      <c r="I59" s="467"/>
      <c r="J59" s="467"/>
      <c r="K59" s="1672">
        <f t="shared" ref="K59:K64" si="7">SUM(C59:J59)</f>
        <v>114025</v>
      </c>
      <c r="L59" s="481">
        <v>117793</v>
      </c>
      <c r="M59" s="609"/>
      <c r="N59" s="609"/>
    </row>
    <row r="60" spans="1:14" s="343" customFormat="1" x14ac:dyDescent="0.2">
      <c r="A60" s="1504" t="s">
        <v>463</v>
      </c>
      <c r="B60" s="614">
        <v>2520</v>
      </c>
      <c r="C60" s="466">
        <v>126594</v>
      </c>
      <c r="D60" s="466">
        <v>52244</v>
      </c>
      <c r="E60" s="466"/>
      <c r="F60" s="466">
        <v>774</v>
      </c>
      <c r="G60" s="466"/>
      <c r="H60" s="466"/>
      <c r="I60" s="467"/>
      <c r="J60" s="467"/>
      <c r="K60" s="1672">
        <f t="shared" si="7"/>
        <v>179612</v>
      </c>
      <c r="L60" s="466">
        <v>181891</v>
      </c>
      <c r="M60" s="609"/>
      <c r="N60" s="609"/>
    </row>
    <row r="61" spans="1:14" s="343" customFormat="1" x14ac:dyDescent="0.2">
      <c r="A61" s="1504" t="s">
        <v>197</v>
      </c>
      <c r="B61" s="614">
        <v>2540</v>
      </c>
      <c r="C61" s="466">
        <v>140550</v>
      </c>
      <c r="D61" s="466">
        <v>72198</v>
      </c>
      <c r="E61" s="466">
        <v>908936</v>
      </c>
      <c r="F61" s="466">
        <v>93318</v>
      </c>
      <c r="G61" s="466">
        <v>338379</v>
      </c>
      <c r="H61" s="466"/>
      <c r="I61" s="467">
        <v>14653</v>
      </c>
      <c r="J61" s="467"/>
      <c r="K61" s="1672">
        <f t="shared" si="7"/>
        <v>1568034</v>
      </c>
      <c r="L61" s="466">
        <v>936296</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23636</v>
      </c>
      <c r="D63" s="466">
        <v>10769</v>
      </c>
      <c r="E63" s="466">
        <v>103</v>
      </c>
      <c r="F63" s="466">
        <v>10274</v>
      </c>
      <c r="G63" s="466"/>
      <c r="H63" s="466"/>
      <c r="I63" s="467"/>
      <c r="J63" s="467"/>
      <c r="K63" s="1672">
        <f t="shared" si="7"/>
        <v>44782</v>
      </c>
      <c r="L63" s="466">
        <v>38948</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375925</v>
      </c>
      <c r="D65" s="1670">
        <f t="shared" ref="D65:L65" si="8">SUM(D59:D64)</f>
        <v>163083</v>
      </c>
      <c r="E65" s="1670">
        <f t="shared" si="8"/>
        <v>910047</v>
      </c>
      <c r="F65" s="1670">
        <f t="shared" si="8"/>
        <v>104366</v>
      </c>
      <c r="G65" s="1670">
        <f t="shared" si="8"/>
        <v>338379</v>
      </c>
      <c r="H65" s="1670">
        <f t="shared" si="8"/>
        <v>0</v>
      </c>
      <c r="I65" s="1670">
        <f t="shared" si="8"/>
        <v>14653</v>
      </c>
      <c r="J65" s="1670">
        <f t="shared" si="8"/>
        <v>0</v>
      </c>
      <c r="K65" s="1670">
        <f t="shared" si="8"/>
        <v>1906453</v>
      </c>
      <c r="L65" s="1670">
        <f t="shared" si="8"/>
        <v>1274928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2749</v>
      </c>
      <c r="F69" s="466"/>
      <c r="G69" s="466"/>
      <c r="H69" s="466"/>
      <c r="I69" s="467"/>
      <c r="J69" s="467"/>
      <c r="K69" s="1672">
        <f>SUM(C69:J69)</f>
        <v>2749</v>
      </c>
      <c r="L69" s="466">
        <v>3000</v>
      </c>
      <c r="M69" s="609"/>
      <c r="N69" s="609"/>
    </row>
    <row r="70" spans="1:14" s="343" customFormat="1" x14ac:dyDescent="0.2">
      <c r="A70" s="1504" t="s">
        <v>403</v>
      </c>
      <c r="B70" s="614">
        <v>2640</v>
      </c>
      <c r="C70" s="466"/>
      <c r="D70" s="466"/>
      <c r="E70" s="466">
        <v>2800</v>
      </c>
      <c r="F70" s="466"/>
      <c r="G70" s="466"/>
      <c r="H70" s="466"/>
      <c r="I70" s="467"/>
      <c r="J70" s="467"/>
      <c r="K70" s="1672">
        <f>SUM(C70:J70)</f>
        <v>2800</v>
      </c>
      <c r="L70" s="466">
        <v>6000</v>
      </c>
      <c r="M70" s="609"/>
      <c r="N70" s="609"/>
    </row>
    <row r="71" spans="1:14" s="343" customFormat="1" x14ac:dyDescent="0.2">
      <c r="A71" s="1504" t="s">
        <v>404</v>
      </c>
      <c r="B71" s="614">
        <v>2660</v>
      </c>
      <c r="C71" s="466"/>
      <c r="D71" s="466"/>
      <c r="E71" s="466">
        <v>88735</v>
      </c>
      <c r="F71" s="466">
        <v>1554</v>
      </c>
      <c r="G71" s="466"/>
      <c r="H71" s="466"/>
      <c r="I71" s="467">
        <v>6028</v>
      </c>
      <c r="J71" s="467"/>
      <c r="K71" s="1672">
        <f>SUM(C71:J71)</f>
        <v>96317</v>
      </c>
      <c r="L71" s="466">
        <v>93470</v>
      </c>
      <c r="M71" s="609"/>
      <c r="N71" s="609"/>
    </row>
    <row r="72" spans="1:14" s="343" customFormat="1" ht="12.75" customHeight="1" thickBot="1" x14ac:dyDescent="0.25">
      <c r="A72" s="1668" t="s">
        <v>37</v>
      </c>
      <c r="B72" s="1675" t="s">
        <v>36</v>
      </c>
      <c r="C72" s="1670">
        <f>SUM(C67:C71)</f>
        <v>0</v>
      </c>
      <c r="D72" s="1670">
        <f t="shared" ref="D72:K72" si="9">SUM(D67:D71)</f>
        <v>0</v>
      </c>
      <c r="E72" s="1670">
        <f t="shared" si="9"/>
        <v>94284</v>
      </c>
      <c r="F72" s="1670">
        <f t="shared" si="9"/>
        <v>1554</v>
      </c>
      <c r="G72" s="1670">
        <f t="shared" si="9"/>
        <v>0</v>
      </c>
      <c r="H72" s="1670">
        <f t="shared" si="9"/>
        <v>0</v>
      </c>
      <c r="I72" s="1670">
        <f t="shared" si="9"/>
        <v>6028</v>
      </c>
      <c r="J72" s="1670">
        <f t="shared" si="9"/>
        <v>0</v>
      </c>
      <c r="K72" s="1670">
        <f t="shared" si="9"/>
        <v>101866</v>
      </c>
      <c r="L72" s="1670">
        <f>SUM(L67:L71)</f>
        <v>102470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3258924</v>
      </c>
      <c r="D74" s="1677">
        <f t="shared" ref="D74:K74" si="10">SUM(D42,D47,D53,D57,D65,D72,D73)</f>
        <v>1106996</v>
      </c>
      <c r="E74" s="1677">
        <f t="shared" si="10"/>
        <v>1403472</v>
      </c>
      <c r="F74" s="1677">
        <f t="shared" si="10"/>
        <v>168388</v>
      </c>
      <c r="G74" s="1677">
        <f t="shared" si="10"/>
        <v>338379</v>
      </c>
      <c r="H74" s="1677">
        <f t="shared" si="10"/>
        <v>2866</v>
      </c>
      <c r="I74" s="1677">
        <f t="shared" si="10"/>
        <v>85857</v>
      </c>
      <c r="J74" s="1677">
        <f t="shared" si="10"/>
        <v>0</v>
      </c>
      <c r="K74" s="1677">
        <f t="shared" si="10"/>
        <v>6364882</v>
      </c>
      <c r="L74" s="1677">
        <f>SUM(L42,L47,L53,L57,L65,L72,L73)</f>
        <v>6044704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67325</v>
      </c>
      <c r="F79" s="616"/>
      <c r="G79" s="616"/>
      <c r="H79" s="466">
        <v>5491954</v>
      </c>
      <c r="I79" s="477"/>
      <c r="J79" s="477"/>
      <c r="K79" s="1671">
        <f t="shared" si="11"/>
        <v>5559279</v>
      </c>
      <c r="L79" s="466">
        <v>6467418</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8186</v>
      </c>
      <c r="F83" s="616"/>
      <c r="G83" s="616"/>
      <c r="H83" s="466"/>
      <c r="I83" s="477"/>
      <c r="J83" s="477"/>
      <c r="K83" s="1671">
        <f t="shared" si="11"/>
        <v>8186</v>
      </c>
      <c r="L83" s="466"/>
    </row>
    <row r="84" spans="1:12" ht="13.5" thickBot="1" x14ac:dyDescent="0.25">
      <c r="A84" s="1668" t="s">
        <v>1485</v>
      </c>
      <c r="B84" s="1678">
        <v>4100</v>
      </c>
      <c r="C84" s="616"/>
      <c r="D84" s="616"/>
      <c r="E84" s="1670">
        <f>SUM(E78:E83)</f>
        <v>75511</v>
      </c>
      <c r="F84" s="616"/>
      <c r="G84" s="616"/>
      <c r="H84" s="1670">
        <f>SUM(H78:H83)</f>
        <v>5491954</v>
      </c>
      <c r="I84" s="477"/>
      <c r="J84" s="477"/>
      <c r="K84" s="1670">
        <f>SUM(K78:K83)</f>
        <v>5567465</v>
      </c>
      <c r="L84" s="1670">
        <f>SUM(L78:L83)</f>
        <v>6467418</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f>342875+179380</f>
        <v>522255</v>
      </c>
      <c r="I98" s="477"/>
      <c r="J98" s="477"/>
      <c r="K98" s="1677">
        <f t="shared" si="12"/>
        <v>522255</v>
      </c>
      <c r="L98" s="530">
        <v>200000</v>
      </c>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522255</v>
      </c>
      <c r="I100" s="477"/>
      <c r="J100" s="477"/>
      <c r="K100" s="1677">
        <f>SUM(K93:K99)</f>
        <v>522255</v>
      </c>
      <c r="L100" s="1677">
        <f>SUM(L93:L99)</f>
        <v>200000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75511</v>
      </c>
      <c r="F102" s="616"/>
      <c r="G102" s="616"/>
      <c r="H102" s="1677">
        <f>SUM(H84,H92,H100,H101)</f>
        <v>6014209</v>
      </c>
      <c r="I102" s="477"/>
      <c r="J102" s="477"/>
      <c r="K102" s="1677">
        <f>SUM(K84,K92,K100,K101)</f>
        <v>6089720</v>
      </c>
      <c r="L102" s="1677">
        <f>SUM(L84,L92,L100,L101)</f>
        <v>6667418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46000</v>
      </c>
      <c r="M113" s="613"/>
      <c r="N113" s="613"/>
    </row>
    <row r="114" spans="1:14" ht="12.75" customHeight="1" thickTop="1" thickBot="1" x14ac:dyDescent="0.25">
      <c r="A114" s="1668" t="s">
        <v>48</v>
      </c>
      <c r="B114" s="1682"/>
      <c r="C114" s="1670">
        <f>SUM(C33,C74,C75,C102,C112,C113)</f>
        <v>7416682</v>
      </c>
      <c r="D114" s="1670">
        <f t="shared" ref="D114:K114" si="13">SUM(D33,D74,D75,D102,D112,D113)</f>
        <v>3174853</v>
      </c>
      <c r="E114" s="1670">
        <f t="shared" si="13"/>
        <v>1560315</v>
      </c>
      <c r="F114" s="1670">
        <f t="shared" si="13"/>
        <v>265260</v>
      </c>
      <c r="G114" s="1670">
        <f t="shared" si="13"/>
        <v>338379</v>
      </c>
      <c r="H114" s="1670">
        <f>SUM(H33,H74,H75,H102,H112,H113)</f>
        <v>6017075</v>
      </c>
      <c r="I114" s="1670">
        <f t="shared" si="13"/>
        <v>105468</v>
      </c>
      <c r="J114" s="1670">
        <f t="shared" si="13"/>
        <v>0</v>
      </c>
      <c r="K114" s="1670">
        <f t="shared" si="13"/>
        <v>18878032</v>
      </c>
      <c r="L114" s="1670">
        <f>SUM(L33,L74,L75,L102,L112,L113)</f>
        <v>19906538</v>
      </c>
    </row>
    <row r="115" spans="1:14" ht="13.5" thickTop="1" x14ac:dyDescent="0.2">
      <c r="A115" s="2218" t="s">
        <v>996</v>
      </c>
      <c r="B115" s="2219"/>
      <c r="C115" s="618"/>
      <c r="D115" s="618"/>
      <c r="E115" s="618"/>
      <c r="F115" s="618"/>
      <c r="G115" s="618"/>
      <c r="H115" s="618"/>
      <c r="I115" s="618"/>
      <c r="J115" s="618"/>
      <c r="K115" s="1684">
        <f>'Revenues 9-14'!C268-'Expenditures 15-22'!K114</f>
        <v>210678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23" t="s">
        <v>296</v>
      </c>
      <c r="B117" s="222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235" t="s">
        <v>620</v>
      </c>
      <c r="B151" s="2215"/>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238" t="s">
        <v>1178</v>
      </c>
      <c r="B152" s="2239"/>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23" t="s">
        <v>621</v>
      </c>
      <c r="B154" s="222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36352</v>
      </c>
      <c r="I169" s="616"/>
      <c r="J169" s="616"/>
      <c r="K169" s="1671">
        <f>SUM(C169:H169)</f>
        <v>36352</v>
      </c>
      <c r="L169" s="656">
        <v>36352</v>
      </c>
    </row>
    <row r="170" spans="1:14" ht="33.75" customHeight="1" x14ac:dyDescent="0.2">
      <c r="A170" s="669" t="s">
        <v>1670</v>
      </c>
      <c r="B170" s="671" t="s">
        <v>31</v>
      </c>
      <c r="C170" s="616"/>
      <c r="D170" s="616"/>
      <c r="E170" s="616"/>
      <c r="F170" s="616"/>
      <c r="G170" s="616"/>
      <c r="H170" s="569">
        <v>305000</v>
      </c>
      <c r="I170" s="616"/>
      <c r="J170" s="616"/>
      <c r="K170" s="1671">
        <f>SUM(C170:J170)</f>
        <v>305000</v>
      </c>
      <c r="L170" s="569">
        <v>305000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341352</v>
      </c>
      <c r="I172" s="638"/>
      <c r="J172" s="616"/>
      <c r="K172" s="1677">
        <f>SUM(K168,K169,K170,K171)</f>
        <v>341352</v>
      </c>
      <c r="L172" s="1677">
        <f>SUM(L168,L169,L170,L171)</f>
        <v>341352</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341352</v>
      </c>
      <c r="I174" s="638"/>
      <c r="J174" s="616"/>
      <c r="K174" s="1677">
        <f>SUM(K160,K172,K173)</f>
        <v>341352</v>
      </c>
      <c r="L174" s="1677">
        <f>SUM(L160,L172,L173)</f>
        <v>341352</v>
      </c>
    </row>
    <row r="175" spans="1:14" ht="13.5" thickTop="1" x14ac:dyDescent="0.2">
      <c r="A175" s="2218" t="s">
        <v>996</v>
      </c>
      <c r="B175" s="2219"/>
      <c r="C175" s="616"/>
      <c r="D175" s="616"/>
      <c r="E175" s="616"/>
      <c r="F175" s="616"/>
      <c r="G175" s="616"/>
      <c r="H175" s="618"/>
      <c r="I175" s="616"/>
      <c r="J175" s="616"/>
      <c r="K175" s="1684">
        <f>'Revenues 9-14'!E268-'Expenditures 15-22'!K174</f>
        <v>-3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218" t="s">
        <v>996</v>
      </c>
      <c r="B211" s="2219"/>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40" t="s">
        <v>965</v>
      </c>
      <c r="B213" s="224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236" t="s">
        <v>505</v>
      </c>
      <c r="B295" s="2237"/>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218" t="s">
        <v>996</v>
      </c>
      <c r="B296" s="2219"/>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28" t="s">
        <v>143</v>
      </c>
      <c r="B298" s="222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233" t="s">
        <v>277</v>
      </c>
      <c r="B312" s="2234"/>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229" t="s">
        <v>996</v>
      </c>
      <c r="B313" s="2230"/>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42" t="s">
        <v>149</v>
      </c>
      <c r="B315" s="224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44" t="s">
        <v>898</v>
      </c>
      <c r="B317" s="224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231" t="s">
        <v>996</v>
      </c>
      <c r="B343" s="2232"/>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21" t="s">
        <v>966</v>
      </c>
      <c r="B345" s="222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218" t="s">
        <v>996</v>
      </c>
      <c r="B368" s="2219"/>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http://schemas.microsoft.com/office/2006/documentManagement/types"/>
    <ds:schemaRef ds:uri="4d435f69-8686-490b-bd6d-b153bf22ab50"/>
    <ds:schemaRef ds:uri="6ce3111e-7420-4802-b50a-75d4e9a0b980"/>
    <ds:schemaRef ds:uri="http://www.w3.org/XML/1998/namespace"/>
    <ds:schemaRef ds:uri="http://purl.org/dc/dcmitype/"/>
    <ds:schemaRef ds:uri="http://schemas.microsoft.com/office/2006/metadata/properties"/>
    <ds:schemaRef ds:uri="http://schemas.openxmlformats.org/package/2006/metadata/core-properties"/>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21</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(2)</vt:lpstr>
      <vt:lpstr> SEFA</vt:lpstr>
      <vt:lpstr>SEFA NOTES (3)</vt:lpstr>
      <vt:lpstr>SEFA NOTES (2)</vt:lpstr>
      <vt:lpstr>SEFA NOTES (4)</vt:lpstr>
      <vt:lpstr>SEFA NOTES</vt:lpstr>
      <vt:lpstr>SF&amp;QC Sec-1</vt:lpstr>
      <vt:lpstr>SF&amp;QC Sec-2 (2)</vt:lpstr>
      <vt:lpstr>SF&amp;QC Sec-2</vt:lpstr>
      <vt:lpstr>SF&amp;QC Sec-3 (2)</vt:lpstr>
      <vt:lpstr>SF&amp;QC Sec-3</vt:lpstr>
      <vt:lpstr>SSPAF</vt:lpstr>
      <vt:lpstr>' SEFA'!Print_Area</vt:lpstr>
      <vt:lpstr>' SEFA (2)'!Print_Area</vt:lpstr>
      <vt:lpstr>'SEFA NOTES'!Print_Area</vt:lpstr>
      <vt:lpstr>'SEFA NOTES (2)'!Print_Area</vt:lpstr>
      <vt:lpstr>'SEFA NOTES (3)'!Print_Area</vt:lpstr>
      <vt:lpstr>'SEFA NOTES (4)'!Print_Area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2019-11-19T19:38:17Z</cp:lastPrinted>
  <dcterms:created xsi:type="dcterms:W3CDTF">2003-10-29T19:06:34Z</dcterms:created>
  <dcterms:modified xsi:type="dcterms:W3CDTF">2020-01-07T17:31:44Z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