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1EA5F0EA-45B8-444E-9444-FBF09A30392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200" r:id="rId29"/>
    <sheet name="SEFA NOTES" sheetId="184" r:id="rId30"/>
    <sheet name="SF&amp;QC Sec-1" sheetId="185" r:id="rId31"/>
    <sheet name="SF&amp;QC Sec-2" sheetId="175" r:id="rId32"/>
    <sheet name="Finding 2019 - 001" sheetId="186" r:id="rId33"/>
    <sheet name="Finding 2019 - 002" sheetId="198" r:id="rId34"/>
    <sheet name="SF&amp;QC Sec-3" sheetId="176" r:id="rId35"/>
    <sheet name="Finding 2019-003" sheetId="187" r:id="rId36"/>
    <sheet name="Finding 2019-004" sheetId="190" r:id="rId37"/>
    <sheet name="Finding 2019-005" sheetId="191" r:id="rId38"/>
    <sheet name="Finding 2019-006" sheetId="192" r:id="rId39"/>
    <sheet name="SSPAF" sheetId="183" r:id="rId40"/>
    <sheet name="CAP 2019-001" sheetId="188" r:id="rId41"/>
    <sheet name="CAP 2019-002" sheetId="199" r:id="rId42"/>
    <sheet name="CAP 2019-003" sheetId="189" r:id="rId43"/>
    <sheet name="CAP 2019-004" sheetId="193" r:id="rId44"/>
    <sheet name="CAP 2019-005" sheetId="194" r:id="rId45"/>
    <sheet name="CAP 2019-006" sheetId="195" r:id="rId46"/>
  </sheets>
  <definedNames>
    <definedName name="goof" localSheetId="41">#REF!</definedName>
    <definedName name="goof" localSheetId="43">#REF!</definedName>
    <definedName name="goof" localSheetId="44">#REF!</definedName>
    <definedName name="goof" localSheetId="45">#REF!</definedName>
    <definedName name="goof" localSheetId="33">#REF!</definedName>
    <definedName name="goof" localSheetId="35">#REF!</definedName>
    <definedName name="goof" localSheetId="36">#REF!</definedName>
    <definedName name="goof" localSheetId="37">#REF!</definedName>
    <definedName name="goof" localSheetId="38">#REF!</definedName>
    <definedName name="goof" localSheetId="28">#REF!</definedName>
    <definedName name="goof">#REF!</definedName>
    <definedName name="oops" localSheetId="41">#REF!</definedName>
    <definedName name="oops" localSheetId="43">#REF!</definedName>
    <definedName name="oops" localSheetId="44">#REF!</definedName>
    <definedName name="oops" localSheetId="45">#REF!</definedName>
    <definedName name="oops" localSheetId="33">#REF!</definedName>
    <definedName name="oops" localSheetId="35">#REF!</definedName>
    <definedName name="oops" localSheetId="36">#REF!</definedName>
    <definedName name="oops" localSheetId="37">#REF!</definedName>
    <definedName name="oops" localSheetId="38">#REF!</definedName>
    <definedName name="oops" localSheetId="28">#REF!</definedName>
    <definedName name="oops">#REF!</definedName>
    <definedName name="_xlnm.Print_Area" localSheetId="27">' SEFA'!$B$1:$M$46</definedName>
    <definedName name="_xlnm.Print_Area" localSheetId="35">'Finding 2019-003'!$A$1:$K$52</definedName>
    <definedName name="_xlnm.Print_Area" localSheetId="36">'Finding 2019-004'!$A$1:$K$52</definedName>
    <definedName name="_xlnm.Print_Area" localSheetId="37">'Finding 2019-005'!$A$1:$K$52</definedName>
    <definedName name="_xlnm.Print_Area" localSheetId="38">'Finding 2019-006'!$A$1:$K$52</definedName>
    <definedName name="_xlnm.Print_Area" localSheetId="29">'SEFA NOTES'!$A$1:$F$72</definedName>
    <definedName name="_xlnm.Print_Area" localSheetId="26">'SEFA Reconcile'!$A$1:$E$49</definedName>
    <definedName name="_xlnm.Print_Area" localSheetId="28">SEFA19!$A$1:$N$176</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Print_Area_MI" localSheetId="28">SEFA19!$C$13:$N$152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40">#REF!</definedName>
    <definedName name="SCHADDRS" localSheetId="41">#REF!</definedName>
    <definedName name="SCHADDRS" localSheetId="42">#REF!</definedName>
    <definedName name="SCHADDRS" localSheetId="43">#REF!</definedName>
    <definedName name="SCHADDRS" localSheetId="44">#REF!</definedName>
    <definedName name="SCHADDRS" localSheetId="45">#REF!</definedName>
    <definedName name="SCHADDRS" localSheetId="21">#REF!</definedName>
    <definedName name="SCHADDRS" localSheetId="4">#REF!</definedName>
    <definedName name="SCHADDRS" localSheetId="32">#REF!</definedName>
    <definedName name="SCHADDRS" localSheetId="33">#REF!</definedName>
    <definedName name="SCHADDRS" localSheetId="35">#REF!</definedName>
    <definedName name="SCHADDRS" localSheetId="36">#REF!</definedName>
    <definedName name="SCHADDRS" localSheetId="37">#REF!</definedName>
    <definedName name="SCHADDRS" localSheetId="38">#REF!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4">#REF!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17">#REF!</definedName>
    <definedName name="SCHCTY" localSheetId="40">#REF!</definedName>
    <definedName name="SCHCTY" localSheetId="41">#REF!</definedName>
    <definedName name="SCHCTY" localSheetId="42">#REF!</definedName>
    <definedName name="SCHCTY" localSheetId="43">#REF!</definedName>
    <definedName name="SCHCTY" localSheetId="44">#REF!</definedName>
    <definedName name="SCHCTY" localSheetId="45">#REF!</definedName>
    <definedName name="SCHCTY" localSheetId="21">#REF!</definedName>
    <definedName name="SCHCTY" localSheetId="4">#REF!</definedName>
    <definedName name="SCHCTY" localSheetId="32">#REF!</definedName>
    <definedName name="SCHCTY" localSheetId="33">#REF!</definedName>
    <definedName name="SCHCTY" localSheetId="35">#REF!</definedName>
    <definedName name="SCHCTY" localSheetId="36">#REF!</definedName>
    <definedName name="SCHCTY" localSheetId="37">#REF!</definedName>
    <definedName name="SCHCTY" localSheetId="38">#REF!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4">#REF!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17">#REF!</definedName>
    <definedName name="SCHNMBR" localSheetId="40">#REF!</definedName>
    <definedName name="SCHNMBR" localSheetId="41">#REF!</definedName>
    <definedName name="SCHNMBR" localSheetId="42">#REF!</definedName>
    <definedName name="SCHNMBR" localSheetId="43">#REF!</definedName>
    <definedName name="SCHNMBR" localSheetId="44">#REF!</definedName>
    <definedName name="SCHNMBR" localSheetId="45">#REF!</definedName>
    <definedName name="SCHNMBR" localSheetId="21">#REF!</definedName>
    <definedName name="SCHNMBR" localSheetId="4">#REF!</definedName>
    <definedName name="SCHNMBR" localSheetId="32">#REF!</definedName>
    <definedName name="SCHNMBR" localSheetId="33">#REF!</definedName>
    <definedName name="SCHNMBR" localSheetId="35">#REF!</definedName>
    <definedName name="SCHNMBR" localSheetId="36">#REF!</definedName>
    <definedName name="SCHNMBR" localSheetId="37">#REF!</definedName>
    <definedName name="SCHNMBR" localSheetId="38">#REF!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4">#REF!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17">#REF!</definedName>
    <definedName name="SCHNME" localSheetId="40">#REF!</definedName>
    <definedName name="SCHNME" localSheetId="41">#REF!</definedName>
    <definedName name="SCHNME" localSheetId="42">#REF!</definedName>
    <definedName name="SCHNME" localSheetId="43">#REF!</definedName>
    <definedName name="SCHNME" localSheetId="44">#REF!</definedName>
    <definedName name="SCHNME" localSheetId="45">#REF!</definedName>
    <definedName name="SCHNME" localSheetId="21">#REF!</definedName>
    <definedName name="SCHNME" localSheetId="4">#REF!</definedName>
    <definedName name="SCHNME" localSheetId="32">#REF!</definedName>
    <definedName name="SCHNME" localSheetId="33">#REF!</definedName>
    <definedName name="SCHNME" localSheetId="35">#REF!</definedName>
    <definedName name="SCHNME" localSheetId="36">#REF!</definedName>
    <definedName name="SCHNME" localSheetId="37">#REF!</definedName>
    <definedName name="SCHNME" localSheetId="38">#REF!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4">#REF!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17">#REF!</definedName>
    <definedName name="SUPT" localSheetId="40">#REF!</definedName>
    <definedName name="SUPT" localSheetId="41">#REF!</definedName>
    <definedName name="SUPT" localSheetId="42">#REF!</definedName>
    <definedName name="SUPT" localSheetId="43">#REF!</definedName>
    <definedName name="SUPT" localSheetId="44">#REF!</definedName>
    <definedName name="SUPT" localSheetId="45">#REF!</definedName>
    <definedName name="SUPT" localSheetId="21">#REF!</definedName>
    <definedName name="SUPT" localSheetId="4">#REF!</definedName>
    <definedName name="SUPT" localSheetId="32">#REF!</definedName>
    <definedName name="SUPT" localSheetId="33">#REF!</definedName>
    <definedName name="SUPT" localSheetId="35">#REF!</definedName>
    <definedName name="SUPT" localSheetId="36">#REF!</definedName>
    <definedName name="SUPT" localSheetId="37">#REF!</definedName>
    <definedName name="SUPT" localSheetId="38">#REF!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4">#REF!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7" i="200" l="1"/>
  <c r="I8" i="200"/>
  <c r="M15" i="200"/>
  <c r="M17" i="200" s="1"/>
  <c r="M16" i="200"/>
  <c r="F17" i="200"/>
  <c r="G17" i="200"/>
  <c r="H17" i="200"/>
  <c r="I17" i="200"/>
  <c r="J17" i="200"/>
  <c r="K17" i="200"/>
  <c r="M19" i="200"/>
  <c r="M20" i="200"/>
  <c r="M28" i="200" s="1"/>
  <c r="M30" i="200" s="1"/>
  <c r="M23" i="200"/>
  <c r="M24" i="200"/>
  <c r="M26" i="200"/>
  <c r="M27" i="200"/>
  <c r="F28" i="200"/>
  <c r="F30" i="200" s="1"/>
  <c r="F34" i="200" s="1"/>
  <c r="G28" i="200"/>
  <c r="H28" i="200"/>
  <c r="I28" i="200"/>
  <c r="J28" i="200"/>
  <c r="K28" i="200"/>
  <c r="K30" i="200" s="1"/>
  <c r="K34" i="200" s="1"/>
  <c r="M32" i="200"/>
  <c r="M38" i="200"/>
  <c r="M40" i="200"/>
  <c r="M41" i="200"/>
  <c r="M42" i="200"/>
  <c r="M43" i="200"/>
  <c r="M44" i="200"/>
  <c r="M45" i="200"/>
  <c r="M46" i="200"/>
  <c r="M47" i="200"/>
  <c r="M48" i="200"/>
  <c r="M49" i="200"/>
  <c r="M50" i="200"/>
  <c r="F51" i="200"/>
  <c r="F53" i="200" s="1"/>
  <c r="G51" i="200"/>
  <c r="G53" i="200" s="1"/>
  <c r="H51" i="200"/>
  <c r="H53" i="200" s="1"/>
  <c r="I51" i="200"/>
  <c r="I53" i="200" s="1"/>
  <c r="K51" i="200"/>
  <c r="K53" i="200" s="1"/>
  <c r="N53" i="200"/>
  <c r="M57" i="200"/>
  <c r="M59" i="200"/>
  <c r="M61" i="200" s="1"/>
  <c r="F61" i="200"/>
  <c r="G61" i="200"/>
  <c r="H61" i="200"/>
  <c r="H68" i="200" s="1"/>
  <c r="I61" i="200"/>
  <c r="I68" i="200" s="1"/>
  <c r="J61" i="200"/>
  <c r="K61" i="200"/>
  <c r="N61" i="200"/>
  <c r="M63" i="200"/>
  <c r="N63" i="200"/>
  <c r="F67" i="200"/>
  <c r="G67" i="200"/>
  <c r="H67" i="200"/>
  <c r="I67" i="200"/>
  <c r="J67" i="200"/>
  <c r="K67" i="200"/>
  <c r="M67" i="200"/>
  <c r="N67" i="200"/>
  <c r="M70" i="200"/>
  <c r="M72" i="200"/>
  <c r="M73" i="200"/>
  <c r="M74" i="200"/>
  <c r="M75" i="200"/>
  <c r="M76" i="200"/>
  <c r="M77" i="200"/>
  <c r="M78" i="200"/>
  <c r="M79" i="200"/>
  <c r="M80" i="200"/>
  <c r="M81" i="200"/>
  <c r="M82" i="200"/>
  <c r="M83" i="200"/>
  <c r="M84" i="200"/>
  <c r="F85" i="200"/>
  <c r="F87" i="200" s="1"/>
  <c r="G85" i="200"/>
  <c r="G87" i="200" s="1"/>
  <c r="H85" i="200"/>
  <c r="H87" i="200" s="1"/>
  <c r="I85" i="200"/>
  <c r="I87" i="200" s="1"/>
  <c r="J85" i="200"/>
  <c r="J87" i="200" s="1"/>
  <c r="K85" i="200"/>
  <c r="K87" i="200" s="1"/>
  <c r="N85" i="200"/>
  <c r="N87" i="200" s="1"/>
  <c r="E87" i="200"/>
  <c r="G89" i="200"/>
  <c r="I89" i="200"/>
  <c r="M89" i="200"/>
  <c r="N89" i="200"/>
  <c r="N107" i="200" s="1"/>
  <c r="M91" i="200"/>
  <c r="M92" i="200"/>
  <c r="M93" i="200"/>
  <c r="M94" i="200"/>
  <c r="M95" i="200"/>
  <c r="M96" i="200"/>
  <c r="M97" i="200"/>
  <c r="M98" i="200"/>
  <c r="M99" i="200"/>
  <c r="M100" i="200"/>
  <c r="M101" i="200"/>
  <c r="M102" i="200"/>
  <c r="M103" i="200"/>
  <c r="M104" i="200"/>
  <c r="F105" i="200"/>
  <c r="G105" i="200"/>
  <c r="G107" i="200" s="1"/>
  <c r="H105" i="200"/>
  <c r="H107" i="200" s="1"/>
  <c r="I105" i="200"/>
  <c r="J105" i="200"/>
  <c r="K105" i="200"/>
  <c r="K107" i="200" s="1"/>
  <c r="N105" i="200"/>
  <c r="E107" i="200"/>
  <c r="F107" i="200"/>
  <c r="J107" i="200"/>
  <c r="M109" i="200"/>
  <c r="M110" i="200"/>
  <c r="M112" i="200"/>
  <c r="M114" i="200"/>
  <c r="M115" i="200"/>
  <c r="M116" i="200"/>
  <c r="M117" i="200"/>
  <c r="M118" i="200"/>
  <c r="M119" i="200"/>
  <c r="M120" i="200"/>
  <c r="M121" i="200"/>
  <c r="M122" i="200"/>
  <c r="M123" i="200"/>
  <c r="M124" i="200"/>
  <c r="M125" i="200"/>
  <c r="M126" i="200"/>
  <c r="M127" i="200"/>
  <c r="F128" i="200"/>
  <c r="F130" i="200" s="1"/>
  <c r="G128" i="200"/>
  <c r="H128" i="200"/>
  <c r="H130" i="200" s="1"/>
  <c r="I128" i="200"/>
  <c r="I130" i="200" s="1"/>
  <c r="K128" i="200"/>
  <c r="K130" i="200" s="1"/>
  <c r="N128" i="200"/>
  <c r="E130" i="200"/>
  <c r="G130" i="200"/>
  <c r="N130" i="200"/>
  <c r="M136" i="200"/>
  <c r="M137" i="200"/>
  <c r="M143" i="200"/>
  <c r="M144" i="200"/>
  <c r="M145" i="200"/>
  <c r="M147" i="200"/>
  <c r="M148" i="200"/>
  <c r="M149" i="200"/>
  <c r="F151" i="200"/>
  <c r="G151" i="200"/>
  <c r="H151" i="200"/>
  <c r="H170" i="200" s="1"/>
  <c r="I151" i="200"/>
  <c r="J151" i="200"/>
  <c r="K151" i="200"/>
  <c r="N151" i="200"/>
  <c r="M161" i="200"/>
  <c r="M162" i="200"/>
  <c r="F165" i="200"/>
  <c r="G165" i="200"/>
  <c r="H165" i="200"/>
  <c r="I165" i="200"/>
  <c r="J165" i="200"/>
  <c r="J170" i="200" s="1"/>
  <c r="K165" i="200"/>
  <c r="I170" i="200"/>
  <c r="G170" i="200" l="1"/>
  <c r="G68" i="200"/>
  <c r="F68" i="200"/>
  <c r="F169" i="200" s="1"/>
  <c r="F172" i="200" s="1"/>
  <c r="J30" i="200"/>
  <c r="J34" i="200" s="1"/>
  <c r="J169" i="200" s="1"/>
  <c r="J172" i="200" s="1"/>
  <c r="M68" i="200"/>
  <c r="H30" i="200"/>
  <c r="H34" i="200" s="1"/>
  <c r="I107" i="200"/>
  <c r="I154" i="200" s="1"/>
  <c r="I167" i="200" s="1"/>
  <c r="M51" i="200"/>
  <c r="M53" i="200" s="1"/>
  <c r="K170" i="200"/>
  <c r="N68" i="200"/>
  <c r="N154" i="200" s="1"/>
  <c r="G131" i="200"/>
  <c r="G154" i="200"/>
  <c r="G167" i="200" s="1"/>
  <c r="F170" i="200"/>
  <c r="H131" i="200"/>
  <c r="M105" i="200"/>
  <c r="M107" i="200" s="1"/>
  <c r="K169" i="200"/>
  <c r="G30" i="200"/>
  <c r="G34" i="200" s="1"/>
  <c r="G169" i="200" s="1"/>
  <c r="M128" i="200"/>
  <c r="M130" i="200" s="1"/>
  <c r="K68" i="200"/>
  <c r="K131" i="200" s="1"/>
  <c r="I30" i="200"/>
  <c r="I34" i="200" s="1"/>
  <c r="I169" i="200" s="1"/>
  <c r="I172" i="200" s="1"/>
  <c r="J68" i="200"/>
  <c r="J154" i="200" s="1"/>
  <c r="J167" i="200" s="1"/>
  <c r="I131" i="200"/>
  <c r="M151" i="200"/>
  <c r="M170" i="200" s="1"/>
  <c r="M85" i="200"/>
  <c r="M87" i="200" s="1"/>
  <c r="M154" i="200" s="1"/>
  <c r="M167" i="200" s="1"/>
  <c r="M165" i="200"/>
  <c r="F154" i="200"/>
  <c r="F167" i="200" s="1"/>
  <c r="F131" i="200"/>
  <c r="G172" i="200"/>
  <c r="H169" i="200"/>
  <c r="H172" i="200" s="1"/>
  <c r="H154" i="200"/>
  <c r="H167" i="200" s="1"/>
  <c r="M34" i="200"/>
  <c r="N131" i="200" l="1"/>
  <c r="K172" i="200"/>
  <c r="J131" i="200"/>
  <c r="M169" i="200"/>
  <c r="M172" i="200" s="1"/>
  <c r="K154" i="200"/>
  <c r="K167" i="200" s="1"/>
  <c r="M131" i="200"/>
  <c r="D60" i="184" l="1"/>
  <c r="D58" i="184"/>
  <c r="G43" i="185" l="1"/>
  <c r="D47" i="185" s="1"/>
  <c r="E41"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1" i="171"/>
  <c r="B1" i="179"/>
  <c r="B2" i="176"/>
  <c r="B1" i="175"/>
  <c r="A1" i="170"/>
  <c r="A2" i="171"/>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L5" i="11"/>
  <c r="B2056" i="106" s="1"/>
  <c r="D2056" i="106" s="1"/>
  <c r="H112" i="29" l="1"/>
  <c r="B7018" i="106" s="1"/>
  <c r="D7018" i="106" s="1"/>
  <c r="F37" i="34"/>
  <c r="F36" i="34"/>
  <c r="D24" i="37"/>
  <c r="B4270" i="106" s="1"/>
  <c r="D4270" i="106" s="1"/>
  <c r="B6289" i="106"/>
  <c r="D6289" i="106" s="1"/>
  <c r="D68" i="36"/>
  <c r="B2724" i="106"/>
  <c r="D2724" i="106" s="1"/>
  <c r="G33" i="108"/>
  <c r="D54" i="36"/>
  <c r="F49" i="34"/>
  <c r="L15" i="11"/>
  <c r="B3459" i="106" s="1"/>
  <c r="D3459" i="106" s="1"/>
  <c r="H76" i="4"/>
  <c r="B3298" i="106" s="1"/>
  <c r="D3298" i="106" s="1"/>
  <c r="I210" i="29"/>
  <c r="B7071" i="106" s="1"/>
  <c r="D7071" i="106" s="1"/>
  <c r="J210" i="29"/>
  <c r="B7072" i="106" s="1"/>
  <c r="D7072" i="106" s="1"/>
  <c r="B7078" i="106"/>
  <c r="D7078" i="106" s="1"/>
  <c r="F50" i="34"/>
  <c r="F64" i="34"/>
  <c r="F46" i="34"/>
  <c r="F36" i="108"/>
  <c r="F42"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F66" i="34" l="1"/>
  <c r="D7251" i="106"/>
  <c r="H77" i="4"/>
  <c r="B3299" i="106" s="1"/>
  <c r="D3299" i="106" s="1"/>
  <c r="J16" i="4"/>
  <c r="B6226" i="106" s="1"/>
  <c r="D6226" i="106" s="1"/>
  <c r="B3621" i="106"/>
  <c r="D3621" i="106" s="1"/>
  <c r="D7256" i="106"/>
  <c r="D7252" i="106"/>
  <c r="D7254" i="106"/>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<sst xmlns="http://schemas.openxmlformats.org/spreadsheetml/2006/main" count="5883" uniqueCount="2355">
  <si>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</si>
  <si>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</si>
  <si>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</si>
  <si>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</si>
  <si>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</si>
  <si>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</si>
  <si>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</si>
  <si>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</si>
  <si>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</si>
  <si>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</si>
  <si>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</si>
  <si>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</si>
  <si>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</si>
  <si>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</si>
  <si>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</si>
  <si>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</si>
  <si>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</si>
  <si>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</si>
  <si>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</si>
  <si>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</si>
  <si>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</si>
  <si>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</si>
  <si>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</si>
  <si>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</si>
  <si>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</si>
  <si>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</si>
  <si>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</si>
  <si>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</si>
  <si>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</si>
  <si>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</si>
  <si>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</si>
  <si>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</si>
  <si>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</si>
  <si>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</si>
  <si>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</si>
  <si>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</si>
  <si>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</si>
  <si>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</si>
  <si>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</si>
  <si>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</si>
  <si>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</si>
  <si>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</si>
  <si>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</si>
  <si>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</si>
  <si>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</si>
  <si>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</si>
  <si>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</si>
  <si>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</si>
  <si>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</si>
  <si>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</si>
  <si>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</si>
  <si>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</si>
  <si>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</si>
  <si>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</si>
  <si>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</si>
  <si>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</si>
  <si>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</si>
  <si>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</si>
  <si>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</si>
  <si>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</si>
  <si>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</si>
  <si>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</si>
  <si>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</si>
  <si>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</si>
  <si>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</si>
  <si>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</si>
  <si>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</si>
  <si>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</si>
  <si>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</si>
  <si>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</si>
  <si>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</si>
  <si>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</si>
  <si>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</si>
  <si>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</si>
  <si>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</si>
  <si>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</si>
  <si>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</si>
  <si>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</si>
  <si>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</si>
  <si>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</si>
  <si>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</si>
  <si>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</si>
  <si>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</si>
  <si>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</si>
  <si>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</si>
  <si>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</si>
  <si>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</si>
  <si>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</si>
  <si>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</si>
  <si>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</si>
  <si>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</si>
  <si>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</si>
  <si>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</si>
  <si>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</si>
  <si>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</si>
  <si>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</si>
  <si>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</si>
  <si>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</si>
  <si>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</si>
  <si>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</si>
  <si>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</si>
  <si>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</si>
  <si>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</si>
  <si>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</si>
  <si>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</si>
  <si>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</si>
  <si>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</si>
  <si>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</si>
  <si>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</si>
  <si>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</si>
  <si>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</si>
  <si>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</si>
  <si>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</si>
  <si>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</si>
  <si>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</si>
  <si>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</si>
  <si>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</si>
  <si>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</si>
  <si>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</si>
  <si>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</si>
  <si>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</si>
  <si>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</si>
  <si>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</si>
  <si>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</si>
  <si>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</si>
  <si>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</si>
  <si>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</si>
  <si>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</si>
  <si>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</si>
  <si>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</si>
  <si>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</si>
  <si>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</si>
  <si>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</si>
  <si>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</si>
  <si>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</si>
  <si>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</si>
  <si>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</si>
  <si>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</si>
  <si>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</si>
  <si>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</si>
  <si>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</si>
  <si>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</si>
  <si>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</si>
  <si>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</si>
  <si>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</si>
  <si>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</si>
  <si>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</si>
  <si>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</si>
  <si>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</si>
  <si>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</si>
  <si>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</si>
  <si>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</si>
  <si>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</si>
  <si>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</si>
  <si>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</si>
  <si>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</si>
  <si>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</si>
  <si>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</si>
  <si>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</si>
  <si>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</si>
  <si>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</si>
  <si>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</si>
  <si>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</si>
  <si>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</si>
  <si>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</si>
  <si>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</si>
  <si>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</si>
  <si>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</si>
  <si>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</si>
  <si>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</si>
  <si>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</si>
  <si>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</si>
  <si>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</si>
  <si>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</si>
  <si>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</si>
  <si>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</si>
  <si>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</si>
  <si>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</si>
  <si>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</si>
  <si>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</si>
  <si>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</si>
  <si>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</si>
  <si>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</si>
  <si>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</si>
  <si>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</si>
  <si>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</si>
  <si>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</si>
  <si>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</si>
  <si>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</si>
  <si>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</si>
  <si>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</si>
  <si>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</si>
  <si>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</si>
  <si>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</si>
  <si>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</si>
  <si>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</si>
  <si>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</si>
  <si>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</si>
  <si>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</si>
  <si>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</si>
  <si>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</si>
  <si>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</si>
  <si>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</si>
  <si>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</si>
  <si>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</si>
  <si>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</si>
  <si>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</si>
  <si>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</si>
  <si>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</si>
  <si>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</si>
  <si>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</si>
  <si>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</si>
  <si>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</si>
  <si>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</si>
  <si>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</si>
  <si>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</si>
  <si>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</si>
  <si>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</si>
  <si>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</si>
  <si>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</si>
  <si>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</si>
  <si>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</si>
  <si>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</si>
  <si>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</si>
  <si>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</si>
  <si>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</si>
  <si>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</si>
  <si>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</si>
  <si>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</si>
  <si>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</si>
  <si>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</si>
  <si>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</si>
  <si>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</si>
  <si>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</si>
  <si>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</si>
  <si>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</si>
  <si>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</si>
  <si>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</si>
  <si>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</si>
  <si>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</si>
  <si>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</si>
  <si>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</si>
  <si>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</si>
  <si>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</si>
  <si>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</si>
  <si>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</si>
  <si>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</si>
  <si>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</si>
  <si>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</si>
  <si>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</si>
  <si>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</si>
  <si>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</si>
  <si>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</si>
  <si>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</si>
  <si>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</si>
  <si>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</si>
  <si>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</si>
  <si>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</si>
  <si>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</si>
  <si>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</si>
  <si>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</si>
  <si>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</si>
  <si>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</si>
  <si>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</si>
  <si>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</si>
  <si>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</si>
  <si>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</si>
  <si>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</si>
  <si>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</si>
  <si>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</si>
  <si>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</si>
  <si>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</si>
  <si>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</si>
  <si>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</si>
  <si>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</si>
  <si>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</si>
  <si>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</si>
  <si>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</si>
  <si>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</si>
  <si>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</si>
  <si>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</si>
  <si>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</si>
  <si>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</si>
  <si>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</si>
  <si>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</si>
  <si>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</si>
  <si>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</si>
  <si>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</si>
  <si>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</si>
  <si>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</si>
  <si>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</si>
  <si>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</si>
  <si>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</si>
  <si>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</si>
  <si>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</si>
  <si>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</si>
  <si>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</si>
  <si>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</si>
  <si>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</si>
  <si>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</si>
  <si>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</si>
  <si>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</si>
  <si>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</si>
  <si>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</si>
  <si>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</si>
  <si>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</si>
  <si>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</si>
  <si>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</si>
  <si>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</si>
  <si>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</si>
  <si>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</si>
  <si>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</si>
  <si>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</si>
  <si>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</si>
  <si>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</si>
  <si>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</si>
  <si>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</si>
  <si>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</si>
  <si>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</si>
  <si>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</si>
  <si>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</si>
  <si>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</si>
  <si>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</si>
  <si>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</si>
  <si>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</si>
  <si>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</si>
  <si>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</si>
  <si>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</si>
  <si>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</si>
  <si>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</si>
  <si>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</si>
  <si>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</si>
  <si>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</si>
  <si>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</si>
  <si>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</si>
  <si>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</si>
  <si>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</si>
  <si>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</si>
  <si>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</si>
  <si>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</si>
  <si>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</si>
  <si>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</si>
  <si>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</si>
  <si>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</si>
  <si>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</si>
  <si>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</si>
  <si>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</si>
  <si>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</si>
  <si>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</si>
  <si>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</si>
  <si>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</si>
  <si>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</si>
  <si>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</si>
  <si>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</si>
  <si>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</si>
  <si>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</si>
  <si>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</si>
  <si>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</si>
  <si>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</si>
  <si>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</si>
  <si>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</si>
  <si>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</si>
  <si>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</si>
  <si>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</si>
  <si>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</si>
  <si>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</si>
  <si>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</si>
  <si>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</si>
  <si>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</si>
  <si>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</si>
  <si>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</si>
  <si>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</si>
  <si>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</si>
  <si>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</si>
  <si>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</si>
  <si>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</si>
  <si>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</si>
  <si>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</si>
  <si>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</si>
  <si>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</si>
  <si>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</si>
  <si>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</si>
  <si>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</si>
  <si>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</si>
  <si>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</si>
  <si>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</si>
  <si>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</si>
  <si>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</si>
  <si>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</si>
  <si>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</si>
  <si>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</si>
  <si>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</si>
  <si>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</si>
  <si>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</si>
  <si>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</si>
  <si>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</si>
  <si>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</si>
  <si>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</si>
  <si>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</si>
  <si>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</si>
  <si>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</si>
  <si>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</si>
  <si>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</si>
  <si>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</si>
  <si>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</si>
  <si>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</si>
  <si>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</si>
  <si>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</si>
  <si>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</si>
  <si>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</si>
  <si>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</si>
  <si>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</si>
  <si>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</si>
  <si>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</si>
  <si>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</si>
  <si>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</si>
  <si>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</si>
  <si>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</si>
  <si>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</si>
  <si>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</si>
  <si>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</si>
  <si>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</si>
  <si>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</si>
  <si>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</si>
  <si>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</si>
  <si>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</si>
  <si>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</si>
  <si>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</si>
  <si>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</si>
  <si>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</si>
  <si>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</si>
  <si>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</si>
  <si>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</si>
  <si>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</si>
  <si>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</si>
  <si>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</si>
  <si>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</si>
  <si>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</si>
  <si>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</si>
  <si>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</si>
  <si>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</si>
  <si>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</si>
  <si>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</si>
  <si>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</si>
  <si>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</si>
  <si>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</si>
  <si>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</si>
  <si>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</si>
  <si>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</si>
  <si>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</si>
  <si>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</si>
  <si>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</si>
  <si>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</si>
  <si>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</si>
  <si>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</si>
  <si>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</si>
  <si>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</si>
  <si>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</si>
  <si>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</si>
  <si>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</si>
  <si>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</si>
  <si>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</si>
  <si>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</si>
  <si>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</si>
  <si>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</si>
  <si>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</si>
  <si>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</si>
  <si>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</si>
  <si>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</si>
  <si>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</si>
  <si>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</si>
  <si>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</si>
  <si>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</si>
  <si>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</si>
  <si>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</si>
  <si>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</si>
  <si>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</si>
  <si>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</si>
  <si>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</si>
  <si>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</si>
  <si>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</si>
  <si>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</si>
  <si>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</si>
  <si>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</si>
  <si>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</si>
  <si>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</si>
  <si>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</si>
  <si>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</si>
  <si>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</si>
  <si>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</si>
  <si>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</si>
  <si>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</si>
  <si>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</si>
  <si>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</si>
  <si>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</si>
  <si>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</si>
  <si>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</si>
  <si>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</si>
  <si>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</si>
  <si>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</si>
  <si>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</si>
  <si>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</si>
  <si>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</si>
  <si>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</si>
  <si>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</si>
  <si>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</si>
  <si>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</si>
  <si>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</si>
  <si>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</si>
  <si>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</si>
  <si>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</si>
  <si>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</si>
  <si>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</si>
  <si>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</si>
  <si>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</si>
  <si>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</si>
  <si>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</si>
  <si>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</si>
  <si>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</si>
  <si>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</si>
  <si>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</si>
  <si>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</si>
  <si>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</si>
  <si>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</si>
  <si>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</si>
  <si>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</si>
  <si>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</si>
  <si>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</si>
  <si>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</si>
  <si>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</si>
  <si>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</si>
  <si>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</si>
  <si>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</si>
  <si>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</si>
  <si>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</si>
  <si>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</si>
  <si>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</si>
  <si>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</si>
  <si>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</si>
  <si>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</si>
  <si>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</si>
  <si>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</si>
  <si>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</si>
  <si>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</si>
  <si>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</si>
  <si>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</si>
  <si>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</si>
  <si>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</si>
  <si>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</si>
  <si>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</si>
  <si>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</si>
  <si>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</si>
  <si>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</si>
  <si>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</si>
  <si>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</si>
  <si>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</si>
  <si>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</si>
  <si>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</si>
  <si>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</si>
  <si>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</si>
  <si>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</si>
  <si>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</si>
  <si>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</si>
  <si>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</si>
  <si>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</si>
  <si>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</si>
  <si>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</si>
  <si>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</si>
  <si>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</si>
  <si>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</si>
  <si>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</si>
  <si>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</si>
  <si>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</si>
  <si>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</si>
  <si>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</si>
  <si>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</si>
  <si>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</si>
  <si>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</si>
  <si>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</si>
  <si>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</si>
  <si>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</si>
  <si>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</si>
  <si>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</si>
  <si>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</si>
  <si>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</si>
  <si>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</si>
  <si>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</si>
  <si>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</si>
  <si>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</si>
  <si>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</si>
  <si>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</si>
  <si>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</si>
  <si>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</si>
  <si>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</si>
  <si>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</si>
  <si>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</si>
  <si>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</si>
  <si>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</si>
  <si>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</si>
  <si>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</si>
  <si>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</si>
  <si>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</si>
  <si>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</si>
  <si>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</si>
  <si>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</si>
  <si>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</si>
  <si>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</si>
  <si>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</si>
  <si>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</si>
  <si>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</si>
  <si>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</si>
  <si>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</si>
  <si>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</si>
  <si>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</si>
  <si>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</si>
  <si>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</si>
  <si>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</si>
  <si>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</si>
  <si>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</si>
  <si>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</si>
  <si>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</si>
  <si>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</si>
  <si>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</si>
  <si>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</si>
  <si>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</si>
  <si>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</si>
  <si>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</si>
  <si>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</si>
  <si>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</si>
  <si>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</si>
  <si>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</si>
  <si>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</si>
  <si>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</si>
  <si>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</si>
  <si>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</si>
  <si>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</si>
  <si>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</si>
  <si>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</si>
  <si>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</si>
  <si>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</si>
  <si>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</si>
  <si>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</si>
  <si>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</si>
  <si>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</si>
  <si>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</si>
  <si>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</si>
  <si>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</si>
  <si>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</si>
  <si>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</si>
  <si>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</si>
  <si>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</si>
  <si>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</si>
  <si>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</si>
  <si>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</si>
  <si>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</si>
  <si>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</si>
  <si>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</si>
  <si>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</si>
  <si>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</si>
  <si>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</si>
  <si>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</si>
  <si>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</si>
  <si>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</si>
  <si>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</si>
  <si>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</si>
  <si>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</si>
  <si>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</si>
  <si>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</si>
  <si>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</si>
  <si>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</si>
  <si>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</si>
  <si>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</si>
  <si>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</si>
  <si>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</si>
  <si>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</si>
  <si>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</si>
  <si>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</si>
  <si>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</si>
  <si>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</si>
  <si>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</si>
  <si>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</si>
  <si>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</si>
  <si>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</si>
  <si>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</si>
  <si>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</si>
  <si>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</si>
  <si>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</si>
  <si>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</si>
  <si>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</si>
  <si>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</si>
  <si>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</si>
  <si>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</si>
  <si>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</si>
  <si>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</si>
  <si>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</si>
  <si>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</si>
  <si>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</si>
  <si>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</si>
  <si>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</si>
  <si>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</si>
  <si>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</si>
  <si>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</si>
  <si>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</si>
  <si>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</si>
  <si>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</si>
  <si>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</si>
  <si>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</si>
  <si>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</si>
  <si>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</si>
  <si>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</si>
  <si>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</si>
  <si>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</si>
  <si>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</si>
  <si>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</si>
  <si>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</si>
  <si>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</si>
  <si>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</si>
  <si>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</si>
  <si>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</si>
  <si>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</si>
  <si>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</si>
  <si>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</si>
  <si>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</si>
  <si>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</si>
  <si>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</si>
  <si>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</si>
  <si>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</si>
  <si>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</si>
  <si>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</si>
  <si>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</si>
  <si>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</si>
  <si>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</si>
  <si>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</si>
  <si>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</si>
  <si>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</si>
  <si>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</si>
  <si>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</si>
  <si>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</si>
  <si>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</si>
  <si>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</si>
  <si>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</si>
  <si>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</si>
  <si>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</si>
  <si>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</si>
  <si>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</si>
  <si>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</si>
  <si>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</si>
  <si>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</si>
  <si>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</si>
  <si>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</si>
  <si>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</si>
  <si>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</si>
  <si>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</si>
  <si>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</si>
  <si>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</si>
  <si>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</si>
  <si>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</si>
  <si>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</si>
  <si>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</si>
  <si>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</si>
  <si>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</si>
  <si>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</si>
  <si>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</si>
  <si>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</si>
  <si>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</si>
  <si>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</si>
  <si>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</si>
  <si>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</si>
  <si>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</si>
  <si>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</si>
  <si>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</si>
  <si>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</si>
  <si>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</si>
  <si>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</si>
  <si>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</si>
  <si>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</si>
  <si>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</si>
  <si>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</si>
  <si>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</si>
  <si>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</si>
  <si>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</si>
  <si>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</si>
  <si>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</si>
  <si>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</si>
  <si>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</si>
  <si>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</si>
  <si>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</si>
  <si>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</si>
  <si>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</si>
  <si>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</si>
  <si>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</si>
  <si>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</si>
  <si>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</si>
  <si>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</si>
  <si>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</si>
  <si>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</si>
  <si>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</si>
  <si>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</si>
  <si>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</si>
  <si>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</si>
  <si>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</si>
  <si>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</si>
  <si>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</si>
  <si>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</si>
  <si>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</si>
  <si>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</si>
  <si>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</si>
  <si>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</si>
  <si>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</si>
  <si>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</si>
  <si>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</si>
  <si>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</si>
  <si>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</si>
  <si>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</si>
  <si>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</si>
  <si>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</si>
  <si>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</si>
  <si>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</si>
  <si>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</si>
  <si>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</si>
  <si>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</si>
  <si>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</si>
  <si>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</si>
  <si>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</si>
  <si>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</si>
  <si>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</si>
  <si>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</si>
  <si>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</si>
  <si>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</si>
  <si>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</si>
  <si>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</si>
  <si>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</si>
  <si>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</si>
  <si>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</si>
  <si>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</si>
  <si>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</si>
  <si>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</si>
  <si>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</si>
  <si>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</si>
  <si>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</si>
  <si>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</si>
  <si>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</si>
  <si>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</si>
  <si>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</si>
  <si>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</si>
  <si>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</si>
  <si>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</si>
  <si>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</si>
  <si>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</si>
  <si>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</si>
  <si>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</si>
  <si>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</si>
  <si>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</si>
  <si>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</si>
  <si>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</si>
  <si>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</si>
  <si>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</si>
  <si>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</si>
  <si>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</si>
  <si>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</si>
  <si>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</si>
  <si>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</si>
  <si>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</si>
  <si>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</si>
  <si>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</si>
  <si>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</si>
  <si>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</si>
  <si>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</si>
  <si>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</si>
  <si>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</si>
  <si>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</si>
  <si>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</si>
  <si>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</si>
  <si>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</si>
  <si>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</si>
  <si>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</si>
  <si>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</si>
  <si>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</si>
  <si>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</si>
  <si>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</si>
  <si>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</si>
  <si>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</si>
  <si>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</si>
  <si>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</si>
  <si>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</si>
  <si>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</si>
  <si>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</si>
  <si>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</si>
  <si>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</si>
  <si>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</si>
  <si>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</si>
  <si>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</si>
  <si>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</si>
  <si>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</si>
  <si>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</si>
  <si>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</si>
  <si>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</si>
  <si>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</si>
  <si>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</si>
  <si>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</si>
  <si>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</si>
  <si>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</si>
  <si>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</si>
  <si>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</si>
  <si>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</si>
  <si>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</si>
  <si>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</si>
  <si>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</si>
  <si>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</si>
  <si>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</si>
  <si>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</si>
  <si>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</si>
  <si>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</si>
  <si>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</si>
  <si>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</si>
  <si>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</si>
  <si>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</si>
  <si>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</si>
  <si>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</si>
  <si>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</si>
  <si>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</si>
  <si>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</si>
  <si>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</si>
  <si>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</si>
  <si>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</si>
  <si>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</si>
  <si>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</si>
  <si>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</si>
  <si>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</si>
  <si>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</si>
  <si>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</si>
  <si>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</si>
  <si>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</si>
  <si>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</si>
  <si>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</si>
  <si>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</si>
  <si>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</si>
  <si>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</si>
  <si>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</si>
  <si>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</si>
  <si>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</si>
  <si>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</si>
  <si>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</si>
  <si>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</si>
  <si>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</si>
  <si>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</si>
  <si>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</si>
  <si>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</si>
  <si>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</si>
  <si>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</si>
  <si>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</si>
  <si>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</si>
  <si>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</si>
  <si>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</si>
  <si>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</si>
  <si>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</si>
  <si>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</si>
  <si>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</si>
  <si>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</si>
  <si>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</si>
  <si>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</si>
  <si>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</si>
  <si>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</si>
  <si>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</si>
  <si>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</si>
  <si>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</si>
  <si>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</si>
  <si>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</si>
  <si>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</si>
  <si>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</si>
  <si>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</si>
  <si>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</si>
  <si>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</si>
  <si>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</si>
  <si>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</si>
  <si>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</si>
  <si>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</si>
  <si>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</si>
  <si>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</si>
  <si>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</si>
  <si>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</si>
  <si>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</si>
  <si>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</si>
  <si>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</si>
  <si>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</si>
  <si>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</si>
  <si>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</si>
  <si>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</si>
  <si>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</si>
  <si>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</si>
  <si>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</si>
  <si>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</si>
  <si>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</si>
  <si>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</si>
  <si>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</si>
  <si>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</si>
  <si>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</si>
  <si>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</si>
  <si>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</si>
  <si>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</si>
  <si>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</si>
  <si>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</si>
  <si>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</si>
  <si>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</si>
  <si>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</si>
  <si>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</si>
  <si>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</si>
  <si>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</si>
  <si>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</si>
  <si>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</si>
  <si>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</si>
  <si>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</si>
  <si>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</si>
  <si>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</si>
  <si>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</si>
  <si>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</si>
  <si>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</si>
  <si>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</si>
  <si>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</si>
  <si>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</si>
  <si>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</si>
  <si>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</si>
  <si>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</si>
  <si>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</si>
  <si>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</si>
  <si>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</si>
  <si>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</si>
  <si>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</si>
  <si>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</si>
  <si>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</si>
  <si>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</si>
  <si>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</si>
  <si>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</si>
  <si>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</si>
  <si>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</si>
  <si>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</si>
  <si>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</si>
  <si>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</si>
  <si>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</si>
  <si>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</si>
  <si>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</si>
  <si>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</si>
  <si>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</si>
  <si>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</si>
  <si>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</si>
  <si>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</si>
  <si>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</si>
  <si>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</si>
  <si>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</si>
  <si>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</si>
  <si>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</si>
  <si>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</si>
  <si>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</si>
  <si>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</si>
  <si>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</si>
  <si>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</si>
  <si>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</si>
  <si>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</si>
  <si>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</si>
  <si>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</si>
  <si>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</si>
  <si>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</si>
  <si>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</si>
  <si>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</si>
  <si>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</si>
  <si>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</si>
  <si>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</si>
  <si>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</si>
  <si>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</si>
  <si>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</si>
  <si>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</si>
  <si>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</si>
  <si>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</si>
  <si>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</si>
  <si>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</si>
  <si>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</si>
  <si>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</si>
  <si>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</si>
  <si>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</si>
  <si>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</si>
  <si>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</si>
  <si>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</si>
  <si>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</si>
  <si>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</si>
  <si>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</si>
  <si>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</si>
  <si>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</si>
  <si>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</si>
  <si>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</si>
  <si>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</si>
  <si>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</si>
  <si>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</si>
  <si>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</si>
  <si>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</si>
  <si>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</si>
  <si>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</si>
  <si>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</si>
  <si>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</si>
  <si>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</si>
  <si>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</si>
  <si>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</si>
  <si>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</si>
  <si>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</si>
  <si>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</si>
  <si>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</si>
  <si>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</si>
  <si>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</si>
  <si>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</si>
  <si>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</si>
  <si>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</si>
  <si>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</si>
  <si>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</si>
  <si>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</si>
  <si>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</si>
  <si>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</si>
  <si>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</si>
  <si>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</si>
  <si>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</si>
  <si>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</si>
  <si>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</si>
  <si>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</si>
  <si>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</si>
  <si>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</si>
  <si>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</si>
  <si>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</si>
  <si>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</si>
  <si>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</si>
  <si>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</si>
  <si>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</si>
  <si>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</si>
  <si>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</si>
  <si>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</si>
  <si>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</si>
  <si>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</si>
  <si>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</si>
  <si>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</si>
  <si>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</si>
  <si>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</si>
  <si>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</si>
  <si>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</si>
  <si>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</si>
  <si>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</si>
  <si>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</si>
  <si>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</si>
  <si>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</si>
  <si>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</si>
  <si>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</si>
  <si>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</si>
  <si>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</si>
  <si>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</si>
  <si>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</si>
  <si>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</si>
  <si>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</si>
  <si>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</si>
  <si>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</si>
  <si>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</si>
  <si>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</si>
  <si>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</si>
  <si>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</si>
  <si>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</si>
  <si>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</si>
  <si>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</si>
  <si>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</si>
  <si>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</si>
  <si>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</si>
  <si>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</si>
  <si>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</si>
  <si>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</si>
  <si>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</si>
  <si>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</si>
  <si>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</si>
  <si>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</si>
  <si>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</si>
  <si>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</si>
  <si>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</si>
  <si>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</si>
  <si>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</si>
  <si>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</si>
  <si>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</si>
  <si>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</si>
  <si>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</si>
  <si>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</si>
  <si>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</si>
  <si>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</si>
  <si>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</si>
  <si>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</si>
  <si>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</si>
  <si>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</si>
  <si>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</si>
  <si>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</si>
  <si>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</si>
  <si>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</si>
  <si>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</si>
  <si>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</si>
  <si>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</si>
  <si>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</si>
  <si>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</si>
  <si>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</si>
  <si>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</si>
  <si>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</si>
  <si>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</si>
  <si>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</si>
  <si>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</si>
  <si>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</si>
  <si>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</si>
  <si>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</si>
  <si>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</si>
  <si>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</si>
  <si>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</si>
  <si>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</si>
  <si>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</si>
  <si>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</si>
  <si>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</si>
  <si>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</si>
  <si>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</si>
  <si>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</si>
  <si>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</si>
  <si>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</si>
  <si>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</si>
  <si>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</si>
  <si>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</si>
  <si>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</si>
  <si>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</si>
  <si>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</si>
  <si>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</si>
  <si>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</si>
  <si>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</si>
  <si>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</si>
  <si>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</si>
  <si>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</si>
  <si>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</si>
  <si>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</si>
  <si>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</si>
  <si>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</si>
  <si>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</si>
  <si>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</si>
  <si>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</si>
  <si>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</si>
  <si>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</si>
  <si>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</si>
  <si>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</si>
  <si>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</si>
  <si>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</si>
  <si>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</si>
  <si>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</si>
  <si>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</si>
  <si>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</si>
  <si>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</si>
  <si>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</si>
  <si>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</si>
  <si>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</si>
  <si>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</si>
  <si>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</si>
  <si>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</si>
  <si>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</si>
  <si>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</si>
  <si>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</si>
  <si>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</si>
  <si>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</si>
  <si>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</si>
  <si>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</si>
  <si>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</si>
  <si>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</si>
  <si>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</si>
  <si>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</si>
  <si>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</si>
  <si>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</si>
  <si>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</si>
  <si>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</si>
  <si>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</si>
  <si>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</si>
  <si>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</si>
  <si>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</si>
  <si>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</si>
  <si>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</si>
  <si>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</si>
  <si>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</si>
  <si>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</si>
  <si>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</si>
  <si>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</si>
  <si>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</si>
  <si>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</si>
  <si>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</si>
  <si>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</si>
  <si>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</si>
  <si>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</si>
  <si>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</si>
  <si>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</si>
  <si>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</si>
  <si>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</si>
  <si>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</si>
  <si>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</si>
  <si>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</si>
  <si>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</si>
  <si>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</si>
  <si>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</si>
  <si>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</si>
  <si>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</si>
  <si>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</si>
  <si>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</si>
  <si>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</si>
  <si>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</si>
  <si>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</si>
  <si>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</si>
  <si>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</si>
  <si>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</si>
  <si>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</si>
  <si>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</si>
  <si>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</si>
  <si>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</si>
  <si>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</si>
  <si>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</si>
  <si>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</si>
  <si>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</si>
  <si>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</si>
  <si>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</si>
  <si>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</si>
  <si>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</si>
  <si>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</si>
  <si>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</si>
  <si>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</si>
  <si>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</si>
  <si>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</si>
  <si>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</si>
  <si>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</si>
  <si>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</si>
  <si>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</si>
  <si>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</si>
  <si>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</si>
  <si>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</si>
  <si>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</si>
  <si>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</si>
  <si>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</si>
  <si>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</si>
  <si>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</si>
  <si>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</si>
  <si>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</si>
  <si>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</si>
  <si>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</si>
  <si>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</si>
  <si>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</si>
  <si>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</si>
  <si>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</si>
  <si>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</si>
  <si>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</si>
  <si>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</si>
  <si>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</si>
  <si>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</si>
  <si>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</si>
  <si>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</si>
  <si>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</si>
  <si>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</si>
  <si>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</si>
  <si>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</si>
  <si>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</si>
  <si>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</si>
  <si>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</si>
  <si>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</si>
  <si>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</si>
  <si>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</si>
  <si>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</si>
  <si>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</si>
  <si>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</si>
  <si>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</si>
  <si>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</si>
  <si>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</si>
  <si>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</si>
  <si>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</si>
  <si>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</si>
  <si>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</si>
  <si>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</si>
  <si>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</si>
  <si>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</si>
  <si>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</si>
  <si>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</si>
  <si>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</si>
  <si>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</si>
  <si>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</si>
  <si>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</si>
  <si>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</si>
  <si>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</si>
  <si>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</si>
  <si>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</si>
  <si>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</si>
  <si>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</si>
  <si>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</si>
  <si>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</si>
  <si>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</si>
  <si>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</si>
  <si>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</si>
  <si>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</si>
  <si>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</si>
  <si>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</si>
  <si>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</si>
  <si>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</si>
  <si>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</si>
  <si>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</si>
  <si>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</si>
  <si>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</si>
  <si>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</si>
  <si>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</si>
  <si>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</si>
  <si>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</si>
  <si>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</si>
  <si>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</si>
  <si>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</si>
  <si>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</si>
  <si>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</si>
  <si>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</si>
  <si>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</si>
  <si>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</si>
  <si>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</si>
  <si>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</si>
  <si>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</si>
  <si>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</si>
  <si>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</si>
  <si>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</si>
  <si>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</si>
  <si>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</si>
  <si>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</si>
  <si>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</si>
  <si>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</si>
  <si>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</si>
  <si>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</si>
  <si>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</si>
  <si>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</si>
  <si>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</si>
  <si>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</si>
  <si>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</si>
  <si>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</si>
  <si>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</si>
  <si>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</si>
  <si>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</si>
  <si>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</si>
  <si>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</si>
  <si>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</si>
  <si>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</si>
  <si>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</si>
  <si>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</si>
  <si>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</si>
  <si>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</si>
  <si>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</si>
  <si>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</si>
  <si>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</si>
  <si>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</si>
  <si>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</si>
  <si>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</si>
  <si>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</si>
  <si>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</si>
  <si>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</si>
  <si>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</si>
  <si>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</si>
  <si>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</si>
  <si>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</si>
  <si>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</si>
  <si>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</si>
  <si>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</si>
  <si>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</si>
  <si>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</si>
  <si>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</si>
  <si>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</si>
  <si>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</si>
  <si>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</si>
  <si>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</si>
  <si>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</si>
  <si>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</si>
  <si>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</si>
  <si>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</si>
  <si>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</si>
  <si>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</si>
  <si>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</si>
  <si>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</si>
  <si>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</si>
  <si>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</si>
  <si>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</si>
  <si>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</si>
  <si>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</si>
  <si>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</si>
  <si>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</si>
  <si>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</si>
  <si>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</si>
  <si>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</si>
  <si>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</si>
  <si>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</si>
  <si>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</si>
  <si>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</si>
  <si>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</si>
  <si>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</si>
  <si>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</si>
  <si>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</si>
  <si>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</si>
  <si>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</si>
  <si>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</si>
  <si>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</si>
  <si>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</si>
  <si>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</si>
  <si>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</si>
  <si>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</si>
  <si>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</si>
  <si>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</si>
  <si>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</si>
  <si>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</si>
  <si>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</si>
  <si>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</si>
  <si>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</si>
  <si>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</si>
  <si>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</si>
  <si>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</si>
  <si>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</si>
  <si>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</si>
  <si>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</si>
  <si>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</si>
  <si>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</si>
  <si>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</si>
  <si>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</si>
  <si>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</si>
  <si>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</si>
  <si>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</si>
  <si>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</si>
  <si>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</si>
  <si>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</si>
  <si>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</si>
  <si>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</si>
  <si>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</si>
  <si>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</si>
  <si>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</si>
  <si>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</si>
  <si>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</si>
  <si>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</si>
  <si>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</si>
  <si>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</si>
  <si>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</si>
  <si>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</si>
  <si>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</si>
  <si>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</si>
  <si>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</si>
  <si>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</si>
  <si>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</si>
  <si>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</si>
  <si>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</si>
  <si>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</si>
  <si>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</si>
  <si>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</si>
  <si>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</si>
  <si>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</si>
  <si>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</si>
  <si>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</si>
  <si>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</si>
  <si>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</si>
  <si>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</si>
  <si>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</si>
  <si>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</si>
  <si>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</si>
  <si>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</si>
  <si>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</si>
  <si>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</si>
  <si>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</si>
  <si>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</si>
  <si>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</si>
  <si>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</si>
  <si>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</si>
  <si>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</si>
  <si>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</si>
  <si>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</si>
  <si>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</si>
  <si>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</si>
  <si>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</si>
  <si>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</si>
  <si>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</si>
  <si>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</si>
  <si>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</si>
  <si>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</si>
  <si>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</si>
  <si>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</si>
  <si>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</si>
  <si>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</si>
  <si>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</si>
  <si>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</si>
  <si>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</si>
  <si>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</si>
  <si>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</si>
  <si>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</si>
  <si>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</si>
  <si>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</si>
  <si>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</si>
  <si>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</si>
  <si>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</si>
  <si>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</si>
  <si>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</si>
  <si>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</si>
  <si>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</si>
  <si>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</si>
  <si>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</si>
  <si>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</si>
  <si>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</si>
  <si>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</si>
  <si>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</si>
  <si>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</si>
  <si>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</si>
  <si>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</si>
  <si>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</si>
  <si>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</si>
  <si>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</si>
  <si>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</si>
  <si>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</si>
  <si>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</si>
  <si>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</si>
  <si>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</si>
  <si>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</si>
  <si>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</si>
  <si>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</si>
  <si>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</si>
  <si>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</si>
  <si>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</si>
  <si>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</si>
  <si>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</si>
  <si>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</si>
  <si>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</si>
  <si>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</si>
  <si>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</si>
  <si>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</si>
  <si>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</si>
  <si>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</si>
  <si>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</si>
  <si>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</si>
  <si>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</si>
  <si>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</si>
  <si>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</si>
  <si>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</si>
  <si>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</si>
  <si>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</si>
  <si>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</si>
  <si>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</si>
  <si>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</si>
  <si>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</si>
  <si>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</si>
  <si>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</si>
  <si>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</si>
  <si>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</si>
  <si>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</si>
  <si>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</si>
  <si>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</si>
  <si>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</si>
  <si>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</si>
  <si>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</si>
  <si>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</si>
  <si>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</si>
  <si>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</si>
  <si>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</si>
  <si>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</si>
  <si>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</si>
  <si>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</si>
  <si>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</si>
  <si>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</si>
  <si>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</si>
  <si>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</si>
  <si>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</si>
  <si>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</si>
  <si>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</si>
  <si>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</si>
  <si>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</si>
  <si>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</si>
  <si>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</si>
  <si>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</si>
  <si>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</si>
  <si>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</si>
  <si>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</si>
  <si>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</si>
  <si>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</si>
  <si>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</si>
  <si>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</si>
  <si>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</si>
  <si>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</si>
  <si>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</si>
  <si>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</si>
  <si>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</si>
  <si>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</si>
  <si>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</si>
  <si>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</si>
  <si>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</si>
  <si>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</si>
  <si>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</si>
  <si>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</si>
  <si>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</si>
  <si>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</si>
  <si>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</si>
  <si>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</si>
  <si>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</si>
  <si>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</si>
  <si>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</si>
  <si>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</si>
  <si>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</si>
  <si>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</si>
  <si>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</si>
  <si>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</si>
  <si>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</si>
  <si>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</si>
  <si>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</si>
  <si>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</si>
  <si>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</si>
  <si>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</si>
  <si>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</si>
  <si>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</si>
  <si>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</si>
  <si>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</si>
  <si>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</si>
  <si>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</si>
  <si>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</si>
  <si>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</si>
  <si>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</si>
  <si>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</si>
  <si>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</si>
  <si>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</si>
  <si>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</si>
  <si>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</si>
  <si>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</si>
  <si>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</si>
  <si>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</si>
  <si>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</si>
  <si>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</si>
  <si>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</si>
  <si>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</si>
  <si>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</si>
  <si>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</si>
  <si>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</si>
  <si>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</si>
  <si>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</si>
  <si>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</si>
  <si>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</si>
  <si>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</si>
  <si>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</si>
  <si>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</si>
  <si>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</si>
  <si>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</si>
  <si>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</si>
  <si>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</si>
  <si>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</si>
  <si>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</si>
  <si>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</si>
  <si>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</si>
  <si>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</si>
  <si>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</si>
  <si>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</si>
  <si>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</si>
  <si>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</si>
  <si>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</si>
  <si>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</si>
  <si>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</si>
  <si>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</si>
  <si>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</si>
  <si>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</si>
  <si>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</si>
  <si>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</si>
  <si>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</si>
  <si>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</si>
  <si>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</si>
  <si>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</si>
  <si>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</si>
  <si>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</si>
  <si>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</si>
  <si>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</si>
  <si>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</si>
  <si>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</si>
  <si>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</si>
  <si>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</si>
  <si>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</si>
  <si>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</si>
  <si>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</si>
  <si>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</si>
  <si>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</si>
  <si>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</si>
  <si>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</si>
  <si>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</si>
  <si>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</si>
  <si>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</si>
  <si>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</si>
  <si>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</si>
  <si>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</si>
  <si>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</si>
  <si>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</si>
  <si>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</si>
  <si>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</si>
  <si>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</si>
  <si>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</si>
  <si>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</si>
  <si>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</si>
  <si>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</si>
  <si>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</si>
  <si>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</si>
  <si>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</si>
  <si>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</si>
  <si>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</si>
  <si>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</si>
  <si>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</si>
  <si>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</si>
  <si>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</si>
  <si>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</si>
  <si>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</si>
  <si>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</si>
  <si>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</si>
  <si>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</si>
  <si>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</si>
  <si>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</si>
  <si>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</si>
  <si>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</si>
  <si>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</si>
  <si>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</si>
  <si>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</si>
  <si>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</si>
  <si>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</si>
  <si>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</si>
  <si>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</si>
  <si>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</si>
  <si>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</si>
  <si>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</si>
  <si>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</si>
  <si>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</si>
  <si>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</si>
  <si>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</si>
  <si>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</si>
  <si>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</si>
  <si>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</si>
  <si>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</si>
  <si>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</si>
  <si>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</si>
  <si>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</si>
  <si>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</si>
  <si>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</si>
  <si>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</si>
  <si>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</si>
  <si>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</si>
  <si>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</si>
  <si>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</si>
  <si>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</si>
  <si>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</si>
  <si>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</si>
  <si>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</si>
  <si>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</si>
  <si>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</si>
  <si>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</si>
  <si>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</si>
  <si>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</si>
  <si>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</si>
  <si>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</si>
  <si>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</si>
  <si>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</si>
  <si>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</si>
  <si>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</si>
  <si>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</si>
  <si>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</si>
  <si>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</si>
  <si>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</si>
  <si>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</si>
  <si>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</si>
  <si>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</si>
  <si>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</si>
  <si>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</si>
  <si>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</si>
  <si>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</si>
  <si>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</si>
  <si>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</si>
  <si>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</si>
  <si>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</si>
  <si>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</si>
  <si>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</si>
  <si>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</si>
  <si>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</si>
  <si>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</si>
  <si>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</si>
  <si>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</si>
  <si>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</si>
  <si>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</si>
  <si>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</si>
  <si>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</si>
  <si>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</si>
  <si>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</si>
  <si>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</si>
  <si>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</si>
  <si>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</si>
  <si>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</si>
  <si>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</si>
  <si>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</si>
  <si>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</si>
  <si>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</si>
  <si>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</si>
  <si>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</si>
  <si>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</si>
  <si>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</si>
  <si>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</si>
  <si>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</si>
  <si>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</si>
  <si>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</si>
  <si>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</si>
  <si>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</si>
  <si>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</si>
  <si>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</si>
  <si>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</si>
  <si>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</si>
  <si>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</si>
  <si>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</si>
  <si>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</si>
  <si>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</si>
  <si>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</si>
  <si>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</si>
  <si>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</si>
  <si>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</si>
  <si>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</si>
  <si>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</si>
  <si>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</si>
  <si>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</si>
  <si>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</si>
  <si>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</si>
  <si>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</si>
  <si>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</si>
  <si>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</si>
  <si>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</si>
  <si>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</si>
  <si>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</si>
  <si>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</si>
  <si>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</si>
  <si>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</si>
  <si>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</si>
  <si>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</si>
  <si>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</si>
  <si>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</si>
  <si>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</si>
  <si>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</si>
  <si>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</si>
  <si>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</si>
  <si>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</si>
  <si>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</si>
  <si>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</si>
  <si>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</si>
  <si>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</si>
  <si>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</si>
  <si>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</si>
  <si>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</si>
  <si>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</si>
  <si>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</si>
  <si>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</si>
  <si>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</si>
  <si>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</si>
  <si>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</si>
  <si>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</si>
  <si>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</si>
  <si>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</si>
  <si>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</si>
  <si>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</si>
  <si>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</si>
  <si>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</si>
  <si>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</si>
  <si>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</si>
  <si>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</si>
  <si>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</si>
  <si>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</si>
  <si>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</si>
  <si>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</si>
  <si>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</si>
  <si>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</si>
  <si>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</si>
  <si>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</si>
  <si>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</si>
  <si>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</si>
  <si>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</si>
  <si>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</si>
  <si>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</si>
  <si>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</si>
  <si>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</si>
  <si>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</si>
  <si>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</si>
  <si>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</si>
  <si>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</si>
  <si>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</si>
  <si>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</si>
  <si>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</si>
  <si>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</si>
  <si>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</si>
  <si>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</si>
  <si>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</si>
  <si>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</si>
  <si>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</si>
  <si>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</si>
  <si>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</si>
  <si>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</si>
  <si>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</si>
  <si>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</si>
  <si>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</si>
  <si>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</si>
  <si>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</si>
  <si>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</si>
  <si>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</si>
  <si>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</si>
  <si>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</si>
  <si>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</si>
  <si>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</si>
  <si>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</si>
  <si>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</si>
  <si>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</si>
  <si>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</si>
  <si>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</si>
  <si>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</si>
  <si>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</si>
  <si>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</si>
  <si>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</si>
  <si>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</si>
  <si>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</si>
  <si>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</si>
  <si>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</si>
  <si>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</si>
  <si>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</si>
  <si>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</si>
  <si>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</si>
  <si>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</si>
  <si>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</si>
  <si>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</si>
  <si>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</si>
  <si>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</si>
  <si>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</si>
  <si>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</si>
  <si>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</si>
  <si>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</si>
  <si>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</si>
  <si>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</si>
  <si>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</si>
  <si>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</si>
  <si>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</si>
  <si>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</si>
  <si>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</si>
  <si>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</si>
  <si>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</si>
  <si>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</si>
  <si>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</si>
  <si>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</si>
  <si>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</si>
  <si>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</si>
  <si>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</si>
  <si>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</si>
  <si>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</si>
  <si>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</si>
  <si>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</si>
  <si>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</si>
  <si>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</si>
  <si>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</si>
  <si>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</si>
  <si>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</si>
  <si>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</si>
  <si>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</si>
  <si>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</si>
  <si>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</si>
  <si>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</si>
  <si>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</si>
  <si>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</si>
  <si>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</si>
  <si>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</si>
  <si>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</si>
  <si>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</si>
  <si>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</si>
  <si>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</si>
  <si>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</si>
  <si>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</si>
  <si>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</si>
  <si>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</si>
  <si>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</si>
  <si>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</si>
  <si>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</si>
  <si>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</si>
  <si>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49-081-8650-60</t>
  </si>
  <si>
    <t>Rock Island</t>
  </si>
  <si>
    <t>Black Hawk Area Special Education District No. 865</t>
  </si>
  <si>
    <t>4670 11th Street</t>
  </si>
  <si>
    <t>East Moline, Illinois</t>
  </si>
  <si>
    <t>cschrader@bhased.org</t>
  </si>
  <si>
    <t>Russell J. Rumbold, CPA</t>
  </si>
  <si>
    <t>rrumbold@gorenzcpa.com</t>
  </si>
  <si>
    <t>Christan Schrader</t>
  </si>
  <si>
    <t>309-796-2500</t>
  </si>
  <si>
    <t>309-796-2911</t>
  </si>
  <si>
    <t>Black Hawk Area SEJA #865</t>
  </si>
  <si>
    <t>Mass Mutual, BCBS, Dearborn</t>
  </si>
  <si>
    <t>Illinois Energy Consortium, Mid American, Constellation</t>
  </si>
  <si>
    <t>United Township High School #30</t>
  </si>
  <si>
    <t>Curb Appeal, Countryman Landscaping</t>
  </si>
  <si>
    <t>WCSIT &amp; ISDA</t>
  </si>
  <si>
    <t>PMA Financial Network</t>
  </si>
  <si>
    <t>Franczek Radelet, P.C.</t>
  </si>
  <si>
    <t>Rock Island ROE #49</t>
  </si>
  <si>
    <t>Net Linux, LLC</t>
  </si>
  <si>
    <t>United Township High School #30, Johannes Bus</t>
  </si>
  <si>
    <t>2018-001</t>
  </si>
  <si>
    <t>2018-002</t>
  </si>
  <si>
    <t>2018-003</t>
  </si>
  <si>
    <t>2018-004</t>
  </si>
  <si>
    <t>2018-005</t>
  </si>
  <si>
    <t>2018-006</t>
  </si>
  <si>
    <t>Lack of Segregation of Duties</t>
  </si>
  <si>
    <t>IDEA Flow-through - expense overstated</t>
  </si>
  <si>
    <t>IDEA Flow-through - benefit expenditures claimed more than salary expenditures allocated to grant</t>
  </si>
  <si>
    <t>IDEA Flow-through - FY17 wages/benefits reported in CY; FY18 wages/benefits incurred not reported</t>
  </si>
  <si>
    <t>IDEA Flow-through - Expenses overstated and obligations understated</t>
  </si>
  <si>
    <t>Special Education Flow-through - Benefit expenses overstated</t>
  </si>
  <si>
    <t>Crawford Company</t>
  </si>
  <si>
    <r>
      <rPr>
        <b/>
        <sz val="9"/>
        <rFont val="Calibri"/>
        <family val="2"/>
        <scheme val="minor"/>
      </rPr>
      <t>**</t>
    </r>
    <r>
      <rPr>
        <sz val="9"/>
        <rFont val="Calibri"/>
        <family val="2"/>
        <scheme val="minor"/>
      </rPr>
      <t xml:space="preserve"> The amount reported here should match the value reported for non-cash Commodities on the Indirect Cost Rate Computation page.</t>
    </r>
  </si>
  <si>
    <t>Note 7:  Federal Flow Through Receipts</t>
  </si>
  <si>
    <t>Medicaid Administrative Outreach - CFDA 93.778</t>
  </si>
  <si>
    <t>Federal Sp. Ed.  - Preschool Incentive Grant - CFDA 84.173 - Deferred</t>
  </si>
  <si>
    <t>Federal Sp. Ed.  - Preschool Incentive Grant - CFDA 84.173 - Accrued</t>
  </si>
  <si>
    <t>IDEA, Part B Flow-through - CFDA 84.027 - Deferred</t>
  </si>
  <si>
    <t>IDEA, Part B Flow-through - CFDA 84.027 - Accrued</t>
  </si>
  <si>
    <t>School Breakfast Program - CFDA 10.553 - Accrued</t>
  </si>
  <si>
    <t>June 30, 2019</t>
  </si>
  <si>
    <t>June 30, 2018</t>
  </si>
  <si>
    <t>The Special Education District had the following accrued (deferred) federal grant revenue:</t>
  </si>
  <si>
    <t>Note 6:  Accrued (Deferred) Federal Grant Revenue</t>
  </si>
  <si>
    <r>
      <t xml:space="preserve">The following amounts were expended in the form of non-cash assistance by </t>
    </r>
    <r>
      <rPr>
        <b/>
        <sz val="9"/>
        <rFont val="Calibri"/>
        <family val="2"/>
        <scheme val="minor"/>
      </rPr>
      <t>Black Hawk Area Special Education District No. 865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</si>
  <si>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IDEA, Part B Flow-through - See attached Schedule of Federal Awards</t>
  </si>
  <si>
    <r>
      <t xml:space="preserve">Of the federal expenditures presented in the schedule, </t>
    </r>
    <r>
      <rPr>
        <b/>
        <sz val="9"/>
        <rFont val="Calibri"/>
        <family val="2"/>
        <scheme val="minor"/>
      </rPr>
      <t>Black Hawk Area Special Education District No. 865</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</si>
  <si>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Black Hawk Area Special Education District No. 865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</si>
  <si>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Special Education (IDEA) Cluster</t>
  </si>
  <si>
    <t>84.027 &amp; 84.173</t>
  </si>
  <si>
    <t>Unmodified</t>
  </si>
  <si>
    <t>Currently, the Special Education District relies on management oversight and budgetary controls to help mitigate the affects of a limited number of accounting personnel. The Special Education District reviews the internal control system annually and when the benefits of hiring additional personnel can be realized on a cost effective basis, the Special Education District will pursue this option.</t>
  </si>
  <si>
    <t>Segregation of duties is normally difficult to accomplish within a small number of accounting staff.  The Special Education District should consider improvements that could be implemented/improved including, but not limited to, hiring additional accounting staff and a Treasurer independent of the Special Education District.</t>
  </si>
  <si>
    <t>A limited number of accounting staff precludes adequate segregation of duties.  The Treasurer being an employee of the Special Education District eliminates the internal control benefits of the Treasurer's position.</t>
  </si>
  <si>
    <t>Certain individuals have the ability to complete and record accounting functions which ideally would be segregated.  The internal controls are diminished when the Treasurer is employed by the Special Education District as the Business Manager.</t>
  </si>
  <si>
    <t>Most of the Special Education District accounting and financial records are maintained by three individuals. The Business Manager is also the Treasurer of the Special Education District.</t>
  </si>
  <si>
    <t>Three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The Treasurer of the Special Education District is also employed by the Special Education District as Business Manager.</t>
  </si>
  <si>
    <t>Internal controls are designed to allow management or employees, in the normal course of performing their assigned functions, to prevent or detect misstatements and safeguard assets.  A concept in a good system of internal control is adequate segregation of duties.</t>
  </si>
  <si>
    <t>Disposition of Questioned Costs Code Letter</t>
  </si>
  <si>
    <t xml:space="preserve">Initials: </t>
  </si>
  <si>
    <t>Resolution Criteria Code Number</t>
  </si>
  <si>
    <t xml:space="preserve">Date:   </t>
  </si>
  <si>
    <t>For ISBE Review</t>
  </si>
  <si>
    <t>U.S. Department of Education</t>
  </si>
  <si>
    <t>Illinois State Board of Education</t>
  </si>
  <si>
    <t>19-4620-00</t>
  </si>
  <si>
    <r>
      <t>21</t>
    </r>
    <r>
      <rPr>
        <sz val="8"/>
        <rFont val="Arial"/>
        <family val="2"/>
      </rPr>
      <t xml:space="preserve">  Must address </t>
    </r>
    <r>
      <rPr>
        <b/>
        <sz val="8"/>
        <rFont val="Arial"/>
        <family val="2"/>
      </rPr>
      <t>each</t>
    </r>
    <r>
      <rPr>
        <sz val="8"/>
        <rFont val="Arial"/>
        <family val="2"/>
      </rPr>
      <t xml:space="preserve"> audit finding  - §200.511 ( c)</t>
    </r>
  </si>
  <si>
    <t>It is not anticipated that changes will be made in job assignments during the next fiscal year.</t>
  </si>
  <si>
    <t>Management Response:</t>
  </si>
  <si>
    <t>Christan Schrader, Director</t>
  </si>
  <si>
    <t>Name of Contact Person:</t>
  </si>
  <si>
    <t>June 30, 2020</t>
  </si>
  <si>
    <t>Anticipated Date of Completion:</t>
  </si>
  <si>
    <t>The Governing Board and Director will review the internal control structure on an annual basis and will pursue the option of hiring additional office staff when it is both cost-effective and economically feasible.</t>
  </si>
  <si>
    <t>Plan:</t>
  </si>
  <si>
    <t>The Business Manager is also the Special Education District Treasurer.</t>
  </si>
  <si>
    <t>Condition:</t>
  </si>
  <si>
    <t>Finding No.:</t>
  </si>
  <si>
    <t>Corrective Action Plan</t>
  </si>
  <si>
    <r>
      <t>CORRECTIVE ACTION PLAN FOR CURRENT YEAR AUDIT FINDINGS</t>
    </r>
    <r>
      <rPr>
        <b/>
        <vertAlign val="superscript"/>
        <sz val="9"/>
        <rFont val="Arial"/>
        <family val="2"/>
      </rPr>
      <t>21</t>
    </r>
  </si>
  <si>
    <t>This was an oversight and will be corrected.</t>
  </si>
  <si>
    <t>Unresolved - See Finding 2019-001</t>
  </si>
  <si>
    <t>Corrective action taken</t>
  </si>
  <si>
    <t>Partial Correction</t>
  </si>
  <si>
    <t>Unresolved</t>
  </si>
  <si>
    <t>The total federal flow through receipts in the statement of revenues includes $1,152,955 of Medicaid fee for service that was paid to member districts. The remaining $5,187,642 of federal flow through receipts was IDEA, Part B Flow-through paid to member districts.</t>
  </si>
  <si>
    <t>Total Federal Expenditures for 7/1/18-6/30/19</t>
  </si>
  <si>
    <t>The Special Education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Also, according to Uniform Guidance, Title 2 CFR 200.309, A non-federal entity may charge to the Federal award only allowable costs incurred during the period of performance.</t>
  </si>
  <si>
    <t>The District has included on the final expenditure report wages and benefits that relate to a previous year's grant
program.</t>
  </si>
  <si>
    <t xml:space="preserve">Final grant expenditure reports have been overstate by salaries and benefits incurred prior to the period of performance. </t>
  </si>
  <si>
    <t xml:space="preserve">Salary and benefits that had been incurred, but not obligated or claimed in the prior grant year, were claimed on the current year grant expenditure report. </t>
  </si>
  <si>
    <t>2019 - IDEA, Part B Flow-Through</t>
  </si>
  <si>
    <t>2019 - Fed.- Sp. Ed.- Pre-School Flow-Through</t>
  </si>
  <si>
    <t>19-4600-00</t>
  </si>
  <si>
    <t>The Special Education District's expenditure report filed for June 30, 2019 included accrued flow through payments to sub-grantees.  These amounts were not reported as obligated.</t>
  </si>
  <si>
    <t>None</t>
  </si>
  <si>
    <t>Expenditures have been overstated and obligations have been understated on the June 30, 2019 expenditure report.</t>
  </si>
  <si>
    <t>Grant expenditure reports should be prepared on the cash basis and obligations reported.  The liquidation of the obligations should be reported on subsequent liquidation reports.</t>
  </si>
  <si>
    <t xml:space="preserve">We recommend that management establish internal controls related to the subrecipient monitoring requirements and document review of subrecipient audits and any applicable findings related to federal subgrants. </t>
  </si>
  <si>
    <t xml:space="preserve">Noncompliance with the federal award program's subrecipient monitoring requirements could occur and not be detected and corrected in a timely manner. </t>
  </si>
  <si>
    <t>The Special Education District believes that these expenditures are qualified expenditures as they had not been claimed on the prior year grant. The Special Education District has made corrections so that current year obligations have been claimed correctly moving forward.</t>
  </si>
  <si>
    <t xml:space="preserve">The June 30, 2019 expenditure report was filed understating obligations and overstating cash basis expenditures by the amount of the accrued flow through sub-grantee payments.  Expenditures were later liquidated and the final expenditure claim is correct for flow through sub-grantee payments.  There is no effect to the SEFA as the SEFA is prepared on the modified accrual basis of accounting and includes the expenditures. </t>
  </si>
  <si>
    <t>Grant expenditures reported on the final June 30, 2019 expenditure report included accrued sub-grantee payments that should have been reported as obligated and not included with cash basis expenditures.</t>
  </si>
  <si>
    <t xml:space="preserve">Grant expenditures are to be reported on a cash basis on the grant expenditure reports and any liabilities for which funds are committed prior to the end of the reporting period and are expected to be paid within 90 days are to be reported as obligations. The Special Education District is required to report grant expenditures in accordance with the Illinois State Board of Education State and Federal Grant Administration Policy and Fiscal Requirements and Procedures and the ISBE Illinois Program Account Manual, which is consistent with the provisions of the Uniform Guidance. </t>
  </si>
  <si>
    <t xml:space="preserve">The Special Education District will take the auditor's recommendation under consideration. </t>
  </si>
  <si>
    <t xml:space="preserve">The Special Education District  does not monitor subrecipient audited financial statements. </t>
  </si>
  <si>
    <t xml:space="preserve">The Special Education District does not have internal controls in place to monitor and review subrecipient financial statements. </t>
  </si>
  <si>
    <t xml:space="preserve">The Special Education District will review its internal controls in place for subrecipient monitoring. </t>
  </si>
  <si>
    <t>The Special Education District does not have controls or procedures to review subrecipient audit financials.</t>
  </si>
  <si>
    <t>Only grant expenditures incurred during the grant period will be reported on the current year grant.</t>
  </si>
  <si>
    <t xml:space="preserve">The District has included on the final expenditure report wages and benefits that relate to a previous year's grant
program. </t>
  </si>
  <si>
    <t>Management believes that these expenditures are qualified expenditures as they had not been claimed on the prior year grant. The Special Education District has made corrections so that current year obligations have been claimed correctly moving forward.</t>
  </si>
  <si>
    <t xml:space="preserve">Obligations will be properly reported when occurred and liquidated as paid. </t>
  </si>
  <si>
    <t>Grant expenditures reported on the June 30, 2019 expenditure report included accrued sub-grantee payments that should have been reported as obligated and not included with cash basis expenditures.</t>
  </si>
  <si>
    <t>The Special Education District will take the Auditor's suggestions under consideration.</t>
  </si>
  <si>
    <t xml:space="preserve">Establish internal controls related to the subrecipient monitoring requirements and document review of subrecipient audits and any applicable findings related to federal subgrants. </t>
  </si>
  <si>
    <t>According to Uniform Guidance, Title 2 CFR 200.516, the Special Education District is required to maintain internal control over Federal programs that provide reasonable assurance that the Auditee is managing Federal awards in compliance with laws, regulations, and the provisions of contracts or grant agreements that could have a material effect on each of its Federal programs. Per Title 2 CFR 200.331, pass-through entities  are required to monitor the activities of the subrecipient as necessary to ensure that the subaward is used for authorized purposes, in compliance with Federal statutes, regulations, and the terms of conditions of the subaward through means such as ensuring required audits are performed, issue management decisions on audit findings of the subrecipient's audit report, ensure that subrecipients took appropriate and timely corrective action on all audit findings.</t>
  </si>
  <si>
    <t>Expenditure reports have been completed inaccurately using expenditures incurred prior to the period of performance.</t>
  </si>
  <si>
    <t xml:space="preserve">Grant expenditures should be charged to the grant only when incurred during the grant period of performance. </t>
  </si>
  <si>
    <t xml:space="preserve"> Nonmonetary assistance is reported in the schedule at the fair market value of the commodities received and disbursed.</t>
  </si>
  <si>
    <t>(2)</t>
  </si>
  <si>
    <t xml:space="preserve"> Project not complete as of June 30, 2019</t>
  </si>
  <si>
    <t>(1)</t>
  </si>
  <si>
    <t xml:space="preserve"> Indicates Major Federal Financial Assistance Program.</t>
  </si>
  <si>
    <t>(M)</t>
  </si>
  <si>
    <t>Total Federal Awards</t>
  </si>
  <si>
    <t>Total Federal Awards Passed Through Other Entities</t>
  </si>
  <si>
    <t>Total Illinois State Board of Education Funding</t>
  </si>
  <si>
    <t>Total for CFDA 93.778</t>
  </si>
  <si>
    <t>Pass-through Programs</t>
  </si>
  <si>
    <t>Total U.S. Department of Health and Human Services</t>
  </si>
  <si>
    <t>n/a</t>
  </si>
  <si>
    <t>19-4991-00</t>
  </si>
  <si>
    <t>Medicaid Administrative Outreach</t>
  </si>
  <si>
    <t>18-4991-00</t>
  </si>
  <si>
    <t>16-4991-00</t>
  </si>
  <si>
    <t xml:space="preserve">   Pass-through program from Illinois Department of Healthcare and Family Services</t>
  </si>
  <si>
    <t xml:space="preserve">U.S. Department of Health and Human Services - </t>
  </si>
  <si>
    <t>Total for CFDA 84.419B</t>
  </si>
  <si>
    <t>Pass-through programs</t>
  </si>
  <si>
    <t xml:space="preserve">Total U.S. Department of Education -  </t>
  </si>
  <si>
    <r>
      <t xml:space="preserve">  </t>
    </r>
    <r>
      <rPr>
        <b/>
        <sz val="10"/>
        <rFont val="Garamond"/>
        <family val="1"/>
      </rPr>
      <t>Total Illinois Department of Human Services Funding</t>
    </r>
  </si>
  <si>
    <t>46CVF00129</t>
  </si>
  <si>
    <t>Transition Specialist Program</t>
  </si>
  <si>
    <t>46CVF00128</t>
  </si>
  <si>
    <t>Secondary Transitional Experience Program (STEP)</t>
  </si>
  <si>
    <t>46CVF00396</t>
  </si>
  <si>
    <t>Youth Advocacy Project</t>
  </si>
  <si>
    <t>46CUD00129</t>
  </si>
  <si>
    <t>46CUD00128</t>
  </si>
  <si>
    <t>46CUD00396</t>
  </si>
  <si>
    <t>Youth Initiative Project</t>
  </si>
  <si>
    <t>Division of Rehabilitative Services - See Note #2</t>
  </si>
  <si>
    <t xml:space="preserve">   Pass-through program from Illinois Department of Human Services</t>
  </si>
  <si>
    <t xml:space="preserve">  </t>
  </si>
  <si>
    <t>19-4902-00</t>
  </si>
  <si>
    <t>84.419B</t>
  </si>
  <si>
    <t>Preschool Development Grant - Expansion Grant</t>
  </si>
  <si>
    <t>18-4902-00</t>
  </si>
  <si>
    <t>Regional Office of Education</t>
  </si>
  <si>
    <t xml:space="preserve">Pass-through program from Rock Island County </t>
  </si>
  <si>
    <t>Total Special Education Cluster</t>
  </si>
  <si>
    <t>Total for CFDA 84.027</t>
  </si>
  <si>
    <t>84.027</t>
  </si>
  <si>
    <t>ARRA - IDEA, Part B Flow-through</t>
  </si>
  <si>
    <t>Total Flow-through Funding</t>
  </si>
  <si>
    <t>Moline School District No. 40</t>
  </si>
  <si>
    <t>Rock Island School District No. 41</t>
  </si>
  <si>
    <t>Mercer County District No. 404</t>
  </si>
  <si>
    <t>United Township High School District No. 30</t>
  </si>
  <si>
    <t>Silvis School District No. 34</t>
  </si>
  <si>
    <t>Sherrard School District No. 200</t>
  </si>
  <si>
    <t>Rockridge School District No. 300</t>
  </si>
  <si>
    <t>Riverdale School District No. 100</t>
  </si>
  <si>
    <t>Orion School District No. 223</t>
  </si>
  <si>
    <t>Hampton School District No. 29</t>
  </si>
  <si>
    <t>East Moline School District No. 37</t>
  </si>
  <si>
    <t>Colona School District #190</t>
  </si>
  <si>
    <t>Carbon Cliff-Barstow District No. 36</t>
  </si>
  <si>
    <t>Alwood School District No. 225</t>
  </si>
  <si>
    <t xml:space="preserve">  Flow-through Funding Distributed to:</t>
  </si>
  <si>
    <t>11-4857-00</t>
  </si>
  <si>
    <t>84.391A</t>
  </si>
  <si>
    <t>IDEA, Part B Flow-through</t>
  </si>
  <si>
    <t>17-4630-00</t>
  </si>
  <si>
    <t>84.027A</t>
  </si>
  <si>
    <t>IDEA, Discretionary</t>
  </si>
  <si>
    <t>16-4630-00</t>
  </si>
  <si>
    <t>Total - IDEA, Part B Flow-through</t>
  </si>
  <si>
    <t xml:space="preserve">  Total Flow-through Funding</t>
  </si>
  <si>
    <t xml:space="preserve">  Flow-through Funding - Distributed to:</t>
  </si>
  <si>
    <t>Colona School District No. 190</t>
  </si>
  <si>
    <t>18-4620-00</t>
  </si>
  <si>
    <t>Total for CFDA 84.173</t>
  </si>
  <si>
    <t>Total Sp. Ed. - Pre-School Flow-through</t>
  </si>
  <si>
    <t>0</t>
  </si>
  <si>
    <t>84.173</t>
  </si>
  <si>
    <t>Fed.- Sp. Ed.- Pre-School Flow-through</t>
  </si>
  <si>
    <t>18-4600-00</t>
  </si>
  <si>
    <t>05-4600-00</t>
  </si>
  <si>
    <t>Total - Sp. Ed. - Pre-School Incentive Grant</t>
  </si>
  <si>
    <t xml:space="preserve">    Moline School District No. 40</t>
  </si>
  <si>
    <t xml:space="preserve">    Rock Island School District No. 41</t>
  </si>
  <si>
    <t xml:space="preserve">    Westmer School District No. 203</t>
  </si>
  <si>
    <t xml:space="preserve">    Silvis School District No. 34</t>
  </si>
  <si>
    <t xml:space="preserve">    Sherrard School District No. 200</t>
  </si>
  <si>
    <t xml:space="preserve">    Rockridge School District No. 300</t>
  </si>
  <si>
    <t xml:space="preserve">    Riverdale School District No. 100</t>
  </si>
  <si>
    <t xml:space="preserve">    Orion School District No. 223</t>
  </si>
  <si>
    <t xml:space="preserve">    East Moline School District No. 37</t>
  </si>
  <si>
    <t xml:space="preserve">    Alwood School District No. 225</t>
  </si>
  <si>
    <t xml:space="preserve">    Aledo School District No. 201</t>
  </si>
  <si>
    <t xml:space="preserve">  Flow-through Funding (Revenue Account No. 2200) Distributed to:</t>
  </si>
  <si>
    <t>Fed. Sp. Ed.- Pre-School Incentive Grant</t>
  </si>
  <si>
    <t xml:space="preserve">   Pass-through program from Illinois State Board of Education</t>
  </si>
  <si>
    <t xml:space="preserve">U.S. Department of Education - </t>
  </si>
  <si>
    <t>Total U.S. Department of Agriculture - Pass-through programs</t>
  </si>
  <si>
    <t>10.579</t>
  </si>
  <si>
    <t>NSLP Equipment Assistance Grant</t>
  </si>
  <si>
    <t>Total Child Nutrition Cluster</t>
  </si>
  <si>
    <t>Total for CFDA 10.555</t>
  </si>
  <si>
    <t>FY 2019</t>
  </si>
  <si>
    <t>10.555</t>
  </si>
  <si>
    <t>Food Donation (2)</t>
  </si>
  <si>
    <t>FY 2018</t>
  </si>
  <si>
    <t>Fruits and Vegetables (2)</t>
  </si>
  <si>
    <t xml:space="preserve">Department of Defense - </t>
  </si>
  <si>
    <t>19-4210-00</t>
  </si>
  <si>
    <t>National school Lunch Program</t>
  </si>
  <si>
    <t>18-4210-00</t>
  </si>
  <si>
    <t>Total for CFDA 10.553</t>
  </si>
  <si>
    <t>19-4220-00</t>
  </si>
  <si>
    <t>10.553</t>
  </si>
  <si>
    <t>18-4220-00</t>
  </si>
  <si>
    <t xml:space="preserve">   Illinois State Board of Education</t>
  </si>
  <si>
    <t xml:space="preserve">   Pass-through program from </t>
  </si>
  <si>
    <t xml:space="preserve">U.S. Department of Agriculture - </t>
  </si>
  <si>
    <t xml:space="preserve">         (I)         </t>
  </si>
  <si>
    <t xml:space="preserve">         (H)         </t>
  </si>
  <si>
    <t xml:space="preserve">         (G)         </t>
  </si>
  <si>
    <t xml:space="preserve">   Subrecipients    </t>
  </si>
  <si>
    <t xml:space="preserve">         (F)         </t>
  </si>
  <si>
    <t xml:space="preserve">         (E)         </t>
  </si>
  <si>
    <t xml:space="preserve">         (D)         </t>
  </si>
  <si>
    <t xml:space="preserve">         (C)         </t>
  </si>
  <si>
    <t xml:space="preserve">         (B)         </t>
  </si>
  <si>
    <t xml:space="preserve">        (A)        </t>
  </si>
  <si>
    <t>Program Title &amp; Major Program Designation</t>
  </si>
  <si>
    <t>Encumbrances</t>
  </si>
  <si>
    <t xml:space="preserve">Pass through to </t>
  </si>
  <si>
    <t>6/30/19</t>
  </si>
  <si>
    <t>6/30/18</t>
  </si>
  <si>
    <t>Number</t>
  </si>
  <si>
    <t>Federal Grantor/Pass-Through Grantor,</t>
  </si>
  <si>
    <t>Final</t>
  </si>
  <si>
    <t>7/01/18-6/30/19</t>
  </si>
  <si>
    <t>Prior to</t>
  </si>
  <si>
    <t>7/01/18-</t>
  </si>
  <si>
    <t>7/01/17 -</t>
  </si>
  <si>
    <t>Project</t>
  </si>
  <si>
    <t xml:space="preserve">  Expenditures/Disbursements  </t>
  </si>
  <si>
    <t xml:space="preserve">          Receipts/Revenues          </t>
  </si>
  <si>
    <t>ISBE</t>
  </si>
  <si>
    <t>Year Ended June 30, 2019</t>
  </si>
  <si>
    <t>Black Hawk Area Special Education District S.E.J.A. No. 865</t>
  </si>
  <si>
    <t>Adverse GAAP - Unmodified Regulatory</t>
  </si>
  <si>
    <t>The Illinois School Code 105 ILCS 5/17-1 requires all joint agreements to prepare and adopt an annual budget. The joint agreement must adopt this annual budget by September 1 of the current fiscal year.</t>
  </si>
  <si>
    <t>The Special Education District, which is a joint agreement, adopted their annual budget on September 18, 2018.</t>
  </si>
  <si>
    <t>The Special Education District's annual budget was not adopted by September 1, 2018.</t>
  </si>
  <si>
    <t>The Special Education District did not comply with the Illinois School Code 105 ILCS 5/17-1.</t>
  </si>
  <si>
    <t>The Special Education District did not timely adopt their annual budget.</t>
  </si>
  <si>
    <t>The Special Education District should adopt their annual budget by September 1 of the currect fiscal year.</t>
  </si>
  <si>
    <t>The Special Education will adopt their annual budgets before September 1 of the current fiscal year.</t>
  </si>
  <si>
    <t>x</t>
  </si>
  <si>
    <t>See Findings 2019-01, 2019-02, 2019-03, 2019-04, 2019-05, 2019-06</t>
  </si>
  <si>
    <t>Page 10, Line 106 - District Annual Assessments</t>
  </si>
  <si>
    <t>Page 10, Line 107 - Refunds and Reimbursements</t>
  </si>
  <si>
    <t>Page 12, Line 168 - Early Intervention Grant ($4,428), STEP Grant ($349,519), and Transition Specialist Grant ($151,581)</t>
  </si>
  <si>
    <t>Page 13, Line 197 - NSLP Equipment Assistance Grant</t>
  </si>
  <si>
    <t>Page 15, Line 41 - DHS Grant Expenditures</t>
  </si>
  <si>
    <t>Page 16, Line 73 - E-Rate Communication Expenditures</t>
  </si>
  <si>
    <t>Audit Check Tab, Line 80 - No qualifying contracts over $25,000 were paid in the current year</t>
  </si>
  <si>
    <t>19-4260-00</t>
  </si>
  <si>
    <t>Insurance coverage in effect paid with Federal funds during the fiscal year:</t>
  </si>
  <si>
    <t>see PDF version</t>
  </si>
  <si>
    <t xml:space="preserve">Black Hawk Area Sp Ed District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</si>
</sst>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 numFmtId="182" formatCode="_(* #,##0_);_(* \(#,##0\);_(* &quot;0&quot;_);_(@_)"/>
    <numFmt numFmtId="183" formatCode="_(* #,##0_);_(* \(#,##0\);_(* &quot;-&quot;??_);_(@_)"/>
    <numFmt numFmtId="184" formatCode="_(* #,##0_);_(* \(#,##0\);_(* &quot; &quot;_);_(@_)"/>
    <numFmt numFmtId="185" formatCode="0.000_)"/>
    <numFmt numFmtId="186" formatCode="_(* #,##0.0_);_(* \(#,##0.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i/>
      <sz val="10"/>
      <name val="Arial"/>
      <family val="2"/>
    </font>
    <font>
      <b/>
      <u/>
      <sz val="8"/>
      <name val="Arial"/>
      <family val="2"/>
    </font>
    <font>
      <b/>
      <vertAlign val="superscript"/>
      <sz val="9"/>
      <name val="Arial"/>
      <family val="2"/>
    </font>
    <font>
      <sz val="10"/>
      <name val="Courier"/>
    </font>
    <font>
      <sz val="10"/>
      <name val="Garamond"/>
      <family val="1"/>
    </font>
    <font>
      <b/>
      <sz val="10"/>
      <name val="Garamond"/>
      <family val="1"/>
    </font>
    <font>
      <u val="doubleAccounting"/>
      <sz val="10"/>
      <name val="Garamond"/>
      <family val="1"/>
    </font>
    <font>
      <u val="singleAccounting"/>
      <sz val="10"/>
      <name val="Garamond"/>
      <family val="1"/>
    </font>
    <font>
      <u/>
      <sz val="10"/>
      <name val="Garamond"/>
      <family val="1"/>
    </font>
    <font>
      <b/>
      <sz val="11"/>
      <name val="Garamond"/>
      <family val="1"/>
    </font>
    <font>
      <b/>
      <sz val="12"/>
      <name val="Garamond"/>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9" fillId="0" borderId="0" applyFont="0" applyFill="0" applyBorder="0" applyAlignment="0" applyProtection="0"/>
    <xf numFmtId="37" fontId="141" fillId="0" borderId="0"/>
    <xf numFmtId="43" fontId="44" fillId="0" borderId="0" applyFont="0" applyFill="0" applyBorder="0" applyAlignment="0" applyProtection="0"/>
  </cellStyleXfs>
  <cellXfs count="27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56" fillId="0" borderId="0" xfId="3" applyNumberFormat="1" applyFont="1" applyProtection="1">
      <protection locked="0"/>
    </xf>
    <xf numFmtId="0" fontId="56" fillId="0" borderId="78" xfId="3" applyFont="1" applyBorder="1" applyProtection="1">
      <protection locked="0"/>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53" fillId="0" borderId="0" xfId="3" applyNumberFormat="1" applyFont="1" applyAlignment="1">
      <alignment horizontal="center" vertical="center"/>
    </xf>
    <xf numFmtId="166" fontId="53" fillId="0" borderId="0" xfId="3" applyNumberFormat="1" applyFont="1" applyAlignment="1">
      <alignment horizontal="center" vertical="center"/>
    </xf>
    <xf numFmtId="0" fontId="64" fillId="0" borderId="0" xfId="3" applyFont="1" applyAlignment="1">
      <alignment horizontal="center" vertical="center"/>
    </xf>
    <xf numFmtId="0" fontId="54" fillId="0" borderId="0" xfId="3" applyFont="1" applyAlignment="1">
      <alignment vertical="center"/>
    </xf>
    <xf numFmtId="0" fontId="67" fillId="0" borderId="0" xfId="3" applyFont="1" applyAlignment="1">
      <alignment horizontal="center"/>
    </xf>
    <xf numFmtId="49" fontId="78" fillId="0" borderId="0" xfId="3" applyNumberFormat="1" applyFont="1" applyAlignment="1" applyProtection="1">
      <alignment horizontal="left"/>
      <protection locked="0"/>
    </xf>
    <xf numFmtId="49" fontId="56" fillId="0" borderId="78" xfId="3" applyNumberFormat="1" applyFont="1" applyBorder="1" applyProtection="1">
      <protection locked="0"/>
    </xf>
    <xf numFmtId="0" fontId="118" fillId="0" borderId="0" xfId="3" applyFont="1" applyAlignment="1">
      <alignment horizontal="left"/>
    </xf>
    <xf numFmtId="0" fontId="61" fillId="0" borderId="0" xfId="3" applyFont="1" applyAlignment="1">
      <alignment horizontal="left" vertical="center" indent="2"/>
    </xf>
    <xf numFmtId="0" fontId="74" fillId="0" borderId="0" xfId="3" applyFont="1"/>
    <xf numFmtId="0" fontId="118" fillId="0" borderId="0" xfId="3" applyFont="1"/>
    <xf numFmtId="0" fontId="56" fillId="0" borderId="0" xfId="3" applyFont="1" applyAlignment="1" applyProtection="1">
      <alignment wrapText="1"/>
      <protection locked="0"/>
    </xf>
    <xf numFmtId="179" fontId="56" fillId="0" borderId="0" xfId="3" applyNumberFormat="1" applyFont="1" applyAlignment="1" applyProtection="1">
      <alignment vertical="top"/>
      <protection locked="0"/>
    </xf>
    <xf numFmtId="0" fontId="53" fillId="0" borderId="0" xfId="3" applyFont="1" applyAlignment="1" applyProtection="1">
      <alignment horizontal="center"/>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54" fillId="0" borderId="0" xfId="3" applyFont="1" applyAlignment="1" applyProtection="1">
      <alignment horizontal="center"/>
    </xf>
    <xf numFmtId="0" fontId="119" fillId="0" borderId="0" xfId="3" applyFont="1" applyAlignment="1" applyProtection="1">
      <alignment horizontal="right" vertical="top"/>
    </xf>
    <xf numFmtId="0" fontId="54" fillId="0" borderId="0" xfId="3" applyFont="1" applyAlignment="1" applyProtection="1"/>
    <xf numFmtId="0" fontId="54" fillId="0" borderId="0" xfId="3" applyFont="1" applyBorder="1" applyAlignment="1" applyProtection="1">
      <alignment horizontal="left" vertical="top" wrapText="1"/>
    </xf>
    <xf numFmtId="0" fontId="119" fillId="0" borderId="0" xfId="3" applyFont="1" applyAlignment="1" applyProtection="1">
      <alignment vertical="top"/>
    </xf>
    <xf numFmtId="0" fontId="54" fillId="0" borderId="0" xfId="3" applyFont="1" applyBorder="1" applyAlignment="1" applyProtection="1">
      <alignment vertical="top"/>
    </xf>
    <xf numFmtId="0" fontId="54" fillId="0" borderId="78" xfId="3" applyFont="1" applyBorder="1" applyProtection="1"/>
    <xf numFmtId="0" fontId="54" fillId="0" borderId="78" xfId="3" applyFont="1" applyBorder="1" applyAlignment="1" applyProtection="1">
      <alignment vertical="top"/>
    </xf>
    <xf numFmtId="0" fontId="54" fillId="0" borderId="0" xfId="3" applyFont="1" applyAlignment="1" applyProtection="1">
      <alignment vertical="top"/>
    </xf>
    <xf numFmtId="5" fontId="54" fillId="0" borderId="0" xfId="3" applyNumberFormat="1" applyFont="1" applyBorder="1" applyAlignment="1" applyProtection="1">
      <alignment horizontal="right"/>
      <protection locked="0"/>
    </xf>
    <xf numFmtId="0" fontId="53" fillId="0" borderId="0" xfId="3" applyFont="1" applyFill="1" applyAlignment="1" applyProtection="1">
      <alignment horizontal="left"/>
    </xf>
    <xf numFmtId="5" fontId="54" fillId="0" borderId="0" xfId="3" applyNumberFormat="1" applyFont="1" applyFill="1" applyBorder="1" applyAlignment="1" applyProtection="1">
      <alignment horizontal="right"/>
      <protection locked="0"/>
    </xf>
    <xf numFmtId="3" fontId="58" fillId="0" borderId="0" xfId="3" quotePrefix="1" applyNumberFormat="1" applyFont="1" applyBorder="1" applyAlignment="1" applyProtection="1">
      <alignment horizontal="right"/>
    </xf>
    <xf numFmtId="15" fontId="58" fillId="0" borderId="0" xfId="3" quotePrefix="1" applyNumberFormat="1" applyFont="1" applyBorder="1" applyAlignment="1" applyProtection="1">
      <alignment horizontal="right"/>
      <protection locked="0"/>
    </xf>
    <xf numFmtId="5" fontId="54" fillId="0" borderId="0" xfId="3" applyNumberFormat="1" applyFont="1" applyBorder="1" applyAlignment="1" applyProtection="1">
      <alignment horizontal="center"/>
      <protection locked="0"/>
    </xf>
    <xf numFmtId="0" fontId="53" fillId="0" borderId="0" xfId="3" applyFont="1" applyAlignment="1" applyProtection="1"/>
    <xf numFmtId="5" fontId="53" fillId="0" borderId="0" xfId="3" applyNumberFormat="1" applyFont="1" applyAlignment="1" applyProtection="1"/>
    <xf numFmtId="5" fontId="54" fillId="0" borderId="76" xfId="3" applyNumberFormat="1" applyFont="1" applyFill="1" applyBorder="1" applyAlignment="1" applyProtection="1">
      <protection locked="0"/>
    </xf>
    <xf numFmtId="5" fontId="54" fillId="0" borderId="78" xfId="3" applyNumberFormat="1" applyFont="1" applyFill="1" applyBorder="1" applyAlignment="1" applyProtection="1">
      <protection locked="0"/>
    </xf>
    <xf numFmtId="0" fontId="54" fillId="0" borderId="0" xfId="3" applyFont="1" applyBorder="1" applyAlignment="1" applyProtection="1">
      <alignment horizontal="left" vertical="center" wrapText="1"/>
      <protection locked="0"/>
    </xf>
    <xf numFmtId="0" fontId="54" fillId="0" borderId="0" xfId="3" applyFont="1" applyFill="1" applyBorder="1" applyAlignment="1" applyProtection="1">
      <alignment horizontal="left" vertical="center" wrapText="1"/>
      <protection locked="0"/>
    </xf>
    <xf numFmtId="0" fontId="54" fillId="0" borderId="0" xfId="3" applyFont="1" applyFill="1" applyBorder="1" applyAlignment="1" applyProtection="1">
      <alignment horizontal="center" vertical="center"/>
    </xf>
    <xf numFmtId="0" fontId="54" fillId="0" borderId="9" xfId="3" applyFont="1" applyFill="1" applyBorder="1" applyAlignment="1" applyProtection="1">
      <alignment horizontal="center" vertical="center"/>
      <protection locked="0"/>
    </xf>
    <xf numFmtId="165" fontId="53" fillId="0" borderId="0" xfId="3" applyNumberFormat="1" applyFont="1" applyAlignment="1" applyProtection="1">
      <alignment vertical="center"/>
    </xf>
    <xf numFmtId="0" fontId="56" fillId="0" borderId="0" xfId="3" applyFont="1" applyFill="1" applyAlignment="1" applyProtection="1">
      <alignment horizontal="center"/>
    </xf>
    <xf numFmtId="0" fontId="56" fillId="0" borderId="5" xfId="3" applyFont="1" applyFill="1" applyBorder="1" applyProtection="1"/>
    <xf numFmtId="0" fontId="56" fillId="27" borderId="59" xfId="3" applyFont="1" applyFill="1" applyBorder="1" applyProtection="1"/>
    <xf numFmtId="0" fontId="56" fillId="27" borderId="9" xfId="3" applyFont="1" applyFill="1" applyBorder="1" applyProtection="1"/>
    <xf numFmtId="0" fontId="56" fillId="27" borderId="9" xfId="3" applyFont="1" applyFill="1" applyBorder="1" applyAlignment="1" applyProtection="1">
      <alignment horizontal="center"/>
    </xf>
    <xf numFmtId="0" fontId="56" fillId="27" borderId="50" xfId="3" applyFont="1" applyFill="1" applyBorder="1" applyProtection="1"/>
    <xf numFmtId="0" fontId="56" fillId="27" borderId="40" xfId="3" applyFont="1" applyFill="1" applyBorder="1" applyProtection="1"/>
    <xf numFmtId="0" fontId="56" fillId="27" borderId="74" xfId="3" applyFont="1" applyFill="1" applyBorder="1" applyAlignment="1" applyProtection="1">
      <alignment horizontal="center"/>
    </xf>
    <xf numFmtId="0" fontId="56" fillId="27" borderId="0" xfId="3" applyFont="1" applyFill="1" applyBorder="1" applyAlignment="1" applyProtection="1">
      <alignment horizontal="center"/>
    </xf>
    <xf numFmtId="0" fontId="56" fillId="27" borderId="0" xfId="3" applyFont="1" applyFill="1" applyBorder="1" applyProtection="1"/>
    <xf numFmtId="0" fontId="61" fillId="27" borderId="0" xfId="3" applyFont="1" applyFill="1" applyBorder="1" applyProtection="1"/>
    <xf numFmtId="0" fontId="61" fillId="27" borderId="165" xfId="3" applyFont="1" applyFill="1" applyBorder="1" applyProtection="1"/>
    <xf numFmtId="0" fontId="61" fillId="27" borderId="5" xfId="3" applyFont="1" applyFill="1" applyBorder="1" applyProtection="1"/>
    <xf numFmtId="14" fontId="56" fillId="27" borderId="0" xfId="3" applyNumberFormat="1" applyFont="1" applyFill="1" applyBorder="1" applyProtection="1"/>
    <xf numFmtId="14" fontId="56" fillId="27" borderId="74" xfId="3" applyNumberFormat="1" applyFont="1" applyFill="1" applyBorder="1" applyAlignment="1" applyProtection="1">
      <alignment horizontal="center"/>
    </xf>
    <xf numFmtId="0" fontId="56" fillId="27" borderId="145" xfId="3" applyFont="1" applyFill="1" applyBorder="1" applyProtection="1"/>
    <xf numFmtId="0" fontId="56" fillId="27" borderId="144" xfId="3" applyFont="1" applyFill="1" applyBorder="1" applyProtection="1"/>
    <xf numFmtId="0" fontId="56" fillId="27" borderId="144" xfId="3" applyFont="1" applyFill="1" applyBorder="1" applyAlignment="1" applyProtection="1">
      <alignment horizontal="center"/>
    </xf>
    <xf numFmtId="0" fontId="63" fillId="27" borderId="144" xfId="3" applyFont="1" applyFill="1" applyBorder="1" applyProtection="1"/>
    <xf numFmtId="0" fontId="63" fillId="27" borderId="143" xfId="3" applyFont="1" applyFill="1" applyBorder="1" applyProtection="1"/>
    <xf numFmtId="0" fontId="9" fillId="0" borderId="0" xfId="3" applyProtection="1"/>
    <xf numFmtId="0" fontId="10" fillId="0" borderId="0" xfId="3" applyFont="1" applyProtection="1"/>
    <xf numFmtId="0" fontId="137" fillId="0" borderId="0" xfId="3" applyFont="1" applyProtection="1"/>
    <xf numFmtId="0" fontId="137" fillId="0" borderId="0" xfId="3" applyFont="1" applyBorder="1" applyProtection="1"/>
    <xf numFmtId="0" fontId="9" fillId="0" borderId="0" xfId="3" applyBorder="1" applyProtection="1"/>
    <xf numFmtId="0" fontId="35" fillId="0" borderId="0" xfId="3" applyFont="1" applyProtection="1"/>
    <xf numFmtId="0" fontId="10" fillId="0" borderId="0" xfId="3" applyFont="1" applyAlignment="1" applyProtection="1">
      <alignment horizontal="left"/>
    </xf>
    <xf numFmtId="0" fontId="137" fillId="0" borderId="0" xfId="3" applyFont="1" applyBorder="1" applyAlignment="1" applyProtection="1">
      <alignment horizontal="left"/>
    </xf>
    <xf numFmtId="0" fontId="9" fillId="0" borderId="78" xfId="3" applyBorder="1" applyProtection="1"/>
    <xf numFmtId="0" fontId="9" fillId="0" borderId="78" xfId="3" applyFont="1" applyBorder="1" applyAlignment="1" applyProtection="1"/>
    <xf numFmtId="0" fontId="9" fillId="0" borderId="0" xfId="3" applyAlignment="1" applyProtection="1">
      <alignment horizontal="left"/>
    </xf>
    <xf numFmtId="0" fontId="10" fillId="0" borderId="0" xfId="3" applyFont="1" applyBorder="1" applyProtection="1"/>
    <xf numFmtId="14" fontId="9" fillId="0" borderId="0" xfId="3" applyNumberFormat="1" applyAlignment="1" applyProtection="1">
      <alignment horizontal="left" indent="2"/>
      <protection locked="0"/>
    </xf>
    <xf numFmtId="14" fontId="9" fillId="0" borderId="0" xfId="3" quotePrefix="1" applyNumberFormat="1" applyAlignment="1" applyProtection="1">
      <alignment horizontal="left" indent="2"/>
      <protection locked="0"/>
    </xf>
    <xf numFmtId="0" fontId="138" fillId="0" borderId="0" xfId="3" applyFont="1" applyBorder="1" applyAlignment="1" applyProtection="1">
      <alignment horizontal="left"/>
    </xf>
    <xf numFmtId="178" fontId="12" fillId="0" borderId="9" xfId="3" applyNumberFormat="1" applyFont="1" applyBorder="1" applyAlignment="1" applyProtection="1">
      <alignment horizontal="center"/>
      <protection locked="0"/>
    </xf>
    <xf numFmtId="0" fontId="12" fillId="0" borderId="0" xfId="3" applyFont="1" applyBorder="1" applyAlignment="1" applyProtection="1">
      <alignment horizontal="center"/>
    </xf>
    <xf numFmtId="0" fontId="12" fillId="0" borderId="0" xfId="3" applyFont="1" applyBorder="1" applyAlignment="1" applyProtection="1">
      <alignment horizontal="left"/>
    </xf>
    <xf numFmtId="0" fontId="33" fillId="0" borderId="0" xfId="3" applyFont="1" applyBorder="1" applyProtection="1"/>
    <xf numFmtId="0" fontId="33" fillId="0" borderId="0" xfId="3" applyFont="1" applyBorder="1" applyAlignment="1" applyProtection="1">
      <alignment horizontal="left"/>
    </xf>
    <xf numFmtId="0" fontId="139" fillId="0" borderId="0" xfId="3" applyFont="1" applyBorder="1" applyAlignment="1" applyProtection="1">
      <alignment horizontal="left"/>
    </xf>
    <xf numFmtId="171" fontId="12" fillId="0" borderId="0" xfId="3" applyNumberFormat="1" applyFont="1" applyAlignment="1" applyProtection="1">
      <alignment horizontal="center" vertical="center"/>
    </xf>
    <xf numFmtId="0" fontId="12" fillId="0" borderId="0" xfId="3" applyFont="1" applyAlignment="1" applyProtection="1">
      <alignment horizontal="center" vertical="center"/>
    </xf>
    <xf numFmtId="166" fontId="12" fillId="0" borderId="0" xfId="3" applyNumberFormat="1" applyFont="1" applyBorder="1" applyAlignment="1" applyProtection="1">
      <alignment horizontal="center" vertical="center"/>
    </xf>
    <xf numFmtId="49" fontId="12" fillId="0" borderId="0" xfId="3" applyNumberFormat="1" applyFont="1" applyBorder="1" applyAlignment="1" applyProtection="1">
      <alignment horizontal="center" vertical="center"/>
    </xf>
    <xf numFmtId="0" fontId="11" fillId="0" borderId="0" xfId="3" applyFont="1" applyProtection="1"/>
    <xf numFmtId="0" fontId="56" fillId="0" borderId="9" xfId="3" applyFont="1" applyFill="1" applyBorder="1" applyAlignment="1" applyProtection="1">
      <alignment horizontal="center" vertical="center"/>
      <protection locked="0"/>
    </xf>
    <xf numFmtId="0" fontId="61" fillId="0" borderId="0" xfId="3" applyFont="1" applyFill="1" applyProtection="1"/>
    <xf numFmtId="0" fontId="56" fillId="0" borderId="0" xfId="3" applyFont="1" applyFill="1" applyBorder="1" applyAlignment="1" applyProtection="1">
      <alignment horizontal="center"/>
    </xf>
    <xf numFmtId="0" fontId="56" fillId="0" borderId="0" xfId="3" applyFont="1" applyFill="1" applyBorder="1" applyAlignment="1" applyProtection="1">
      <alignment horizontal="center" vertical="center"/>
      <protection locked="0"/>
    </xf>
    <xf numFmtId="0" fontId="61" fillId="0" borderId="0" xfId="3" applyFont="1" applyFill="1" applyBorder="1" applyProtection="1"/>
    <xf numFmtId="169" fontId="61" fillId="0" borderId="77" xfId="3" applyNumberFormat="1" applyFont="1" applyFill="1" applyBorder="1" applyAlignment="1" applyProtection="1">
      <alignment horizontal="center"/>
      <protection locked="0"/>
    </xf>
    <xf numFmtId="0" fontId="53" fillId="0" borderId="0" xfId="3" applyFont="1" applyAlignment="1" applyProtection="1">
      <alignment horizontal="center" vertical="center"/>
    </xf>
    <xf numFmtId="37" fontId="141" fillId="0" borderId="0" xfId="20" applyAlignment="1">
      <alignment vertical="center"/>
    </xf>
    <xf numFmtId="37" fontId="141" fillId="0" borderId="0" xfId="20" applyAlignment="1">
      <alignment horizontal="center" vertical="center"/>
    </xf>
    <xf numFmtId="37" fontId="44" fillId="0" borderId="0" xfId="20" applyFont="1" applyAlignment="1">
      <alignment horizontal="center" vertical="center"/>
    </xf>
    <xf numFmtId="37" fontId="142" fillId="0" borderId="0" xfId="20" applyFont="1" applyAlignment="1">
      <alignment horizontal="left"/>
    </xf>
    <xf numFmtId="182" fontId="142" fillId="0" borderId="0" xfId="21" applyNumberFormat="1" applyFont="1" applyAlignment="1">
      <alignment horizontal="right"/>
    </xf>
    <xf numFmtId="182" fontId="142" fillId="0" borderId="0" xfId="21" applyNumberFormat="1" applyFont="1" applyProtection="1"/>
    <xf numFmtId="182" fontId="142" fillId="0" borderId="0" xfId="21" applyNumberFormat="1" applyFont="1" applyAlignment="1">
      <alignment horizontal="center"/>
    </xf>
    <xf numFmtId="182" fontId="142" fillId="0" borderId="0" xfId="21" applyNumberFormat="1" applyFont="1"/>
    <xf numFmtId="37" fontId="142" fillId="0" borderId="0" xfId="20" applyFont="1"/>
    <xf numFmtId="183" fontId="142" fillId="0" borderId="0" xfId="21" applyNumberFormat="1" applyFont="1"/>
    <xf numFmtId="37" fontId="142" fillId="0" borderId="0" xfId="20" applyFont="1" applyAlignment="1">
      <alignment horizontal="center"/>
    </xf>
    <xf numFmtId="49" fontId="142" fillId="0" borderId="0" xfId="20" applyNumberFormat="1" applyFont="1" applyAlignment="1">
      <alignment horizontal="center"/>
    </xf>
    <xf numFmtId="37" fontId="142" fillId="0" borderId="0" xfId="20" quotePrefix="1" applyFont="1" applyAlignment="1">
      <alignment horizontal="right"/>
    </xf>
    <xf numFmtId="182" fontId="142" fillId="0" borderId="0" xfId="20" applyNumberFormat="1" applyFont="1" applyAlignment="1">
      <alignment horizontal="left"/>
    </xf>
    <xf numFmtId="182" fontId="142" fillId="0" borderId="0" xfId="20" applyNumberFormat="1" applyFont="1" applyAlignment="1">
      <alignment horizontal="center"/>
    </xf>
    <xf numFmtId="37" fontId="141" fillId="0" borderId="0" xfId="20" applyProtection="1">
      <protection locked="0"/>
    </xf>
    <xf numFmtId="182" fontId="142" fillId="0" borderId="0" xfId="20" applyNumberFormat="1" applyFont="1"/>
    <xf numFmtId="37" fontId="141" fillId="0" borderId="0" xfId="20" applyAlignment="1">
      <alignment horizontal="left"/>
    </xf>
    <xf numFmtId="37" fontId="143" fillId="0" borderId="0" xfId="20" applyFont="1" applyAlignment="1">
      <alignment horizontal="left" vertical="center"/>
    </xf>
    <xf numFmtId="184" fontId="142" fillId="0" borderId="0" xfId="20" applyNumberFormat="1" applyFont="1"/>
    <xf numFmtId="184" fontId="144" fillId="0" borderId="0" xfId="21" applyNumberFormat="1" applyFont="1" applyFill="1" applyBorder="1" applyAlignment="1">
      <alignment vertical="center"/>
    </xf>
    <xf numFmtId="184" fontId="142" fillId="0" borderId="0" xfId="20" applyNumberFormat="1" applyFont="1" applyAlignment="1">
      <alignment horizontal="center"/>
    </xf>
    <xf numFmtId="184" fontId="145" fillId="0" borderId="0" xfId="21" applyNumberFormat="1" applyFont="1" applyFill="1" applyBorder="1" applyAlignment="1">
      <alignment vertical="center"/>
    </xf>
    <xf numFmtId="184" fontId="142" fillId="0" borderId="0" xfId="21" applyNumberFormat="1" applyFont="1" applyFill="1" applyAlignment="1">
      <alignment vertical="center"/>
    </xf>
    <xf numFmtId="184" fontId="142" fillId="0" borderId="0" xfId="21" applyNumberFormat="1" applyFont="1" applyFill="1" applyBorder="1" applyAlignment="1">
      <alignment vertical="center"/>
    </xf>
    <xf numFmtId="37" fontId="142" fillId="0" borderId="0" xfId="20" applyFont="1" applyAlignment="1">
      <alignment vertical="center"/>
    </xf>
    <xf numFmtId="185" fontId="142" fillId="0" borderId="0" xfId="20" applyNumberFormat="1" applyFont="1" applyAlignment="1">
      <alignment vertical="center"/>
    </xf>
    <xf numFmtId="184" fontId="142" fillId="0" borderId="0" xfId="21" applyNumberFormat="1" applyFont="1" applyFill="1"/>
    <xf numFmtId="184" fontId="144" fillId="0" borderId="0" xfId="21" applyNumberFormat="1" applyFont="1" applyFill="1" applyBorder="1" applyAlignment="1"/>
    <xf numFmtId="184" fontId="144" fillId="0" borderId="0" xfId="21" applyNumberFormat="1" applyFont="1" applyFill="1" applyBorder="1" applyAlignment="1">
      <alignment horizontal="center"/>
    </xf>
    <xf numFmtId="185" fontId="142" fillId="0" borderId="0" xfId="20" applyNumberFormat="1" applyFont="1"/>
    <xf numFmtId="37" fontId="143" fillId="0" borderId="0" xfId="20" applyFont="1" applyAlignment="1">
      <alignment horizontal="left"/>
    </xf>
    <xf numFmtId="184" fontId="142" fillId="0" borderId="0" xfId="21" applyNumberFormat="1" applyFont="1" applyFill="1" applyAlignment="1" applyProtection="1">
      <alignment horizontal="right"/>
    </xf>
    <xf numFmtId="184" fontId="142" fillId="0" borderId="0" xfId="21" applyNumberFormat="1" applyFont="1" applyFill="1" applyBorder="1"/>
    <xf numFmtId="184" fontId="142" fillId="0" borderId="0" xfId="21" applyNumberFormat="1" applyFont="1" applyFill="1" applyAlignment="1">
      <alignment horizontal="center"/>
    </xf>
    <xf numFmtId="37" fontId="142" fillId="0" borderId="0" xfId="20" applyFont="1" applyAlignment="1">
      <alignment horizontal="right"/>
    </xf>
    <xf numFmtId="185" fontId="142" fillId="0" borderId="0" xfId="20" applyNumberFormat="1" applyFont="1" applyAlignment="1">
      <alignment horizontal="center"/>
    </xf>
    <xf numFmtId="184" fontId="142" fillId="0" borderId="0" xfId="21" applyNumberFormat="1" applyFont="1" applyFill="1" applyAlignment="1" applyProtection="1">
      <alignment horizontal="right" vertical="center"/>
    </xf>
    <xf numFmtId="37" fontId="142" fillId="0" borderId="0" xfId="20" applyFont="1" applyAlignment="1">
      <alignment horizontal="right" vertical="center"/>
    </xf>
    <xf numFmtId="185" fontId="142" fillId="0" borderId="0" xfId="20" applyNumberFormat="1" applyFont="1" applyAlignment="1">
      <alignment horizontal="center" vertical="center"/>
    </xf>
    <xf numFmtId="37" fontId="142" fillId="0" borderId="0" xfId="20" applyFont="1" applyAlignment="1">
      <alignment horizontal="left" vertical="center"/>
    </xf>
    <xf numFmtId="37" fontId="143" fillId="0" borderId="0" xfId="20" applyFont="1" applyAlignment="1">
      <alignment horizontal="left" vertical="center" indent="1"/>
    </xf>
    <xf numFmtId="184" fontId="142" fillId="0" borderId="0" xfId="21" applyNumberFormat="1" applyFont="1" applyFill="1" applyAlignment="1" applyProtection="1">
      <alignment horizontal="center" vertical="center"/>
    </xf>
    <xf numFmtId="184" fontId="145" fillId="0" borderId="0" xfId="21" applyNumberFormat="1" applyFont="1" applyFill="1" applyBorder="1" applyAlignment="1">
      <alignment horizontal="center" vertical="center"/>
    </xf>
    <xf numFmtId="37" fontId="142" fillId="0" borderId="0" xfId="20" applyFont="1" applyAlignment="1">
      <alignment horizontal="center" vertical="center"/>
    </xf>
    <xf numFmtId="184" fontId="142" fillId="0" borderId="0" xfId="21" applyNumberFormat="1" applyFont="1" applyFill="1" applyAlignment="1"/>
    <xf numFmtId="184" fontId="142" fillId="0" borderId="0" xfId="21" applyNumberFormat="1" applyFont="1" applyFill="1" applyAlignment="1">
      <alignment horizontal="center" vertical="center"/>
    </xf>
    <xf numFmtId="184" fontId="145" fillId="0" borderId="0" xfId="21" applyNumberFormat="1" applyFont="1" applyFill="1" applyAlignment="1">
      <alignment vertical="center"/>
    </xf>
    <xf numFmtId="184" fontId="142" fillId="20" borderId="0" xfId="21" applyNumberFormat="1" applyFont="1" applyFill="1" applyAlignment="1">
      <alignment vertical="center"/>
    </xf>
    <xf numFmtId="184" fontId="9" fillId="0" borderId="0" xfId="21" applyNumberFormat="1" applyFont="1" applyFill="1" applyAlignment="1" applyProtection="1">
      <alignment horizontal="center" vertical="center"/>
    </xf>
    <xf numFmtId="49" fontId="142" fillId="0" borderId="0" xfId="20" applyNumberFormat="1" applyFont="1" applyAlignment="1">
      <alignment horizontal="center" vertical="center"/>
    </xf>
    <xf numFmtId="37" fontId="44" fillId="0" borderId="0" xfId="20" applyFont="1" applyAlignment="1">
      <alignment vertical="center"/>
    </xf>
    <xf numFmtId="184" fontId="142" fillId="0" borderId="0" xfId="21" applyNumberFormat="1" applyFont="1" applyFill="1" applyAlignment="1">
      <alignment horizontal="right" vertical="center"/>
    </xf>
    <xf numFmtId="184" fontId="142" fillId="0" borderId="0" xfId="21" applyNumberFormat="1" applyFont="1" applyFill="1" applyAlignment="1">
      <alignment horizontal="fill"/>
    </xf>
    <xf numFmtId="184" fontId="142" fillId="0" borderId="0" xfId="21" quotePrefix="1" applyNumberFormat="1" applyFont="1" applyFill="1" applyAlignment="1">
      <alignment horizontal="center"/>
    </xf>
    <xf numFmtId="184" fontId="142" fillId="0" borderId="0" xfId="21" applyNumberFormat="1" applyFont="1" applyFill="1" applyAlignment="1">
      <alignment horizontal="fill" vertical="center"/>
    </xf>
    <xf numFmtId="184" fontId="143" fillId="0" borderId="0" xfId="21" applyNumberFormat="1" applyFont="1" applyFill="1" applyAlignment="1">
      <alignment horizontal="fill" vertical="center"/>
    </xf>
    <xf numFmtId="184" fontId="144" fillId="0" borderId="0" xfId="21" applyNumberFormat="1" applyFont="1" applyFill="1" applyAlignment="1">
      <alignment vertical="center"/>
    </xf>
    <xf numFmtId="184" fontId="145" fillId="20" borderId="0" xfId="21" applyNumberFormat="1" applyFont="1" applyFill="1" applyAlignment="1">
      <alignment vertical="center"/>
    </xf>
    <xf numFmtId="37" fontId="142" fillId="20" borderId="0" xfId="20" applyFont="1" applyFill="1" applyAlignment="1">
      <alignment horizontal="center" vertical="center"/>
    </xf>
    <xf numFmtId="184" fontId="142" fillId="20" borderId="0" xfId="21" applyNumberFormat="1" applyFont="1" applyFill="1" applyAlignment="1">
      <alignment horizontal="fill" vertical="center"/>
    </xf>
    <xf numFmtId="37" fontId="143" fillId="0" borderId="0" xfId="20" applyFont="1" applyAlignment="1">
      <alignment horizontal="left" vertical="center" indent="2"/>
    </xf>
    <xf numFmtId="184" fontId="142" fillId="0" borderId="0" xfId="21" applyNumberFormat="1" applyFont="1" applyFill="1" applyAlignment="1">
      <alignment horizontal="right"/>
    </xf>
    <xf numFmtId="184" fontId="142" fillId="0" borderId="0" xfId="21" applyNumberFormat="1" applyFont="1" applyFill="1" applyProtection="1"/>
    <xf numFmtId="184" fontId="145" fillId="0" borderId="0" xfId="21" applyNumberFormat="1" applyFont="1" applyFill="1" applyAlignment="1" applyProtection="1">
      <alignment horizontal="center" vertical="center"/>
    </xf>
    <xf numFmtId="37" fontId="143" fillId="0" borderId="0" xfId="20" applyFont="1"/>
    <xf numFmtId="37" fontId="143" fillId="0" borderId="0" xfId="20" applyFont="1" applyAlignment="1">
      <alignment horizontal="left" indent="1"/>
    </xf>
    <xf numFmtId="37" fontId="142" fillId="0" borderId="0" xfId="20" applyFont="1" applyAlignment="1">
      <alignment horizontal="left" vertical="center" indent="1"/>
    </xf>
    <xf numFmtId="37" fontId="142" fillId="0" borderId="0" xfId="20" applyFont="1" applyAlignment="1">
      <alignment horizontal="left" indent="1"/>
    </xf>
    <xf numFmtId="184" fontId="141" fillId="0" borderId="0" xfId="20" applyNumberFormat="1" applyAlignment="1">
      <alignment vertical="center"/>
    </xf>
    <xf numFmtId="184" fontId="141" fillId="0" borderId="0" xfId="20" applyNumberFormat="1" applyAlignment="1">
      <alignment horizontal="center" vertical="center"/>
    </xf>
    <xf numFmtId="184" fontId="142" fillId="21" borderId="0" xfId="21" applyNumberFormat="1" applyFont="1" applyFill="1"/>
    <xf numFmtId="184" fontId="142" fillId="0" borderId="0" xfId="21" quotePrefix="1" applyNumberFormat="1" applyFont="1" applyFill="1"/>
    <xf numFmtId="184" fontId="142" fillId="0" borderId="0" xfId="21" applyNumberFormat="1" applyFont="1" applyFill="1" applyBorder="1" applyAlignment="1" applyProtection="1">
      <alignment vertical="center"/>
    </xf>
    <xf numFmtId="184" fontId="145" fillId="28" borderId="0" xfId="21" applyNumberFormat="1" applyFont="1" applyFill="1" applyAlignment="1">
      <alignment vertical="center"/>
    </xf>
    <xf numFmtId="184" fontId="142" fillId="28" borderId="0" xfId="21" applyNumberFormat="1" applyFont="1" applyFill="1" applyAlignment="1">
      <alignment horizontal="center"/>
    </xf>
    <xf numFmtId="186" fontId="145" fillId="28" borderId="0" xfId="21" applyNumberFormat="1" applyFont="1" applyFill="1" applyAlignment="1">
      <alignment vertical="center"/>
    </xf>
    <xf numFmtId="49" fontId="142" fillId="28" borderId="0" xfId="20" applyNumberFormat="1" applyFont="1" applyFill="1" applyAlignment="1">
      <alignment horizontal="center" vertical="center"/>
    </xf>
    <xf numFmtId="37" fontId="142" fillId="28" borderId="0" xfId="20" applyFont="1" applyFill="1" applyAlignment="1">
      <alignment horizontal="left"/>
    </xf>
    <xf numFmtId="37" fontId="142" fillId="28" borderId="0" xfId="20" applyFont="1" applyFill="1" applyAlignment="1">
      <alignment horizontal="right"/>
    </xf>
    <xf numFmtId="37" fontId="142" fillId="28" borderId="0" xfId="20" applyFont="1" applyFill="1" applyAlignment="1">
      <alignment horizontal="center"/>
    </xf>
    <xf numFmtId="49" fontId="142" fillId="28" borderId="0" xfId="20" applyNumberFormat="1" applyFont="1" applyFill="1" applyAlignment="1">
      <alignment horizontal="center"/>
    </xf>
    <xf numFmtId="37" fontId="142" fillId="28" borderId="0" xfId="20" applyFont="1" applyFill="1"/>
    <xf numFmtId="37" fontId="141" fillId="28" borderId="0" xfId="20" applyFill="1" applyAlignment="1">
      <alignment vertical="center"/>
    </xf>
    <xf numFmtId="37" fontId="142" fillId="28" borderId="0" xfId="20" applyFont="1" applyFill="1" applyAlignment="1">
      <alignment horizontal="center" vertical="center"/>
    </xf>
    <xf numFmtId="37" fontId="142" fillId="28" borderId="0" xfId="20" applyFont="1" applyFill="1" applyAlignment="1">
      <alignment horizontal="left" vertical="center" indent="1"/>
    </xf>
    <xf numFmtId="37" fontId="142" fillId="28" borderId="0" xfId="20" applyFont="1" applyFill="1" applyAlignment="1">
      <alignment horizontal="left" indent="1"/>
    </xf>
    <xf numFmtId="184" fontId="142" fillId="28" borderId="0" xfId="21" applyNumberFormat="1" applyFont="1" applyFill="1"/>
    <xf numFmtId="184" fontId="145" fillId="0" borderId="0" xfId="21" quotePrefix="1" applyNumberFormat="1" applyFont="1" applyFill="1" applyAlignment="1">
      <alignment horizontal="right" vertical="center"/>
    </xf>
    <xf numFmtId="184" fontId="142" fillId="0" borderId="0" xfId="21" quotePrefix="1" applyNumberFormat="1" applyFont="1" applyFill="1" applyBorder="1" applyAlignment="1" applyProtection="1">
      <alignment horizontal="right" vertical="center"/>
    </xf>
    <xf numFmtId="184" fontId="142" fillId="28" borderId="0" xfId="21" applyNumberFormat="1" applyFont="1" applyFill="1" applyAlignment="1">
      <alignment vertical="center"/>
    </xf>
    <xf numFmtId="184" fontId="142" fillId="28" borderId="0" xfId="20" applyNumberFormat="1" applyFont="1" applyFill="1"/>
    <xf numFmtId="184" fontId="142" fillId="0" borderId="0" xfId="21" quotePrefix="1" applyNumberFormat="1" applyFont="1" applyFill="1" applyBorder="1" applyAlignment="1">
      <alignment horizontal="left" vertical="top"/>
    </xf>
    <xf numFmtId="186" fontId="145" fillId="0" borderId="0" xfId="21" applyNumberFormat="1" applyFont="1" applyFill="1" applyAlignment="1">
      <alignment vertical="center"/>
    </xf>
    <xf numFmtId="184" fontId="145" fillId="0" borderId="0" xfId="21" applyNumberFormat="1" applyFont="1" applyFill="1"/>
    <xf numFmtId="184" fontId="145" fillId="0" borderId="0" xfId="21" applyNumberFormat="1" applyFont="1" applyFill="1" applyBorder="1" applyAlignment="1">
      <alignment horizontal="left" vertical="center"/>
    </xf>
    <xf numFmtId="184" fontId="142" fillId="0" borderId="0" xfId="21" applyNumberFormat="1" applyFont="1" applyFill="1" applyBorder="1" applyProtection="1"/>
    <xf numFmtId="184" fontId="143" fillId="0" borderId="0" xfId="21" applyNumberFormat="1" applyFont="1" applyFill="1" applyAlignment="1" applyProtection="1">
      <alignment horizontal="right" vertical="center"/>
    </xf>
    <xf numFmtId="37" fontId="143" fillId="0" borderId="0" xfId="20" applyFont="1" applyAlignment="1">
      <alignment horizontal="center" vertical="center"/>
    </xf>
    <xf numFmtId="49" fontId="143" fillId="0" borderId="0" xfId="20" applyNumberFormat="1" applyFont="1" applyAlignment="1">
      <alignment horizontal="center" vertical="center"/>
    </xf>
    <xf numFmtId="184" fontId="142" fillId="0" borderId="0" xfId="21" applyNumberFormat="1" applyFont="1" applyFill="1" applyAlignment="1" applyProtection="1">
      <alignment horizontal="center"/>
    </xf>
    <xf numFmtId="184" fontId="145" fillId="0" borderId="0" xfId="21" applyNumberFormat="1" applyFont="1" applyFill="1" applyBorder="1"/>
    <xf numFmtId="184" fontId="145" fillId="0" borderId="0" xfId="21" quotePrefix="1" applyNumberFormat="1" applyFont="1" applyFill="1"/>
    <xf numFmtId="184" fontId="145" fillId="0" borderId="0" xfId="21" quotePrefix="1" applyNumberFormat="1" applyFont="1" applyFill="1" applyAlignment="1">
      <alignment vertical="center"/>
    </xf>
    <xf numFmtId="184" fontId="142" fillId="28" borderId="0" xfId="21" applyNumberFormat="1" applyFont="1" applyFill="1" applyAlignment="1" applyProtection="1">
      <alignment horizontal="center" vertical="center"/>
    </xf>
    <xf numFmtId="184" fontId="142" fillId="28" borderId="0" xfId="21" applyNumberFormat="1" applyFont="1" applyFill="1" applyBorder="1" applyAlignment="1" applyProtection="1">
      <alignment vertical="center"/>
    </xf>
    <xf numFmtId="184" fontId="145" fillId="28" borderId="0" xfId="21" applyNumberFormat="1" applyFont="1" applyFill="1" applyBorder="1" applyAlignment="1">
      <alignment horizontal="center" vertical="center"/>
    </xf>
    <xf numFmtId="184" fontId="142" fillId="28" borderId="0" xfId="21" applyNumberFormat="1" applyFont="1" applyFill="1" applyBorder="1" applyAlignment="1">
      <alignment vertical="center"/>
    </xf>
    <xf numFmtId="37" fontId="142" fillId="28" borderId="0" xfId="20" applyFont="1" applyFill="1" applyAlignment="1">
      <alignment horizontal="left" vertical="center"/>
    </xf>
    <xf numFmtId="183" fontId="142" fillId="0" borderId="0" xfId="20" applyNumberFormat="1" applyFont="1"/>
    <xf numFmtId="183" fontId="142" fillId="0" borderId="0" xfId="20" applyNumberFormat="1" applyFont="1" applyAlignment="1">
      <alignment horizontal="center"/>
    </xf>
    <xf numFmtId="37" fontId="146" fillId="0" borderId="0" xfId="20" applyFont="1" applyAlignment="1">
      <alignment horizontal="center"/>
    </xf>
    <xf numFmtId="37" fontId="146" fillId="0" borderId="0" xfId="20" applyFont="1" applyAlignment="1">
      <alignment horizontal="left"/>
    </xf>
    <xf numFmtId="37" fontId="146" fillId="0" borderId="0" xfId="20" applyFont="1" applyAlignment="1">
      <alignment horizontal="center" vertical="center"/>
    </xf>
    <xf numFmtId="37" fontId="146" fillId="0" borderId="0" xfId="20" applyFont="1" applyAlignment="1">
      <alignment horizontal="left" vertical="center"/>
    </xf>
    <xf numFmtId="14" fontId="142" fillId="0" borderId="0" xfId="20" applyNumberFormat="1" applyFont="1" applyAlignment="1">
      <alignment horizontal="center" vertical="center"/>
    </xf>
    <xf numFmtId="14" fontId="142" fillId="0" borderId="0" xfId="20" quotePrefix="1" applyNumberFormat="1" applyFont="1" applyAlignment="1">
      <alignment horizontal="center" vertical="center"/>
    </xf>
    <xf numFmtId="37" fontId="142" fillId="0" borderId="0" xfId="20" quotePrefix="1" applyFont="1" applyAlignment="1">
      <alignment horizontal="center" vertical="center"/>
    </xf>
    <xf numFmtId="37" fontId="146" fillId="0" borderId="0" xfId="20" applyFont="1" applyAlignment="1">
      <alignment horizontal="centerContinuous" vertical="center"/>
    </xf>
    <xf numFmtId="37" fontId="142" fillId="0" borderId="141" xfId="20" applyFont="1" applyBorder="1"/>
    <xf numFmtId="37" fontId="142" fillId="0" borderId="141" xfId="20" applyFont="1" applyBorder="1" applyAlignment="1">
      <alignment horizontal="center"/>
    </xf>
    <xf numFmtId="37" fontId="142" fillId="0" borderId="141" xfId="20" applyFont="1" applyBorder="1" applyAlignment="1">
      <alignment horizontal="left"/>
    </xf>
    <xf numFmtId="37" fontId="142" fillId="0" borderId="141" xfId="20" applyFont="1" applyBorder="1" applyAlignment="1">
      <alignment horizontal="centerContinuous"/>
    </xf>
    <xf numFmtId="37" fontId="142" fillId="0" borderId="0" xfId="20" applyFont="1" applyAlignment="1">
      <alignment horizontal="centerContinuous"/>
    </xf>
    <xf numFmtId="0" fontId="56" fillId="0" borderId="0" xfId="3" applyFont="1" applyFill="1" applyAlignment="1" applyProtection="1">
      <alignment horizontal="left"/>
    </xf>
    <xf numFmtId="0" fontId="56" fillId="0" borderId="0" xfId="3" applyFont="1" applyFill="1" applyAlignment="1" applyProtection="1"/>
    <xf numFmtId="0" fontId="63" fillId="0" borderId="144" xfId="3" quotePrefix="1" applyFont="1" applyFill="1" applyBorder="1" applyAlignment="1" applyProtection="1">
      <alignment horizontal="left"/>
    </xf>
    <xf numFmtId="0" fontId="54" fillId="0" borderId="144" xfId="3" applyFont="1" applyFill="1" applyBorder="1" applyProtection="1"/>
    <xf numFmtId="0" fontId="54" fillId="0" borderId="144" xfId="3" applyFont="1" applyFill="1" applyBorder="1" applyAlignment="1" applyProtection="1">
      <alignment horizontal="center"/>
    </xf>
    <xf numFmtId="0" fontId="56" fillId="0" borderId="0" xfId="3" applyFont="1" applyFill="1" applyBorder="1" applyAlignment="1" applyProtection="1">
      <alignment horizontal="left"/>
    </xf>
    <xf numFmtId="0" fontId="63" fillId="0" borderId="144" xfId="3" applyFont="1" applyFill="1" applyBorder="1" applyAlignment="1" applyProtection="1">
      <alignment horizontal="left"/>
    </xf>
    <xf numFmtId="0" fontId="64" fillId="0" borderId="144" xfId="3" applyFont="1" applyFill="1" applyBorder="1" applyProtection="1"/>
    <xf numFmtId="0" fontId="56" fillId="0" borderId="144" xfId="3" applyFont="1" applyFill="1" applyBorder="1" applyProtection="1"/>
    <xf numFmtId="0" fontId="56" fillId="0" borderId="144" xfId="3" applyFont="1" applyFill="1" applyBorder="1" applyAlignment="1" applyProtection="1">
      <alignment horizontal="center"/>
    </xf>
    <xf numFmtId="0" fontId="9" fillId="0" borderId="0" xfId="3" applyFill="1" applyBorder="1" applyProtection="1"/>
    <xf numFmtId="0" fontId="9" fillId="0" borderId="0" xfId="3" applyFill="1" applyProtection="1"/>
    <xf numFmtId="0" fontId="10" fillId="0" borderId="0" xfId="3" applyFont="1" applyFill="1" applyBorder="1" applyProtection="1"/>
    <xf numFmtId="14" fontId="9" fillId="0" borderId="0" xfId="3" quotePrefix="1" applyNumberFormat="1" applyFill="1" applyAlignment="1" applyProtection="1">
      <alignment horizontal="left" indent="2"/>
      <protection locked="0"/>
    </xf>
    <xf numFmtId="14" fontId="9" fillId="0" borderId="0" xfId="3" applyNumberFormat="1" applyFill="1" applyAlignment="1" applyProtection="1">
      <alignment horizontal="left" indent="2"/>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185" fontId="142" fillId="0" borderId="0" xfId="20" applyNumberFormat="1" applyFont="1" applyAlignment="1">
      <alignment horizontal="center" vertical="center"/>
    </xf>
    <xf numFmtId="37" fontId="148" fillId="0" borderId="0" xfId="20" applyFont="1" applyAlignment="1">
      <alignment horizontal="center"/>
    </xf>
    <xf numFmtId="37" fontId="148" fillId="0" borderId="0" xfId="20" quotePrefix="1" applyFont="1" applyAlignment="1">
      <alignment horizontal="center"/>
    </xf>
    <xf numFmtId="37" fontId="147" fillId="0" borderId="0" xfId="20" applyFont="1" applyAlignment="1">
      <alignment horizontal="center"/>
    </xf>
    <xf numFmtId="43" fontId="145" fillId="0" borderId="0" xfId="21" applyFont="1" applyBorder="1" applyAlignment="1">
      <alignment horizontal="center" vertical="center"/>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horizontal="left" vertical="top" wrapText="1"/>
    </xf>
    <xf numFmtId="0" fontId="54" fillId="0" borderId="0" xfId="3" applyFont="1" applyAlignment="1" applyProtection="1">
      <alignment horizontal="left" vertical="center" wrapText="1"/>
    </xf>
    <xf numFmtId="0" fontId="54" fillId="0" borderId="0" xfId="3" applyFont="1" applyBorder="1" applyAlignment="1" applyProtection="1">
      <alignment horizontal="left" vertical="center" wrapText="1"/>
      <protection locked="0"/>
    </xf>
    <xf numFmtId="5" fontId="53" fillId="0" borderId="149" xfId="3" applyNumberFormat="1" applyFont="1" applyBorder="1" applyAlignment="1" applyProtection="1">
      <protection locked="0"/>
    </xf>
    <xf numFmtId="0" fontId="53" fillId="0" borderId="150" xfId="3" applyFont="1" applyBorder="1" applyAlignment="1" applyProtection="1">
      <protection locked="0"/>
    </xf>
    <xf numFmtId="0" fontId="54" fillId="0" borderId="0" xfId="3" applyFont="1" applyFill="1" applyBorder="1" applyAlignment="1" applyProtection="1">
      <alignment horizontal="left" vertical="center" wrapText="1"/>
    </xf>
    <xf numFmtId="0" fontId="54" fillId="0" borderId="0" xfId="3" applyFont="1" applyAlignment="1" applyProtection="1">
      <alignment horizontal="left" vertical="center" wrapTex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Fill="1" applyBorder="1" applyAlignment="1" applyProtection="1">
      <alignment horizontal="right" indent="1"/>
      <protection locked="0"/>
    </xf>
    <xf numFmtId="0" fontId="53"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170" fontId="56" fillId="0" borderId="9" xfId="3" applyNumberFormat="1" applyFont="1" applyBorder="1" applyAlignment="1" applyProtection="1">
      <alignment horizontal="center"/>
      <protection locked="0"/>
    </xf>
    <xf numFmtId="0" fontId="61" fillId="0" borderId="149" xfId="3" applyFont="1" applyFill="1" applyBorder="1" applyAlignment="1" applyProtection="1">
      <alignment horizontal="left" vertical="center"/>
      <protection locked="0"/>
    </xf>
    <xf numFmtId="0" fontId="61" fillId="0" borderId="76" xfId="3" applyFont="1" applyFill="1" applyBorder="1" applyAlignment="1" applyProtection="1">
      <alignment horizontal="left" vertical="center"/>
      <protection locked="0"/>
    </xf>
    <xf numFmtId="0" fontId="61" fillId="0" borderId="150" xfId="3" applyFont="1" applyFill="1" applyBorder="1" applyAlignment="1" applyProtection="1">
      <alignment horizontal="left" vertical="center"/>
      <protection locked="0"/>
    </xf>
    <xf numFmtId="38" fontId="61" fillId="0" borderId="77" xfId="3" applyNumberFormat="1" applyFont="1" applyFill="1" applyBorder="1" applyAlignment="1" applyProtection="1">
      <alignment horizontal="right" vertical="center"/>
      <protection locked="0"/>
    </xf>
    <xf numFmtId="0" fontId="63" fillId="0" borderId="149" xfId="3" applyFont="1" applyFill="1" applyBorder="1" applyAlignment="1" applyProtection="1">
      <alignment horizontal="center" vertical="center"/>
      <protection locked="0"/>
    </xf>
    <xf numFmtId="0" fontId="63" fillId="0" borderId="76" xfId="3" applyFont="1" applyFill="1" applyBorder="1" applyAlignment="1" applyProtection="1">
      <alignment horizontal="center" vertical="center"/>
      <protection locked="0"/>
    </xf>
    <xf numFmtId="0" fontId="63" fillId="0" borderId="150" xfId="3" applyFont="1" applyFill="1" applyBorder="1" applyAlignment="1" applyProtection="1">
      <alignment horizontal="center" vertical="center"/>
      <protection locked="0"/>
    </xf>
    <xf numFmtId="6" fontId="61" fillId="0" borderId="77" xfId="3" applyNumberFormat="1" applyFont="1" applyFill="1" applyBorder="1" applyAlignment="1" applyProtection="1">
      <alignment horizontal="right" vertical="center"/>
      <protection locked="0"/>
    </xf>
    <xf numFmtId="6" fontId="61" fillId="0" borderId="149" xfId="3" applyNumberFormat="1" applyFont="1" applyFill="1" applyBorder="1" applyProtection="1">
      <protection locked="0"/>
    </xf>
    <xf numFmtId="6" fontId="61" fillId="0" borderId="150" xfId="3" applyNumberFormat="1" applyFont="1" applyFill="1" applyBorder="1" applyProtection="1">
      <protection locked="0"/>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Fill="1" applyBorder="1" applyAlignment="1" applyProtection="1">
      <alignment horizontal="right" vertical="center"/>
      <protection locked="0"/>
    </xf>
    <xf numFmtId="38" fontId="61" fillId="0" borderId="76" xfId="3" applyNumberFormat="1" applyFont="1" applyFill="1" applyBorder="1" applyAlignment="1" applyProtection="1">
      <alignment horizontal="right" vertical="center"/>
      <protection locked="0"/>
    </xf>
    <xf numFmtId="38" fontId="61" fillId="0" borderId="150" xfId="3" applyNumberFormat="1" applyFont="1" applyFill="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Fill="1" applyBorder="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8" fontId="56" fillId="0" borderId="0" xfId="3" applyNumberFormat="1" applyFont="1" applyFill="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181" fontId="56" fillId="0" borderId="0" xfId="19" applyNumberFormat="1" applyFont="1" applyFill="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56" fillId="0" borderId="0" xfId="3" applyFont="1" applyAlignment="1" applyProtection="1">
      <alignment horizontal="left" wrapText="1"/>
      <protection locked="0"/>
    </xf>
    <xf numFmtId="14" fontId="9" fillId="0" borderId="0" xfId="3" applyNumberFormat="1" applyAlignment="1" applyProtection="1">
      <alignment horizontal="left" vertical="top" wrapText="1" indent="2"/>
      <protection locked="0"/>
    </xf>
    <xf numFmtId="0" fontId="12" fillId="0" borderId="0" xfId="3" applyNumberFormat="1" applyFont="1" applyBorder="1" applyAlignment="1" applyProtection="1">
      <alignment horizontal="center" vertical="center" wrapText="1"/>
    </xf>
    <xf numFmtId="165" fontId="12" fillId="0" borderId="0" xfId="3" applyNumberFormat="1" applyFont="1" applyBorder="1" applyAlignment="1" applyProtection="1">
      <alignment horizontal="center" vertical="center" wrapText="1"/>
    </xf>
    <xf numFmtId="0" fontId="19" fillId="0" borderId="0" xfId="3" applyFont="1" applyAlignment="1" applyProtection="1">
      <alignment horizontal="center" vertical="center" wrapText="1"/>
    </xf>
    <xf numFmtId="171" fontId="19" fillId="0" borderId="0" xfId="3" applyNumberFormat="1" applyFont="1" applyAlignment="1" applyProtection="1">
      <alignment horizontal="center" vertical="center" wrapText="1"/>
    </xf>
    <xf numFmtId="0" fontId="9" fillId="0" borderId="0" xfId="3" applyBorder="1" applyAlignment="1" applyProtection="1">
      <alignment horizontal="left" vertical="top" wrapText="1"/>
      <protection locked="0"/>
    </xf>
    <xf numFmtId="0" fontId="9" fillId="0" borderId="0" xfId="3" applyAlignment="1" applyProtection="1">
      <alignment horizontal="left" vertical="top" wrapText="1"/>
      <protection locked="0"/>
    </xf>
    <xf numFmtId="14" fontId="9" fillId="0" borderId="0" xfId="3" applyNumberFormat="1" applyFill="1" applyAlignment="1" applyProtection="1">
      <alignment horizontal="left" vertical="top" wrapText="1" indent="2"/>
      <protection locked="0"/>
    </xf>
    <xf numFmtId="0" fontId="9" fillId="0" borderId="0" xfId="3" applyFill="1" applyBorder="1" applyAlignment="1" applyProtection="1">
      <alignment horizontal="left" vertical="top" wrapText="1"/>
      <protection locked="0"/>
    </xf>
    <xf numFmtId="0" fontId="9" fillId="0" borderId="0" xfId="3" applyFill="1" applyAlignment="1" applyProtection="1">
      <alignment horizontal="left" vertical="top" wrapText="1"/>
      <protection locked="0"/>
    </xf>
  </cellXfs>
  <cellStyles count="22">
    <cellStyle name="Comma" xfId="1" builtinId="3"/>
    <cellStyle name="Comma 2" xfId="21" xr:uid="{00000000-0005-0000-0000-000001000000}"/>
    <cellStyle name="Currency 2" xfId="19"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2</xdr:col>
      <xdr:colOff>76200</xdr:colOff>
      <xdr:row>45</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923925" y="7372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44</xdr:row>
      <xdr:rowOff>0</xdr:rowOff>
    </xdr:from>
    <xdr:to>
      <xdr:col>2</xdr:col>
      <xdr:colOff>0</xdr:colOff>
      <xdr:row>44</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923925" y="72009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2438400" y="8001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828800" y="80010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7"/>
    <xdr:sp macro="" textlink="">
      <xdr:nvSpPr>
        <xdr:cNvPr id="2" name="Text 1">
          <a:extLst>
            <a:ext uri="{FF2B5EF4-FFF2-40B4-BE49-F238E27FC236}">
              <a16:creationId xmlns:a16="http://schemas.microsoft.com/office/drawing/2014/main" id="{42180698-34DF-4809-8B09-0D71973564FB}"/>
            </a:ext>
          </a:extLst>
        </xdr:cNvPr>
        <xdr:cNvSpPr txBox="1">
          <a:spLocks noChangeArrowheads="1"/>
        </xdr:cNvSpPr>
      </xdr:nvSpPr>
      <xdr:spPr bwMode="auto">
        <a:xfrm>
          <a:off x="1647825" y="878205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24C0F501-1FA5-46BC-BC15-347CDAA032E8}"/>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8"/>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2438400" y="8001000"/>
          <a:ext cx="85725" cy="201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41</xdr:row>
      <xdr:rowOff>0</xdr:rowOff>
    </xdr:from>
    <xdr:ext cx="85725" cy="201757"/>
    <xdr:sp macro="" textlink="">
      <xdr:nvSpPr>
        <xdr:cNvPr id="3" name="Text 1">
          <a:extLst>
            <a:ext uri="{FF2B5EF4-FFF2-40B4-BE49-F238E27FC236}">
              <a16:creationId xmlns:a16="http://schemas.microsoft.com/office/drawing/2014/main" id="{00000000-0008-0000-2900-000003000000}"/>
            </a:ext>
          </a:extLst>
        </xdr:cNvPr>
        <xdr:cNvSpPr txBox="1">
          <a:spLocks noChangeArrowheads="1"/>
        </xdr:cNvSpPr>
      </xdr:nvSpPr>
      <xdr:spPr bwMode="auto">
        <a:xfrm>
          <a:off x="2438400" y="78105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8"/>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8772525"/>
          <a:ext cx="85725" cy="201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41</xdr:row>
      <xdr:rowOff>0</xdr:rowOff>
    </xdr:from>
    <xdr:ext cx="85725" cy="201757"/>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1647825" y="86010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8"/>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647825" y="8772525"/>
          <a:ext cx="85725" cy="201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41</xdr:row>
      <xdr:rowOff>0</xdr:rowOff>
    </xdr:from>
    <xdr:ext cx="85725" cy="201757"/>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1647825" y="86010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oneCellAnchor>
    <xdr:from>
      <xdr:col>4</xdr:col>
      <xdr:colOff>0</xdr:colOff>
      <xdr:row>42</xdr:row>
      <xdr:rowOff>0</xdr:rowOff>
    </xdr:from>
    <xdr:ext cx="85725" cy="201758"/>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1647825" y="8772525"/>
          <a:ext cx="85725" cy="201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41</xdr:row>
      <xdr:rowOff>0</xdr:rowOff>
    </xdr:from>
    <xdr:ext cx="85725" cy="201757"/>
    <xdr:sp macro="" textlink="">
      <xdr:nvSpPr>
        <xdr:cNvPr id="3" name="Text 1">
          <a:extLst>
            <a:ext uri="{FF2B5EF4-FFF2-40B4-BE49-F238E27FC236}">
              <a16:creationId xmlns:a16="http://schemas.microsoft.com/office/drawing/2014/main" id="{00000000-0008-0000-2C00-000003000000}"/>
            </a:ext>
          </a:extLst>
        </xdr:cNvPr>
        <xdr:cNvSpPr txBox="1">
          <a:spLocks noChangeArrowheads="1"/>
        </xdr:cNvSpPr>
      </xdr:nvSpPr>
      <xdr:spPr bwMode="auto">
        <a:xfrm>
          <a:off x="1647825" y="8601075"/>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1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1082387</xdr:colOff>
          <xdr:row>1</xdr:row>
          <xdr:rowOff>0</xdr:rowOff>
        </xdr:from>
        <xdr:to>
          <xdr:col>1</xdr:col>
          <xdr:colOff>1993323</xdr:colOff>
          <xdr:row>5</xdr:row>
          <xdr:rowOff>38100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400-000002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438400" y="36195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219200" y="342900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E78DE851-46E3-422F-8077-D1E58E89B0F1}"/>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7D84217-5F8E-452F-B9AD-85547C52955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552700" y="3238500"/>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657600" y="1905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2183" t="s">
        <v>405</v>
      </c>
      <c r="J1" s="2184"/>
      <c r="K1" s="2184"/>
      <c r="L1" s="2184"/>
      <c r="M1" s="2184"/>
      <c r="N1" s="2184"/>
      <c r="O1" s="2184"/>
      <c r="P1" s="2184"/>
      <c r="Q1" s="2184"/>
      <c r="R1" s="2184"/>
      <c r="S1" s="2184"/>
    </row>
    <row r="2" spans="1:28" ht="12" customHeight="1" x14ac:dyDescent="0.2">
      <c r="A2" s="47" t="s">
        <v>1986</v>
      </c>
      <c r="D2" s="48"/>
      <c r="I2" s="2185" t="s">
        <v>979</v>
      </c>
      <c r="J2" s="2184"/>
      <c r="K2" s="2184"/>
      <c r="L2" s="2184"/>
      <c r="M2" s="2184"/>
      <c r="N2" s="2184"/>
      <c r="O2" s="2184"/>
      <c r="P2" s="2184"/>
      <c r="Q2" s="2184"/>
      <c r="R2" s="2184"/>
      <c r="S2" s="2184"/>
    </row>
    <row r="3" spans="1:28" ht="12" customHeight="1" x14ac:dyDescent="0.2">
      <c r="A3" s="155" t="s">
        <v>1938</v>
      </c>
      <c r="B3" s="156"/>
      <c r="C3" s="156"/>
      <c r="D3" s="157"/>
      <c r="I3" s="2185" t="s">
        <v>52</v>
      </c>
      <c r="J3" s="2184"/>
      <c r="K3" s="2184"/>
      <c r="L3" s="2184"/>
      <c r="M3" s="2184"/>
      <c r="N3" s="2184"/>
      <c r="O3" s="2184"/>
      <c r="P3" s="2184"/>
      <c r="Q3" s="2184"/>
      <c r="R3" s="2184"/>
      <c r="S3" s="2184"/>
    </row>
    <row r="4" spans="1:28" ht="12" customHeight="1" x14ac:dyDescent="0.2">
      <c r="A4" s="37"/>
      <c r="I4" s="2185" t="s">
        <v>524</v>
      </c>
      <c r="J4" s="2184"/>
      <c r="K4" s="2184"/>
      <c r="L4" s="2184"/>
      <c r="M4" s="2184"/>
      <c r="N4" s="2184"/>
      <c r="O4" s="2184"/>
      <c r="P4" s="2184"/>
      <c r="Q4" s="2184"/>
      <c r="R4" s="2184"/>
      <c r="S4" s="2184"/>
    </row>
    <row r="5" spans="1:28" ht="14.1" customHeight="1" x14ac:dyDescent="0.2">
      <c r="B5" s="104"/>
      <c r="C5" s="26" t="s">
        <v>910</v>
      </c>
      <c r="D5" s="84"/>
      <c r="E5" s="84"/>
      <c r="H5" s="38"/>
      <c r="I5" s="2193" t="s">
        <v>680</v>
      </c>
      <c r="J5" s="2192"/>
      <c r="K5" s="2192"/>
      <c r="L5" s="2192"/>
      <c r="M5" s="2192"/>
      <c r="N5" s="2192"/>
      <c r="O5" s="2192"/>
      <c r="P5" s="2192"/>
      <c r="Q5" s="2192"/>
      <c r="R5" s="2192"/>
      <c r="S5" s="2192"/>
    </row>
    <row r="6" spans="1:28" ht="14.1" customHeight="1" x14ac:dyDescent="0.2">
      <c r="B6" s="104" t="s">
        <v>2063</v>
      </c>
      <c r="C6" s="26" t="s">
        <v>911</v>
      </c>
      <c r="D6" s="84"/>
      <c r="E6" s="84"/>
      <c r="I6" s="2191" t="s">
        <v>883</v>
      </c>
      <c r="J6" s="2192"/>
      <c r="K6" s="2192"/>
      <c r="L6" s="2192"/>
      <c r="M6" s="2192"/>
      <c r="N6" s="2192"/>
      <c r="O6" s="2192"/>
      <c r="P6" s="2192"/>
      <c r="Q6" s="2192"/>
      <c r="R6" s="2192"/>
      <c r="S6" s="2192"/>
    </row>
    <row r="7" spans="1:28" ht="12.2" customHeight="1" x14ac:dyDescent="0.2">
      <c r="I7" s="2186">
        <v>43646</v>
      </c>
      <c r="J7" s="2187"/>
      <c r="K7" s="2187"/>
      <c r="L7" s="2187"/>
      <c r="M7" s="2187"/>
      <c r="N7" s="2187"/>
      <c r="O7" s="2187"/>
      <c r="P7" s="2187"/>
      <c r="Q7" s="2187"/>
      <c r="R7" s="2187"/>
      <c r="S7" s="21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88" t="s">
        <v>674</v>
      </c>
      <c r="J9" s="2189"/>
      <c r="K9" s="2189"/>
      <c r="L9" s="2189"/>
      <c r="M9" s="2189"/>
      <c r="N9" s="2189"/>
      <c r="O9" s="2189"/>
      <c r="P9" s="2189"/>
      <c r="Q9" s="2189"/>
      <c r="R9" s="2189"/>
      <c r="S9" s="2190"/>
      <c r="T9" s="2204" t="s">
        <v>533</v>
      </c>
      <c r="U9" s="2205"/>
      <c r="V9" s="2205"/>
      <c r="W9" s="2205"/>
      <c r="X9" s="2205"/>
      <c r="Y9" s="2205"/>
      <c r="Z9" s="2205"/>
      <c r="AA9" s="2206"/>
    </row>
    <row r="10" spans="1:28" ht="13.5" customHeight="1" x14ac:dyDescent="0.2">
      <c r="A10" s="2211" t="s">
        <v>675</v>
      </c>
      <c r="B10" s="2212"/>
      <c r="C10" s="2212"/>
      <c r="D10" s="2212"/>
      <c r="E10" s="2212"/>
      <c r="F10" s="2212"/>
      <c r="G10" s="2212"/>
      <c r="H10" s="2213"/>
      <c r="I10" s="29"/>
      <c r="J10" s="30"/>
      <c r="K10" s="28"/>
      <c r="R10" s="30"/>
      <c r="S10" s="30"/>
      <c r="T10" s="2207"/>
      <c r="U10" s="2192"/>
      <c r="V10" s="2192"/>
      <c r="W10" s="2192"/>
      <c r="X10" s="2192"/>
      <c r="Y10" s="2192"/>
      <c r="Z10" s="2192"/>
      <c r="AA10" s="2198"/>
    </row>
    <row r="11" spans="1:28" ht="14.25" customHeight="1" x14ac:dyDescent="0.2">
      <c r="A11" s="2214" t="s">
        <v>955</v>
      </c>
      <c r="B11" s="2215"/>
      <c r="C11" s="2215"/>
      <c r="D11" s="2215"/>
      <c r="E11" s="2215"/>
      <c r="F11" s="2215"/>
      <c r="G11" s="2215"/>
      <c r="H11" s="2216"/>
      <c r="I11" s="27"/>
      <c r="J11" s="74"/>
      <c r="K11" s="27"/>
      <c r="O11" s="148"/>
      <c r="P11" s="100" t="s">
        <v>201</v>
      </c>
      <c r="Q11" s="30"/>
      <c r="R11" s="28"/>
      <c r="S11" s="27"/>
      <c r="T11" s="2208"/>
      <c r="U11" s="2209"/>
      <c r="V11" s="2209"/>
      <c r="W11" s="2209"/>
      <c r="X11" s="2209"/>
      <c r="Y11" s="2209"/>
      <c r="Z11" s="2209"/>
      <c r="AA11" s="2210"/>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2218">
        <v>49081865060</v>
      </c>
      <c r="B13" s="2219"/>
      <c r="C13" s="2219"/>
      <c r="D13" s="2219"/>
      <c r="E13" s="2219"/>
      <c r="F13" s="2219"/>
      <c r="G13" s="2219"/>
      <c r="H13" s="2220"/>
      <c r="I13" s="31"/>
      <c r="J13" s="30"/>
      <c r="K13" s="28"/>
      <c r="L13" s="30"/>
      <c r="M13" s="30"/>
      <c r="N13" s="30"/>
      <c r="O13" s="30"/>
      <c r="P13" s="30"/>
      <c r="Q13" s="30"/>
      <c r="R13" s="30"/>
      <c r="S13" s="30"/>
      <c r="T13" s="2223" t="s">
        <v>2065</v>
      </c>
      <c r="U13" s="2224"/>
      <c r="V13" s="2224"/>
      <c r="W13" s="2224"/>
      <c r="X13" s="2224"/>
      <c r="Y13" s="2225"/>
      <c r="Z13" s="2225"/>
      <c r="AA13" s="22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217" t="s">
        <v>2067</v>
      </c>
      <c r="B15" s="2221"/>
      <c r="C15" s="2221"/>
      <c r="D15" s="2221"/>
      <c r="E15" s="2221"/>
      <c r="F15" s="2221"/>
      <c r="G15" s="2221"/>
      <c r="H15" s="2222"/>
      <c r="T15" s="2227" t="s">
        <v>2072</v>
      </c>
      <c r="U15" s="2171"/>
      <c r="V15" s="2171"/>
      <c r="W15" s="2171"/>
      <c r="X15" s="2171"/>
      <c r="Y15" s="2228"/>
      <c r="Z15" s="2228"/>
      <c r="AA15" s="22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77" t="s">
        <v>2354</v>
      </c>
      <c r="B17" s="2178"/>
      <c r="C17" s="2178"/>
      <c r="D17" s="2178"/>
      <c r="E17" s="2178"/>
      <c r="F17" s="2178"/>
      <c r="G17" s="2178"/>
      <c r="H17" s="2203"/>
      <c r="T17" s="2234" t="s">
        <v>2057</v>
      </c>
      <c r="U17" s="2235"/>
      <c r="V17" s="2235"/>
      <c r="W17" s="2235"/>
      <c r="X17" s="2235"/>
      <c r="Y17" s="2235"/>
      <c r="Z17" s="2235"/>
      <c r="AA17" s="2236"/>
    </row>
    <row r="18" spans="1:27" ht="13.5" customHeight="1" x14ac:dyDescent="0.2">
      <c r="A18" s="85" t="s">
        <v>530</v>
      </c>
      <c r="B18" s="76"/>
      <c r="C18" s="72"/>
      <c r="D18" s="76"/>
      <c r="E18" s="76"/>
      <c r="F18" s="76"/>
      <c r="G18" s="76"/>
      <c r="H18" s="56"/>
      <c r="I18" s="2202" t="s">
        <v>676</v>
      </c>
      <c r="J18" s="2153"/>
      <c r="K18" s="2153"/>
      <c r="L18" s="2153"/>
      <c r="M18" s="2153"/>
      <c r="N18" s="2153"/>
      <c r="O18" s="2153"/>
      <c r="P18" s="2153"/>
      <c r="Q18" s="2153"/>
      <c r="R18" s="2153"/>
      <c r="S18" s="2154"/>
      <c r="T18" s="85" t="s">
        <v>711</v>
      </c>
      <c r="U18" s="51"/>
      <c r="V18" s="72"/>
      <c r="W18" s="50"/>
      <c r="X18" s="85" t="s">
        <v>266</v>
      </c>
      <c r="Y18" s="81"/>
      <c r="Z18" s="159" t="s">
        <v>677</v>
      </c>
      <c r="AA18" s="46"/>
    </row>
    <row r="19" spans="1:27" ht="13.5" customHeight="1" x14ac:dyDescent="0.2">
      <c r="A19" s="2217" t="s">
        <v>2069</v>
      </c>
      <c r="B19" s="2163"/>
      <c r="C19" s="2163"/>
      <c r="D19" s="2163"/>
      <c r="E19" s="2163"/>
      <c r="F19" s="2163"/>
      <c r="G19" s="2163"/>
      <c r="H19" s="2143"/>
      <c r="I19" s="30"/>
      <c r="J19" s="99"/>
      <c r="K19" s="40"/>
      <c r="L19" s="38"/>
      <c r="M19" s="112" t="s">
        <v>315</v>
      </c>
      <c r="P19" s="27"/>
      <c r="Q19" s="27"/>
      <c r="R19" s="27"/>
      <c r="S19" s="31"/>
      <c r="T19" s="2217" t="s">
        <v>2058</v>
      </c>
      <c r="U19" s="2142"/>
      <c r="V19" s="2142"/>
      <c r="W19" s="2143"/>
      <c r="X19" s="2232" t="s">
        <v>2059</v>
      </c>
      <c r="Y19" s="2233"/>
      <c r="Z19" s="2230">
        <v>61614</v>
      </c>
      <c r="AA19" s="22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41" t="s">
        <v>2070</v>
      </c>
      <c r="B21" s="2142"/>
      <c r="C21" s="2142"/>
      <c r="D21" s="2142"/>
      <c r="E21" s="2142"/>
      <c r="F21" s="2142"/>
      <c r="G21" s="2142"/>
      <c r="H21" s="2143"/>
      <c r="I21" s="2197" t="s">
        <v>678</v>
      </c>
      <c r="J21" s="2192"/>
      <c r="K21" s="2192"/>
      <c r="L21" s="2192"/>
      <c r="M21" s="2192"/>
      <c r="N21" s="2192"/>
      <c r="O21" s="2192"/>
      <c r="P21" s="2192"/>
      <c r="Q21" s="2192"/>
      <c r="R21" s="2192"/>
      <c r="S21" s="2198"/>
      <c r="T21" s="2241" t="s">
        <v>2060</v>
      </c>
      <c r="U21" s="2242"/>
      <c r="V21" s="2242"/>
      <c r="W21" s="2242"/>
      <c r="X21" s="2247" t="s">
        <v>2061</v>
      </c>
      <c r="Y21" s="2248"/>
      <c r="Z21" s="2248"/>
      <c r="AA21" s="2249"/>
    </row>
    <row r="22" spans="1:27" ht="13.5" customHeight="1" x14ac:dyDescent="0.2">
      <c r="A22" s="87" t="s">
        <v>531</v>
      </c>
      <c r="B22" s="59"/>
      <c r="C22" s="59"/>
      <c r="D22" s="59"/>
      <c r="E22" s="59"/>
      <c r="F22" s="59"/>
      <c r="G22" s="59"/>
      <c r="H22" s="60"/>
      <c r="I22" s="2199" t="s">
        <v>1429</v>
      </c>
      <c r="J22" s="2200"/>
      <c r="K22" s="2200"/>
      <c r="L22" s="2200"/>
      <c r="M22" s="2200"/>
      <c r="N22" s="2200"/>
      <c r="O22" s="2200"/>
      <c r="P22" s="2200"/>
      <c r="Q22" s="2200"/>
      <c r="R22" s="2200"/>
      <c r="S22" s="2201"/>
      <c r="T22" s="85" t="s">
        <v>1515</v>
      </c>
      <c r="U22" s="51"/>
      <c r="V22" s="72"/>
      <c r="W22" s="51"/>
      <c r="X22" s="160" t="s">
        <v>1318</v>
      </c>
      <c r="Z22" s="45"/>
      <c r="AA22" s="46"/>
    </row>
    <row r="23" spans="1:27" ht="13.5" customHeight="1" x14ac:dyDescent="0.2">
      <c r="A23" s="2194" t="s">
        <v>2071</v>
      </c>
      <c r="B23" s="2195"/>
      <c r="C23" s="2195"/>
      <c r="D23" s="2195"/>
      <c r="E23" s="2195"/>
      <c r="F23" s="2195"/>
      <c r="G23" s="2195"/>
      <c r="H23" s="2196"/>
      <c r="T23" s="2177" t="s">
        <v>2062</v>
      </c>
      <c r="U23" s="2240"/>
      <c r="V23" s="2240"/>
      <c r="W23" s="2240"/>
      <c r="X23" s="2244">
        <v>44501</v>
      </c>
      <c r="Y23" s="2245"/>
      <c r="Z23" s="2245"/>
      <c r="AA23" s="2246"/>
    </row>
    <row r="24" spans="1:27" ht="14.1" customHeight="1" x14ac:dyDescent="0.2">
      <c r="A24" s="88" t="s">
        <v>677</v>
      </c>
      <c r="B24" s="49"/>
      <c r="C24" s="49"/>
      <c r="D24" s="49"/>
      <c r="E24" s="49"/>
      <c r="F24" s="49"/>
      <c r="G24" s="49"/>
      <c r="H24" s="61"/>
      <c r="J24" s="2164" t="str">
        <f>IF(B5="x",IF(AUDITCHECK!D29="AFR form Incomplete.","",IF(AUDITCHECK!D29="Deficit reduction plan is required.","School District must complete a deficit reduction plan in the 2019-2020 Budget",)),"")</f>
        <v/>
      </c>
      <c r="K24" s="2164"/>
      <c r="L24" s="2164"/>
      <c r="M24" s="2164"/>
      <c r="N24" s="2164"/>
      <c r="O24" s="2164"/>
      <c r="P24" s="2164"/>
      <c r="Q24" s="2164"/>
      <c r="R24" s="2164"/>
      <c r="S24" s="2165"/>
      <c r="T24" s="105" t="s">
        <v>531</v>
      </c>
      <c r="U24" s="106"/>
      <c r="V24" s="106"/>
      <c r="W24" s="106"/>
      <c r="X24" s="107"/>
      <c r="Y24" s="107"/>
      <c r="Z24" s="107"/>
      <c r="AA24" s="108"/>
    </row>
    <row r="25" spans="1:27" ht="14.1" customHeight="1" x14ac:dyDescent="0.2">
      <c r="A25" s="2141">
        <v>61244</v>
      </c>
      <c r="B25" s="2142"/>
      <c r="C25" s="2142"/>
      <c r="D25" s="2142"/>
      <c r="E25" s="2142"/>
      <c r="F25" s="2142"/>
      <c r="G25" s="2142"/>
      <c r="H25" s="2143"/>
      <c r="I25" s="113"/>
      <c r="J25" s="2166"/>
      <c r="K25" s="2166"/>
      <c r="L25" s="2166"/>
      <c r="M25" s="2166"/>
      <c r="N25" s="2166"/>
      <c r="O25" s="2166"/>
      <c r="P25" s="2166"/>
      <c r="Q25" s="2166"/>
      <c r="R25" s="2166"/>
      <c r="S25" s="2167"/>
      <c r="T25" s="2237" t="s">
        <v>2073</v>
      </c>
      <c r="U25" s="2238"/>
      <c r="V25" s="2238"/>
      <c r="W25" s="2238"/>
      <c r="X25" s="2238"/>
      <c r="Y25" s="2238"/>
      <c r="Z25" s="2238"/>
      <c r="AA25" s="22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52" t="s">
        <v>1510</v>
      </c>
      <c r="J27" s="2153"/>
      <c r="K27" s="2153"/>
      <c r="L27" s="2153"/>
      <c r="M27" s="2153"/>
      <c r="N27" s="2153"/>
      <c r="O27" s="2153"/>
      <c r="P27" s="2153"/>
      <c r="Q27" s="2153"/>
      <c r="R27" s="2153"/>
      <c r="S27" s="21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63"/>
      <c r="Q35" s="2142"/>
      <c r="R35" s="21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77" t="s">
        <v>2074</v>
      </c>
      <c r="B38" s="2178"/>
      <c r="C38" s="2178"/>
      <c r="D38" s="2178"/>
      <c r="E38" s="2178"/>
      <c r="F38" s="2142"/>
      <c r="G38" s="2142"/>
      <c r="H38" s="2143"/>
      <c r="I38" s="2170"/>
      <c r="J38" s="2171"/>
      <c r="K38" s="2171"/>
      <c r="L38" s="2171"/>
      <c r="M38" s="2171"/>
      <c r="N38" s="2171"/>
      <c r="O38" s="2171"/>
      <c r="P38" s="2172"/>
      <c r="Q38" s="2172"/>
      <c r="R38" s="2172"/>
      <c r="S38" s="2173"/>
      <c r="T38" s="2227"/>
      <c r="U38" s="2171"/>
      <c r="V38" s="2171"/>
      <c r="W38" s="2171"/>
      <c r="X38" s="2172"/>
      <c r="Y38" s="2172"/>
      <c r="Z38" s="2172"/>
      <c r="AA38" s="2173"/>
    </row>
    <row r="39" spans="1:27" ht="12" customHeight="1" x14ac:dyDescent="0.2">
      <c r="A39" s="2147" t="s">
        <v>531</v>
      </c>
      <c r="B39" s="2148"/>
      <c r="C39" s="72"/>
      <c r="D39" s="69"/>
      <c r="E39" s="69"/>
      <c r="F39" s="79"/>
      <c r="G39" s="69"/>
      <c r="H39" s="56"/>
      <c r="I39" s="2147" t="s">
        <v>531</v>
      </c>
      <c r="J39" s="2148"/>
      <c r="K39" s="2148"/>
      <c r="L39" s="2148"/>
      <c r="M39" s="2148"/>
      <c r="N39" s="67"/>
      <c r="O39" s="72"/>
      <c r="P39" s="72"/>
      <c r="Q39" s="78"/>
      <c r="R39" s="72"/>
      <c r="S39" s="56"/>
      <c r="T39" s="72" t="s">
        <v>531</v>
      </c>
      <c r="U39" s="51"/>
      <c r="V39" s="72"/>
      <c r="W39" s="50"/>
      <c r="X39" s="78"/>
      <c r="Y39" s="45"/>
      <c r="Z39" s="45"/>
      <c r="AA39" s="46"/>
    </row>
    <row r="40" spans="1:27" ht="13.5" customHeight="1" x14ac:dyDescent="0.2">
      <c r="A40" s="2155" t="s">
        <v>2071</v>
      </c>
      <c r="B40" s="2156"/>
      <c r="C40" s="2157"/>
      <c r="D40" s="2157"/>
      <c r="E40" s="2157"/>
      <c r="F40" s="2158"/>
      <c r="G40" s="2158"/>
      <c r="H40" s="2159"/>
      <c r="I40" s="2180"/>
      <c r="J40" s="2181"/>
      <c r="K40" s="2181"/>
      <c r="L40" s="2181"/>
      <c r="M40" s="2181"/>
      <c r="N40" s="2181"/>
      <c r="O40" s="2181"/>
      <c r="P40" s="2181"/>
      <c r="Q40" s="2181"/>
      <c r="R40" s="2181"/>
      <c r="S40" s="2182"/>
      <c r="T40" s="2180"/>
      <c r="U40" s="2243"/>
      <c r="V40" s="2181"/>
      <c r="W40" s="2181"/>
      <c r="X40" s="2181"/>
      <c r="Y40" s="2181"/>
      <c r="Z40" s="2181"/>
      <c r="AA40" s="21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69" t="s">
        <v>2075</v>
      </c>
      <c r="B42" s="2161"/>
      <c r="C42" s="2162"/>
      <c r="D42" s="2160" t="s">
        <v>2076</v>
      </c>
      <c r="E42" s="2161"/>
      <c r="F42" s="2161"/>
      <c r="G42" s="2161"/>
      <c r="H42" s="2162"/>
      <c r="I42" s="2144"/>
      <c r="J42" s="2145"/>
      <c r="K42" s="2145"/>
      <c r="L42" s="2145"/>
      <c r="M42" s="2145"/>
      <c r="N42" s="2145"/>
      <c r="O42" s="2146"/>
      <c r="P42" s="2179"/>
      <c r="Q42" s="2145"/>
      <c r="R42" s="2145"/>
      <c r="S42" s="2146"/>
      <c r="T42" s="2144"/>
      <c r="U42" s="2145"/>
      <c r="V42" s="2145"/>
      <c r="W42" s="2146"/>
      <c r="X42" s="2179"/>
      <c r="Y42" s="2145"/>
      <c r="Z42" s="2145"/>
      <c r="AA42" s="21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74"/>
      <c r="B44" s="2175"/>
      <c r="C44" s="2175"/>
      <c r="D44" s="2175"/>
      <c r="E44" s="2175"/>
      <c r="F44" s="2175"/>
      <c r="G44" s="2175"/>
      <c r="H44" s="2176"/>
      <c r="I44" s="2149"/>
      <c r="J44" s="2150"/>
      <c r="K44" s="2150"/>
      <c r="L44" s="2150"/>
      <c r="M44" s="2150"/>
      <c r="N44" s="2150"/>
      <c r="O44" s="2150"/>
      <c r="P44" s="2150"/>
      <c r="Q44" s="2150"/>
      <c r="R44" s="2150"/>
      <c r="S44" s="2151"/>
      <c r="T44" s="2149"/>
      <c r="U44" s="2168"/>
      <c r="V44" s="2168"/>
      <c r="W44" s="2168"/>
      <c r="X44" s="2168"/>
      <c r="Y44" s="2168"/>
      <c r="Z44" s="2150"/>
      <c r="AA44" s="21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1937</v>
      </c>
      <c r="D46" s="41"/>
      <c r="E46" s="41"/>
      <c r="F46" s="41"/>
      <c r="G46" s="41"/>
      <c r="Q46" s="29" t="s">
        <v>1420</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383" t="s">
        <v>1796</v>
      </c>
      <c r="B2" s="1502" t="s">
        <v>1944</v>
      </c>
      <c r="C2" s="711" t="s">
        <v>1945</v>
      </c>
      <c r="D2" s="711" t="s">
        <v>1946</v>
      </c>
      <c r="E2" s="711" t="s">
        <v>1947</v>
      </c>
      <c r="F2" s="711" t="s">
        <v>1948</v>
      </c>
    </row>
    <row r="3" spans="1:6" ht="12" customHeight="1" x14ac:dyDescent="0.2">
      <c r="A3" s="2384"/>
      <c r="B3" s="1499"/>
      <c r="C3" s="1500"/>
      <c r="D3" s="1501" t="s">
        <v>256</v>
      </c>
      <c r="E3" s="1500"/>
      <c r="F3" s="1501" t="s">
        <v>257</v>
      </c>
    </row>
    <row r="4" spans="1:6" ht="13.7" customHeight="1" x14ac:dyDescent="0.2">
      <c r="A4" s="712" t="s">
        <v>1155</v>
      </c>
      <c r="B4" s="1723">
        <f>'Revenues 9-14'!C5</f>
        <v>0</v>
      </c>
      <c r="C4" s="1498"/>
      <c r="D4" s="1726">
        <f>B4-C4</f>
        <v>0</v>
      </c>
      <c r="E4" s="1498"/>
      <c r="F4" s="1726">
        <f>E4-C4</f>
        <v>0</v>
      </c>
    </row>
    <row r="5" spans="1:6" ht="13.7" customHeight="1" x14ac:dyDescent="0.2">
      <c r="A5" s="712" t="s">
        <v>870</v>
      </c>
      <c r="B5" s="1724">
        <f>'Revenues 9-14'!D5</f>
        <v>0</v>
      </c>
      <c r="C5" s="582"/>
      <c r="D5" s="1727">
        <f t="shared" ref="D5:D18" si="0">B5-C5</f>
        <v>0</v>
      </c>
      <c r="E5" s="582"/>
      <c r="F5" s="1727">
        <f>E5-C5</f>
        <v>0</v>
      </c>
    </row>
    <row r="6" spans="1:6" ht="13.7" customHeight="1" x14ac:dyDescent="0.2">
      <c r="A6" s="712" t="s">
        <v>411</v>
      </c>
      <c r="B6" s="1724">
        <f>'Revenues 9-14'!E5</f>
        <v>0</v>
      </c>
      <c r="C6" s="582"/>
      <c r="D6" s="1727">
        <f t="shared" si="0"/>
        <v>0</v>
      </c>
      <c r="E6" s="582"/>
      <c r="F6" s="1727">
        <f t="shared" ref="F6:F18" si="1">E6-C6</f>
        <v>0</v>
      </c>
    </row>
    <row r="7" spans="1:6" ht="13.7" customHeight="1" x14ac:dyDescent="0.2">
      <c r="A7" s="712" t="s">
        <v>155</v>
      </c>
      <c r="B7" s="1724">
        <f>'Revenues 9-14'!F5</f>
        <v>0</v>
      </c>
      <c r="C7" s="582"/>
      <c r="D7" s="1727">
        <f t="shared" si="0"/>
        <v>0</v>
      </c>
      <c r="E7" s="582"/>
      <c r="F7" s="1727">
        <f t="shared" si="1"/>
        <v>0</v>
      </c>
    </row>
    <row r="8" spans="1:6" ht="13.7" customHeight="1" x14ac:dyDescent="0.2">
      <c r="A8" s="712" t="s">
        <v>1179</v>
      </c>
      <c r="B8" s="1724">
        <f>'Revenues 9-14'!G5</f>
        <v>0</v>
      </c>
      <c r="C8" s="582"/>
      <c r="D8" s="1727">
        <f t="shared" si="0"/>
        <v>0</v>
      </c>
      <c r="E8" s="582"/>
      <c r="F8" s="1727">
        <f t="shared" si="1"/>
        <v>0</v>
      </c>
    </row>
    <row r="9" spans="1:6" ht="13.7" customHeight="1" x14ac:dyDescent="0.2">
      <c r="A9" s="712" t="s">
        <v>408</v>
      </c>
      <c r="B9" s="1724">
        <f>'Revenues 9-14'!H5</f>
        <v>0</v>
      </c>
      <c r="C9" s="582"/>
      <c r="D9" s="1727">
        <f t="shared" si="0"/>
        <v>0</v>
      </c>
      <c r="E9" s="582"/>
      <c r="F9" s="1727">
        <f t="shared" si="1"/>
        <v>0</v>
      </c>
    </row>
    <row r="10" spans="1:6" ht="13.7" customHeight="1" x14ac:dyDescent="0.2">
      <c r="A10" s="712" t="s">
        <v>407</v>
      </c>
      <c r="B10" s="1724">
        <f>'Revenues 9-14'!I5</f>
        <v>0</v>
      </c>
      <c r="C10" s="582"/>
      <c r="D10" s="1727">
        <f t="shared" si="0"/>
        <v>0</v>
      </c>
      <c r="E10" s="582"/>
      <c r="F10" s="1727">
        <f t="shared" si="1"/>
        <v>0</v>
      </c>
    </row>
    <row r="11" spans="1:6" x14ac:dyDescent="0.2">
      <c r="A11" s="712" t="s">
        <v>409</v>
      </c>
      <c r="B11" s="1724">
        <f>'Revenues 9-14'!J5</f>
        <v>0</v>
      </c>
      <c r="C11" s="582"/>
      <c r="D11" s="1727">
        <f t="shared" si="0"/>
        <v>0</v>
      </c>
      <c r="E11" s="582"/>
      <c r="F11" s="1727">
        <f t="shared" si="1"/>
        <v>0</v>
      </c>
    </row>
    <row r="12" spans="1:6" ht="13.7" customHeight="1" x14ac:dyDescent="0.2">
      <c r="A12" s="712" t="s">
        <v>157</v>
      </c>
      <c r="B12" s="1724">
        <f>'Revenues 9-14'!K5</f>
        <v>0</v>
      </c>
      <c r="C12" s="582"/>
      <c r="D12" s="1727">
        <f t="shared" si="0"/>
        <v>0</v>
      </c>
      <c r="E12" s="582"/>
      <c r="F12" s="1727">
        <f t="shared" si="1"/>
        <v>0</v>
      </c>
    </row>
    <row r="13" spans="1:6" ht="13.7" customHeight="1" x14ac:dyDescent="0.2">
      <c r="A13" s="712" t="s">
        <v>936</v>
      </c>
      <c r="B13" s="1724">
        <f>SUM('Revenues 9-14'!C6:D6)</f>
        <v>0</v>
      </c>
      <c r="C13" s="582"/>
      <c r="D13" s="1727">
        <f t="shared" si="0"/>
        <v>0</v>
      </c>
      <c r="E13" s="582"/>
      <c r="F13" s="1727">
        <f t="shared" si="1"/>
        <v>0</v>
      </c>
    </row>
    <row r="14" spans="1:6" ht="13.7" customHeight="1" x14ac:dyDescent="0.2">
      <c r="A14" s="712" t="s">
        <v>410</v>
      </c>
      <c r="B14" s="1724">
        <f>SUM('Revenues 9-14'!C7:D7,'Revenues 9-14'!F7:H7)</f>
        <v>0</v>
      </c>
      <c r="C14" s="582"/>
      <c r="D14" s="1727">
        <f t="shared" si="0"/>
        <v>0</v>
      </c>
      <c r="E14" s="582"/>
      <c r="F14" s="1727">
        <f t="shared" si="1"/>
        <v>0</v>
      </c>
    </row>
    <row r="15" spans="1:6" ht="13.7" customHeight="1" x14ac:dyDescent="0.2">
      <c r="A15" s="712" t="s">
        <v>1158</v>
      </c>
      <c r="B15" s="1724">
        <f>SUM('Revenues 9-14'!D9:E9,'Revenues 9-14'!H9)</f>
        <v>0</v>
      </c>
      <c r="C15" s="582"/>
      <c r="D15" s="1727">
        <f t="shared" si="0"/>
        <v>0</v>
      </c>
      <c r="E15" s="582"/>
      <c r="F15" s="1727">
        <f t="shared" si="1"/>
        <v>0</v>
      </c>
    </row>
    <row r="16" spans="1:6" ht="13.7" customHeight="1" x14ac:dyDescent="0.2">
      <c r="A16" s="712" t="s">
        <v>1159</v>
      </c>
      <c r="B16" s="1724">
        <f>'Revenues 9-14'!G8</f>
        <v>0</v>
      </c>
      <c r="C16" s="582"/>
      <c r="D16" s="1727">
        <f t="shared" si="0"/>
        <v>0</v>
      </c>
      <c r="E16" s="582"/>
      <c r="F16" s="1727">
        <f t="shared" si="1"/>
        <v>0</v>
      </c>
    </row>
    <row r="17" spans="1:6" ht="13.7" customHeight="1" x14ac:dyDescent="0.2">
      <c r="A17" s="712" t="s">
        <v>1160</v>
      </c>
      <c r="B17" s="1724">
        <f>'Revenues 9-14'!C10</f>
        <v>0</v>
      </c>
      <c r="C17" s="582"/>
      <c r="D17" s="1727">
        <f t="shared" si="0"/>
        <v>0</v>
      </c>
      <c r="E17" s="582"/>
      <c r="F17" s="1727">
        <f t="shared" si="1"/>
        <v>0</v>
      </c>
    </row>
    <row r="18" spans="1:6" ht="13.7" customHeight="1" x14ac:dyDescent="0.2">
      <c r="A18" s="712" t="s">
        <v>762</v>
      </c>
      <c r="B18" s="1724">
        <f>SUM('Revenues 9-14'!C11:K11)</f>
        <v>0</v>
      </c>
      <c r="C18" s="582"/>
      <c r="D18" s="1727">
        <f t="shared" si="0"/>
        <v>0</v>
      </c>
      <c r="E18" s="582"/>
      <c r="F18" s="1727">
        <f t="shared" si="1"/>
        <v>0</v>
      </c>
    </row>
    <row r="19" spans="1:6" ht="13.7" customHeight="1" thickBot="1" x14ac:dyDescent="0.25">
      <c r="A19" s="1728" t="s">
        <v>1161</v>
      </c>
      <c r="B19" s="1725">
        <f>SUM(B4:B18)</f>
        <v>0</v>
      </c>
      <c r="C19" s="1725">
        <f>SUM(C4:C18)</f>
        <v>0</v>
      </c>
      <c r="D19" s="1725">
        <f>SUM(D4:D18)</f>
        <v>0</v>
      </c>
      <c r="E19" s="1725">
        <f>SUM(E4:E18)</f>
        <v>0</v>
      </c>
      <c r="F19" s="1725">
        <f>SUM(F4:F18)</f>
        <v>0</v>
      </c>
    </row>
    <row r="20" spans="1:6" ht="13.5" thickTop="1" x14ac:dyDescent="0.2">
      <c r="B20" s="710"/>
      <c r="F20" s="713"/>
    </row>
    <row r="21" spans="1:6" x14ac:dyDescent="0.2">
      <c r="A21" s="714" t="s">
        <v>1802</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05" t="s">
        <v>629</v>
      </c>
      <c r="B1" s="2403"/>
      <c r="C1" s="718"/>
    </row>
    <row r="2" spans="1:7" ht="33.75" x14ac:dyDescent="0.2">
      <c r="A2" s="2410" t="s">
        <v>1796</v>
      </c>
      <c r="B2" s="2411"/>
      <c r="C2" s="1856" t="s">
        <v>1949</v>
      </c>
      <c r="D2" s="720" t="s">
        <v>1950</v>
      </c>
      <c r="E2" s="720" t="s">
        <v>1951</v>
      </c>
      <c r="F2" s="1856" t="s">
        <v>1952</v>
      </c>
    </row>
    <row r="3" spans="1:7" ht="15.75" customHeight="1" x14ac:dyDescent="0.2">
      <c r="A3" s="2412" t="s">
        <v>1114</v>
      </c>
      <c r="B3" s="2413"/>
      <c r="C3" s="2406"/>
      <c r="D3" s="2407"/>
      <c r="E3" s="2407"/>
      <c r="F3" s="2408"/>
    </row>
    <row r="4" spans="1:7" ht="12.75" customHeight="1" thickBot="1" x14ac:dyDescent="0.25">
      <c r="A4" s="2400" t="s">
        <v>630</v>
      </c>
      <c r="B4" s="2401"/>
      <c r="C4" s="578"/>
      <c r="D4" s="578"/>
      <c r="E4" s="578"/>
      <c r="F4" s="1729">
        <f>SUM(C4+D4)-E4</f>
        <v>0</v>
      </c>
    </row>
    <row r="5" spans="1:7" ht="15.75" customHeight="1" thickTop="1" x14ac:dyDescent="0.2">
      <c r="A5" s="2404" t="s">
        <v>1110</v>
      </c>
      <c r="B5" s="2399"/>
      <c r="C5" s="2393"/>
      <c r="D5" s="2394"/>
      <c r="E5" s="2394"/>
      <c r="F5" s="2395"/>
    </row>
    <row r="6" spans="1:7" ht="12.75" customHeight="1" thickBot="1" x14ac:dyDescent="0.25">
      <c r="A6" s="721" t="s">
        <v>64</v>
      </c>
      <c r="B6" s="722"/>
      <c r="C6" s="723"/>
      <c r="D6" s="582"/>
      <c r="E6" s="723"/>
      <c r="F6" s="1729">
        <f t="shared" ref="F6:F14" si="0">SUM(C6+D6)-E6</f>
        <v>0</v>
      </c>
    </row>
    <row r="7" spans="1:7" ht="12.75" customHeight="1" thickTop="1" thickBot="1" x14ac:dyDescent="0.25">
      <c r="A7" s="721" t="s">
        <v>6</v>
      </c>
      <c r="B7" s="722"/>
      <c r="C7" s="723"/>
      <c r="D7" s="582"/>
      <c r="E7" s="723"/>
      <c r="F7" s="1729">
        <f t="shared" si="0"/>
        <v>0</v>
      </c>
    </row>
    <row r="8" spans="1:7" ht="12.75" customHeight="1" thickTop="1" thickBot="1" x14ac:dyDescent="0.25">
      <c r="A8" s="721" t="s">
        <v>508</v>
      </c>
      <c r="B8" s="722"/>
      <c r="C8" s="723"/>
      <c r="D8" s="582"/>
      <c r="E8" s="723"/>
      <c r="F8" s="1729">
        <f t="shared" si="0"/>
        <v>0</v>
      </c>
    </row>
    <row r="9" spans="1:7" ht="12.75" customHeight="1" thickTop="1" thickBot="1" x14ac:dyDescent="0.25">
      <c r="A9" s="721" t="s">
        <v>509</v>
      </c>
      <c r="B9" s="722"/>
      <c r="C9" s="723"/>
      <c r="D9" s="582"/>
      <c r="E9" s="723"/>
      <c r="F9" s="1729">
        <f t="shared" si="0"/>
        <v>0</v>
      </c>
    </row>
    <row r="10" spans="1:7" ht="12.75" customHeight="1" thickTop="1" thickBot="1" x14ac:dyDescent="0.25">
      <c r="A10" s="721" t="s">
        <v>510</v>
      </c>
      <c r="B10" s="722"/>
      <c r="C10" s="723"/>
      <c r="D10" s="582"/>
      <c r="E10" s="723"/>
      <c r="F10" s="1729">
        <f t="shared" si="0"/>
        <v>0</v>
      </c>
    </row>
    <row r="11" spans="1:7" ht="12.75" customHeight="1" thickTop="1" thickBot="1" x14ac:dyDescent="0.25">
      <c r="A11" s="721" t="s">
        <v>341</v>
      </c>
      <c r="B11" s="722"/>
      <c r="C11" s="723"/>
      <c r="D11" s="582"/>
      <c r="E11" s="723"/>
      <c r="F11" s="1729">
        <f t="shared" si="0"/>
        <v>0</v>
      </c>
    </row>
    <row r="12" spans="1:7" ht="12.75" customHeight="1" thickTop="1" thickBot="1" x14ac:dyDescent="0.25">
      <c r="A12" s="721" t="s">
        <v>1157</v>
      </c>
      <c r="B12" s="722"/>
      <c r="C12" s="723"/>
      <c r="D12" s="582"/>
      <c r="E12" s="723"/>
      <c r="F12" s="1729">
        <f t="shared" si="0"/>
        <v>0</v>
      </c>
    </row>
    <row r="13" spans="1:7" ht="12.75" customHeight="1" thickTop="1" thickBot="1" x14ac:dyDescent="0.25">
      <c r="A13" s="721" t="s">
        <v>388</v>
      </c>
      <c r="B13" s="722"/>
      <c r="C13" s="723"/>
      <c r="D13" s="582"/>
      <c r="E13" s="723"/>
      <c r="F13" s="1729">
        <f t="shared" si="0"/>
        <v>0</v>
      </c>
    </row>
    <row r="14" spans="1:7" ht="12.75" customHeight="1" thickTop="1" thickBot="1" x14ac:dyDescent="0.25">
      <c r="A14" s="721" t="s">
        <v>448</v>
      </c>
      <c r="B14" s="722"/>
      <c r="C14" s="723"/>
      <c r="D14" s="582"/>
      <c r="E14" s="723"/>
      <c r="F14" s="1729">
        <f t="shared" si="0"/>
        <v>0</v>
      </c>
    </row>
    <row r="15" spans="1:7" ht="14.25" thickTop="1" thickBot="1" x14ac:dyDescent="0.25">
      <c r="A15" s="2396" t="s">
        <v>631</v>
      </c>
      <c r="B15" s="2397"/>
      <c r="C15" s="1729">
        <f>SUM(C6:C14)</f>
        <v>0</v>
      </c>
      <c r="D15" s="1729">
        <f>SUM(D6:D14)</f>
        <v>0</v>
      </c>
      <c r="E15" s="1729">
        <f>SUM(E6:E14)</f>
        <v>0</v>
      </c>
      <c r="F15" s="1729">
        <f>SUM(F6:F14)</f>
        <v>0</v>
      </c>
      <c r="G15" s="549"/>
    </row>
    <row r="16" spans="1:7" s="202" customFormat="1" ht="15.75" customHeight="1" thickTop="1" x14ac:dyDescent="0.2">
      <c r="A16" s="2409" t="s">
        <v>1111</v>
      </c>
      <c r="B16" s="2399"/>
      <c r="C16" s="2393"/>
      <c r="D16" s="2394"/>
      <c r="E16" s="2394"/>
      <c r="F16" s="2395"/>
    </row>
    <row r="17" spans="1:11" ht="12.75" customHeight="1" thickBot="1" x14ac:dyDescent="0.25">
      <c r="A17" s="2391" t="s">
        <v>64</v>
      </c>
      <c r="B17" s="2392"/>
      <c r="C17" s="723"/>
      <c r="D17" s="582"/>
      <c r="E17" s="723"/>
      <c r="F17" s="1729">
        <f>SUM(C17+D17)-E17</f>
        <v>0</v>
      </c>
    </row>
    <row r="18" spans="1:11" ht="12.75" customHeight="1" thickTop="1" thickBot="1" x14ac:dyDescent="0.25">
      <c r="A18" s="2391" t="s">
        <v>6</v>
      </c>
      <c r="B18" s="2392"/>
      <c r="C18" s="723"/>
      <c r="D18" s="582"/>
      <c r="E18" s="723"/>
      <c r="F18" s="1729">
        <f>SUM(C18+D18)-E18</f>
        <v>0</v>
      </c>
    </row>
    <row r="19" spans="1:11" ht="12.75" customHeight="1" thickTop="1" thickBot="1" x14ac:dyDescent="0.25">
      <c r="A19" s="2391" t="s">
        <v>388</v>
      </c>
      <c r="B19" s="2392"/>
      <c r="C19" s="723"/>
      <c r="D19" s="582"/>
      <c r="E19" s="723"/>
      <c r="F19" s="1729">
        <f>SUM(C19+D19)-E19</f>
        <v>0</v>
      </c>
    </row>
    <row r="20" spans="1:11" ht="12.75" customHeight="1" thickTop="1" thickBot="1" x14ac:dyDescent="0.25">
      <c r="A20" s="2391" t="s">
        <v>448</v>
      </c>
      <c r="B20" s="2392"/>
      <c r="C20" s="723"/>
      <c r="D20" s="582"/>
      <c r="E20" s="723"/>
      <c r="F20" s="1729">
        <f>SUM(C20+D20)-E20</f>
        <v>0</v>
      </c>
    </row>
    <row r="21" spans="1:11" ht="14.25" thickTop="1" thickBot="1" x14ac:dyDescent="0.25">
      <c r="A21" s="2396" t="s">
        <v>632</v>
      </c>
      <c r="B21" s="2397"/>
      <c r="C21" s="1729">
        <f>SUM(C17:C20)</f>
        <v>0</v>
      </c>
      <c r="D21" s="1729">
        <f>SUM(D17:D20)</f>
        <v>0</v>
      </c>
      <c r="E21" s="1729">
        <f>SUM(E17:E20)</f>
        <v>0</v>
      </c>
      <c r="F21" s="1729">
        <f>SUM(F17:F20)</f>
        <v>0</v>
      </c>
      <c r="G21" s="549"/>
    </row>
    <row r="22" spans="1:11" ht="15.75" customHeight="1" thickTop="1" x14ac:dyDescent="0.2">
      <c r="A22" s="2398" t="s">
        <v>1112</v>
      </c>
      <c r="B22" s="2399"/>
      <c r="C22" s="2393"/>
      <c r="D22" s="2394"/>
      <c r="E22" s="2394"/>
      <c r="F22" s="2395"/>
    </row>
    <row r="23" spans="1:11" ht="13.5" thickBot="1" x14ac:dyDescent="0.25">
      <c r="A23" s="2400" t="s">
        <v>633</v>
      </c>
      <c r="B23" s="2401"/>
      <c r="C23" s="578"/>
      <c r="D23" s="578"/>
      <c r="E23" s="578"/>
      <c r="F23" s="1729">
        <f>SUM(C23+D23)-E23</f>
        <v>0</v>
      </c>
      <c r="G23" s="549"/>
    </row>
    <row r="24" spans="1:11" ht="15.75" customHeight="1" thickTop="1" x14ac:dyDescent="0.2">
      <c r="A24" s="2398" t="s">
        <v>1113</v>
      </c>
      <c r="B24" s="2399"/>
      <c r="C24" s="2393"/>
      <c r="D24" s="2394"/>
      <c r="E24" s="2394"/>
      <c r="F24" s="2395"/>
    </row>
    <row r="25" spans="1:11" ht="13.5" thickBot="1" x14ac:dyDescent="0.25">
      <c r="A25" s="2400" t="s">
        <v>634</v>
      </c>
      <c r="B25" s="2401"/>
      <c r="C25" s="578"/>
      <c r="D25" s="578"/>
      <c r="E25" s="578"/>
      <c r="F25" s="1729">
        <f>SUM(C25+D25)-E25</f>
        <v>0</v>
      </c>
      <c r="G25" s="549"/>
    </row>
    <row r="26" spans="1:11" ht="15.75" customHeight="1" thickTop="1" x14ac:dyDescent="0.2">
      <c r="A26" s="2404" t="s">
        <v>657</v>
      </c>
      <c r="B26" s="2399"/>
      <c r="C26" s="724"/>
      <c r="D26" s="724"/>
      <c r="E26" s="724"/>
      <c r="F26" s="725"/>
    </row>
    <row r="27" spans="1:11" ht="13.5" thickBot="1" x14ac:dyDescent="0.25">
      <c r="A27" s="2396" t="s">
        <v>1070</v>
      </c>
      <c r="B27" s="2397"/>
      <c r="C27" s="582"/>
      <c r="D27" s="582"/>
      <c r="E27" s="582"/>
      <c r="F27" s="1729">
        <f>SUM(C27+D27)-E27</f>
        <v>0</v>
      </c>
      <c r="G27" s="549"/>
    </row>
    <row r="28" spans="1:11" ht="7.5" customHeight="1" thickTop="1" x14ac:dyDescent="0.2">
      <c r="A28" s="590"/>
    </row>
    <row r="29" spans="1:11" ht="23.25" customHeight="1" x14ac:dyDescent="0.2">
      <c r="A29" s="2402" t="s">
        <v>582</v>
      </c>
      <c r="B29" s="2403"/>
      <c r="C29" s="726"/>
      <c r="D29" s="726"/>
      <c r="E29" s="726"/>
      <c r="F29" s="726"/>
      <c r="G29" s="726"/>
      <c r="H29" s="726"/>
      <c r="I29" s="726"/>
      <c r="J29" s="726"/>
    </row>
    <row r="30" spans="1:11" ht="33.75" x14ac:dyDescent="0.2">
      <c r="A30" s="1503" t="s">
        <v>1071</v>
      </c>
      <c r="B30" s="727" t="s">
        <v>1124</v>
      </c>
      <c r="C30" s="1857" t="s">
        <v>583</v>
      </c>
      <c r="D30" s="1857" t="s">
        <v>1672</v>
      </c>
      <c r="E30" s="1857" t="s">
        <v>1953</v>
      </c>
      <c r="F30" s="1857" t="s">
        <v>1954</v>
      </c>
      <c r="G30" s="1857" t="s">
        <v>1904</v>
      </c>
      <c r="H30" s="1857" t="s">
        <v>1955</v>
      </c>
      <c r="I30" s="1857" t="s">
        <v>1956</v>
      </c>
      <c r="J30" s="1858" t="s">
        <v>2</v>
      </c>
      <c r="K30" s="728"/>
    </row>
    <row r="31" spans="1:11" ht="12" customHeight="1" x14ac:dyDescent="0.2">
      <c r="A31" s="729"/>
      <c r="B31" s="730"/>
      <c r="C31" s="731"/>
      <c r="D31" s="732"/>
      <c r="E31" s="731"/>
      <c r="F31" s="731"/>
      <c r="G31" s="731"/>
      <c r="H31" s="731"/>
      <c r="I31" s="1730">
        <f>((E31+F31)-H31)+G31</f>
        <v>0</v>
      </c>
      <c r="J31" s="731"/>
      <c r="K31" s="733"/>
    </row>
    <row r="32" spans="1:11" ht="12" customHeight="1" x14ac:dyDescent="0.2">
      <c r="A32" s="729"/>
      <c r="B32" s="730"/>
      <c r="C32" s="731"/>
      <c r="D32" s="732"/>
      <c r="E32" s="731"/>
      <c r="F32" s="731"/>
      <c r="G32" s="731"/>
      <c r="H32" s="731"/>
      <c r="I32" s="1730">
        <f>((E32+F32)-H32)+G32</f>
        <v>0</v>
      </c>
      <c r="J32" s="731"/>
      <c r="K32" s="733"/>
    </row>
    <row r="33" spans="1:11" ht="12" customHeight="1" x14ac:dyDescent="0.2">
      <c r="A33" s="729"/>
      <c r="B33" s="730"/>
      <c r="C33" s="731"/>
      <c r="D33" s="732"/>
      <c r="E33" s="731"/>
      <c r="F33" s="731"/>
      <c r="G33" s="731"/>
      <c r="H33" s="731"/>
      <c r="I33" s="1730">
        <f t="shared" ref="I33:I48" si="1">((E33+F33)-H33)+G33</f>
        <v>0</v>
      </c>
      <c r="J33" s="731"/>
      <c r="K33" s="733"/>
    </row>
    <row r="34" spans="1:11" ht="12" customHeight="1" x14ac:dyDescent="0.2">
      <c r="A34" s="729"/>
      <c r="B34" s="730"/>
      <c r="C34" s="731"/>
      <c r="D34" s="732"/>
      <c r="E34" s="731"/>
      <c r="F34" s="731"/>
      <c r="G34" s="731"/>
      <c r="H34" s="731"/>
      <c r="I34" s="1730">
        <f t="shared" si="1"/>
        <v>0</v>
      </c>
      <c r="J34" s="731"/>
      <c r="K34" s="734"/>
    </row>
    <row r="35" spans="1:11" ht="12" customHeight="1" x14ac:dyDescent="0.2">
      <c r="A35" s="729"/>
      <c r="B35" s="730"/>
      <c r="C35" s="735"/>
      <c r="D35" s="732"/>
      <c r="E35" s="735"/>
      <c r="F35" s="735"/>
      <c r="G35" s="735"/>
      <c r="H35" s="735"/>
      <c r="I35" s="1730">
        <f t="shared" si="1"/>
        <v>0</v>
      </c>
      <c r="J35" s="735"/>
      <c r="K35" s="734"/>
    </row>
    <row r="36" spans="1:11" ht="12" customHeight="1" x14ac:dyDescent="0.2">
      <c r="A36" s="729"/>
      <c r="B36" s="730"/>
      <c r="C36" s="731"/>
      <c r="D36" s="732"/>
      <c r="E36" s="731"/>
      <c r="F36" s="731"/>
      <c r="G36" s="731"/>
      <c r="H36" s="731"/>
      <c r="I36" s="1730">
        <f t="shared" si="1"/>
        <v>0</v>
      </c>
      <c r="J36" s="731"/>
      <c r="K36" s="736"/>
    </row>
    <row r="37" spans="1:11" ht="12" customHeight="1" x14ac:dyDescent="0.2">
      <c r="A37" s="729"/>
      <c r="B37" s="730"/>
      <c r="C37" s="467"/>
      <c r="D37" s="737"/>
      <c r="E37" s="467"/>
      <c r="F37" s="467"/>
      <c r="G37" s="467"/>
      <c r="H37" s="467"/>
      <c r="I37" s="1730">
        <f t="shared" si="1"/>
        <v>0</v>
      </c>
      <c r="J37" s="467"/>
      <c r="K37" s="734"/>
    </row>
    <row r="38" spans="1:11" ht="12" customHeight="1" x14ac:dyDescent="0.2">
      <c r="A38" s="729"/>
      <c r="B38" s="730"/>
      <c r="C38" s="731"/>
      <c r="D38" s="738"/>
      <c r="E38" s="739"/>
      <c r="F38" s="739"/>
      <c r="G38" s="739"/>
      <c r="H38" s="739"/>
      <c r="I38" s="1730">
        <f t="shared" si="1"/>
        <v>0</v>
      </c>
      <c r="J38" s="740" t="s">
        <v>264</v>
      </c>
      <c r="K38" s="741"/>
    </row>
    <row r="39" spans="1:11" ht="12" customHeight="1" x14ac:dyDescent="0.2">
      <c r="A39" s="729"/>
      <c r="B39" s="730"/>
      <c r="C39" s="731"/>
      <c r="D39" s="738"/>
      <c r="E39" s="739"/>
      <c r="F39" s="739"/>
      <c r="G39" s="739"/>
      <c r="H39" s="739"/>
      <c r="I39" s="1730">
        <f t="shared" si="1"/>
        <v>0</v>
      </c>
      <c r="J39" s="740"/>
      <c r="K39" s="741"/>
    </row>
    <row r="40" spans="1:11" ht="12" customHeight="1" x14ac:dyDescent="0.2">
      <c r="A40" s="729"/>
      <c r="B40" s="730"/>
      <c r="C40" s="731"/>
      <c r="D40" s="738"/>
      <c r="E40" s="739"/>
      <c r="F40" s="739"/>
      <c r="G40" s="739"/>
      <c r="H40" s="739"/>
      <c r="I40" s="1730">
        <f t="shared" si="1"/>
        <v>0</v>
      </c>
      <c r="J40" s="740"/>
      <c r="K40" s="741"/>
    </row>
    <row r="41" spans="1:11" ht="12" customHeight="1" x14ac:dyDescent="0.2">
      <c r="A41" s="729"/>
      <c r="B41" s="730"/>
      <c r="C41" s="731"/>
      <c r="D41" s="738"/>
      <c r="E41" s="739"/>
      <c r="F41" s="739"/>
      <c r="G41" s="739"/>
      <c r="H41" s="739"/>
      <c r="I41" s="1730">
        <f t="shared" si="1"/>
        <v>0</v>
      </c>
      <c r="J41" s="740"/>
      <c r="K41" s="741"/>
    </row>
    <row r="42" spans="1:11" ht="12" customHeight="1" x14ac:dyDescent="0.2">
      <c r="A42" s="729"/>
      <c r="B42" s="730"/>
      <c r="C42" s="731"/>
      <c r="D42" s="738"/>
      <c r="E42" s="739"/>
      <c r="F42" s="739"/>
      <c r="G42" s="739"/>
      <c r="H42" s="739"/>
      <c r="I42" s="1730">
        <f t="shared" si="1"/>
        <v>0</v>
      </c>
      <c r="J42" s="740"/>
      <c r="K42" s="741"/>
    </row>
    <row r="43" spans="1:11" ht="12" customHeight="1" x14ac:dyDescent="0.2">
      <c r="A43" s="729"/>
      <c r="B43" s="730"/>
      <c r="C43" s="731"/>
      <c r="D43" s="738"/>
      <c r="E43" s="739"/>
      <c r="F43" s="739"/>
      <c r="G43" s="739"/>
      <c r="H43" s="739"/>
      <c r="I43" s="1730">
        <f t="shared" si="1"/>
        <v>0</v>
      </c>
      <c r="J43" s="740"/>
      <c r="K43" s="741"/>
    </row>
    <row r="44" spans="1:11" ht="12" customHeight="1" x14ac:dyDescent="0.2">
      <c r="A44" s="729"/>
      <c r="B44" s="730"/>
      <c r="C44" s="731"/>
      <c r="D44" s="732"/>
      <c r="E44" s="731"/>
      <c r="F44" s="731"/>
      <c r="G44" s="731"/>
      <c r="H44" s="731"/>
      <c r="I44" s="1730">
        <f t="shared" si="1"/>
        <v>0</v>
      </c>
      <c r="J44" s="731"/>
      <c r="K44" s="734"/>
    </row>
    <row r="45" spans="1:11" ht="12" customHeight="1" x14ac:dyDescent="0.2">
      <c r="A45" s="729"/>
      <c r="B45" s="730"/>
      <c r="C45" s="731"/>
      <c r="D45" s="732"/>
      <c r="E45" s="731"/>
      <c r="F45" s="731"/>
      <c r="G45" s="731"/>
      <c r="H45" s="731"/>
      <c r="I45" s="1730">
        <f t="shared" si="1"/>
        <v>0</v>
      </c>
      <c r="J45" s="731"/>
      <c r="K45" s="734"/>
    </row>
    <row r="46" spans="1:11" ht="12" customHeight="1" x14ac:dyDescent="0.2">
      <c r="A46" s="729"/>
      <c r="B46" s="730"/>
      <c r="C46" s="731"/>
      <c r="D46" s="732"/>
      <c r="E46" s="731"/>
      <c r="F46" s="731"/>
      <c r="G46" s="731"/>
      <c r="H46" s="731"/>
      <c r="I46" s="1730">
        <f t="shared" si="1"/>
        <v>0</v>
      </c>
      <c r="J46" s="731"/>
      <c r="K46" s="734"/>
    </row>
    <row r="47" spans="1:11" ht="12" customHeight="1" x14ac:dyDescent="0.2">
      <c r="A47" s="729"/>
      <c r="B47" s="730"/>
      <c r="C47" s="735"/>
      <c r="D47" s="732"/>
      <c r="E47" s="735"/>
      <c r="F47" s="735"/>
      <c r="G47" s="735"/>
      <c r="H47" s="735"/>
      <c r="I47" s="1730">
        <f t="shared" si="1"/>
        <v>0</v>
      </c>
      <c r="J47" s="735"/>
      <c r="K47" s="734"/>
    </row>
    <row r="48" spans="1:11" ht="12" customHeight="1" x14ac:dyDescent="0.2">
      <c r="A48" s="729"/>
      <c r="B48" s="730"/>
      <c r="C48" s="731"/>
      <c r="D48" s="732"/>
      <c r="E48" s="731"/>
      <c r="F48" s="731"/>
      <c r="G48" s="731"/>
      <c r="H48" s="731"/>
      <c r="I48" s="1730">
        <f t="shared" si="1"/>
        <v>0</v>
      </c>
      <c r="J48" s="731"/>
      <c r="K48" s="734"/>
    </row>
    <row r="49" spans="1:11" ht="12" customHeight="1" x14ac:dyDescent="0.2">
      <c r="A49" s="729"/>
      <c r="B49" s="730"/>
      <c r="C49" s="1730">
        <f>SUM(C31:C48)</f>
        <v>0</v>
      </c>
      <c r="D49" s="742"/>
      <c r="E49" s="1730">
        <f t="shared" ref="E49:J49" si="2">SUM(E31:E48)</f>
        <v>0</v>
      </c>
      <c r="F49" s="1730">
        <f t="shared" si="2"/>
        <v>0</v>
      </c>
      <c r="G49" s="1730">
        <f t="shared" si="2"/>
        <v>0</v>
      </c>
      <c r="H49" s="1730">
        <f t="shared" si="2"/>
        <v>0</v>
      </c>
      <c r="I49" s="1730">
        <f t="shared" si="2"/>
        <v>0</v>
      </c>
      <c r="J49" s="1730">
        <f t="shared" si="2"/>
        <v>0</v>
      </c>
      <c r="K49" s="734"/>
    </row>
    <row r="50" spans="1:11" ht="6" customHeight="1" x14ac:dyDescent="0.2">
      <c r="A50" s="743"/>
      <c r="B50" s="733"/>
      <c r="C50" s="733"/>
      <c r="D50" s="733"/>
      <c r="E50" s="733"/>
      <c r="F50" s="733"/>
      <c r="G50" s="733"/>
      <c r="H50" s="733"/>
      <c r="I50" s="733"/>
      <c r="J50" s="743"/>
    </row>
    <row r="51" spans="1:11" x14ac:dyDescent="0.2">
      <c r="A51" s="744" t="s">
        <v>1801</v>
      </c>
      <c r="B51" s="743"/>
      <c r="C51" s="734"/>
      <c r="D51" s="734"/>
      <c r="E51" s="734"/>
      <c r="F51" s="734"/>
      <c r="G51" s="734"/>
      <c r="H51" s="733"/>
      <c r="I51" s="733"/>
      <c r="J51" s="743"/>
    </row>
    <row r="52" spans="1:11" ht="11.25" customHeight="1" x14ac:dyDescent="0.2">
      <c r="A52" s="745" t="s">
        <v>912</v>
      </c>
      <c r="B52" s="2385" t="s">
        <v>584</v>
      </c>
      <c r="C52" s="2386"/>
      <c r="D52" s="2386"/>
      <c r="E52" s="746" t="s">
        <v>845</v>
      </c>
      <c r="F52" s="2387"/>
      <c r="G52" s="2388"/>
      <c r="H52" s="733"/>
      <c r="I52" s="733"/>
      <c r="J52" s="743"/>
    </row>
    <row r="53" spans="1:11" ht="11.25" customHeight="1" x14ac:dyDescent="0.2">
      <c r="A53" s="747" t="s">
        <v>913</v>
      </c>
      <c r="B53" s="748" t="s">
        <v>951</v>
      </c>
      <c r="C53" s="743"/>
      <c r="D53" s="734"/>
      <c r="E53" s="746" t="s">
        <v>497</v>
      </c>
      <c r="F53" s="2389"/>
      <c r="G53" s="2390"/>
      <c r="H53" s="733"/>
      <c r="I53" s="733"/>
      <c r="J53" s="743"/>
    </row>
    <row r="54" spans="1:11" ht="11.25" customHeight="1" x14ac:dyDescent="0.2">
      <c r="A54" s="749" t="s">
        <v>914</v>
      </c>
      <c r="B54" s="744" t="s">
        <v>952</v>
      </c>
      <c r="C54" s="743"/>
      <c r="D54" s="734"/>
      <c r="E54" s="746" t="s">
        <v>498</v>
      </c>
      <c r="F54" s="2389"/>
      <c r="G54" s="239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14" t="s">
        <v>856</v>
      </c>
      <c r="B1" s="2415"/>
      <c r="C1" s="2415"/>
      <c r="D1" s="2415"/>
      <c r="E1" s="2415"/>
      <c r="F1" s="2415"/>
      <c r="G1" s="2416"/>
      <c r="H1" s="1504"/>
      <c r="I1" s="757"/>
      <c r="J1" s="433"/>
    </row>
    <row r="2" spans="1:11" ht="26.25" x14ac:dyDescent="0.2">
      <c r="A2" s="2433" t="s">
        <v>1676</v>
      </c>
      <c r="B2" s="2434"/>
      <c r="C2" s="2434"/>
      <c r="D2" s="2434"/>
      <c r="E2" s="2435"/>
      <c r="F2" s="758" t="s">
        <v>904</v>
      </c>
      <c r="G2" s="759" t="s">
        <v>1673</v>
      </c>
      <c r="H2" s="759" t="s">
        <v>410</v>
      </c>
      <c r="I2" s="759" t="s">
        <v>1158</v>
      </c>
      <c r="J2" s="759" t="s">
        <v>1806</v>
      </c>
      <c r="K2" s="759" t="s">
        <v>138</v>
      </c>
    </row>
    <row r="3" spans="1:11" x14ac:dyDescent="0.2">
      <c r="A3" s="2436" t="s">
        <v>1957</v>
      </c>
      <c r="B3" s="2437"/>
      <c r="C3" s="2437"/>
      <c r="D3" s="2437"/>
      <c r="E3" s="2438"/>
      <c r="F3" s="760"/>
      <c r="G3" s="761"/>
      <c r="H3" s="761"/>
      <c r="I3" s="761"/>
      <c r="J3" s="762"/>
      <c r="K3" s="762"/>
    </row>
    <row r="4" spans="1:11" x14ac:dyDescent="0.2">
      <c r="A4" s="2439" t="s">
        <v>369</v>
      </c>
      <c r="B4" s="2440"/>
      <c r="C4" s="2440"/>
      <c r="D4" s="2440"/>
      <c r="E4" s="2386"/>
      <c r="F4" s="763"/>
      <c r="G4" s="764"/>
      <c r="H4" s="765"/>
      <c r="I4" s="764"/>
      <c r="J4" s="766"/>
      <c r="K4" s="766"/>
    </row>
    <row r="5" spans="1:11" x14ac:dyDescent="0.2">
      <c r="A5" s="2417" t="s">
        <v>1069</v>
      </c>
      <c r="B5" s="2418"/>
      <c r="C5" s="2418"/>
      <c r="D5" s="2418"/>
      <c r="E5" s="2419"/>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417" t="s">
        <v>1807</v>
      </c>
      <c r="B10" s="2418"/>
      <c r="C10" s="2418"/>
      <c r="D10" s="2418"/>
      <c r="E10" s="2420"/>
      <c r="F10" s="780" t="s">
        <v>862</v>
      </c>
      <c r="G10" s="779"/>
      <c r="H10" s="781"/>
      <c r="I10" s="761"/>
      <c r="J10" s="762"/>
      <c r="K10" s="762"/>
    </row>
    <row r="11" spans="1:11" x14ac:dyDescent="0.2">
      <c r="A11" s="2417" t="s">
        <v>160</v>
      </c>
      <c r="B11" s="2418"/>
      <c r="C11" s="2418"/>
      <c r="D11" s="2418"/>
      <c r="E11" s="2419"/>
      <c r="F11" s="767" t="s">
        <v>852</v>
      </c>
      <c r="G11" s="768"/>
      <c r="H11" s="761"/>
      <c r="I11" s="761"/>
      <c r="J11" s="762"/>
      <c r="K11" s="770"/>
    </row>
    <row r="12" spans="1:11" ht="13.5" thickBot="1" x14ac:dyDescent="0.25">
      <c r="A12" s="2444" t="s">
        <v>905</v>
      </c>
      <c r="B12" s="2445"/>
      <c r="C12" s="2445"/>
      <c r="D12" s="2445"/>
      <c r="E12" s="2446"/>
      <c r="F12" s="1731"/>
      <c r="G12" s="1732">
        <f>SUM(G5:G11)</f>
        <v>0</v>
      </c>
      <c r="H12" s="1732">
        <f>SUM(H5:H11)</f>
        <v>0</v>
      </c>
      <c r="I12" s="1732">
        <f>SUM(I5:I11)</f>
        <v>0</v>
      </c>
      <c r="J12" s="1732">
        <f>SUM(J5:J11)</f>
        <v>0</v>
      </c>
      <c r="K12" s="1732">
        <f>SUM(K5:K11)</f>
        <v>0</v>
      </c>
    </row>
    <row r="13" spans="1:11" ht="13.5" thickTop="1" x14ac:dyDescent="0.2">
      <c r="A13" s="2441" t="s">
        <v>370</v>
      </c>
      <c r="B13" s="2442"/>
      <c r="C13" s="2442"/>
      <c r="D13" s="2442"/>
      <c r="E13" s="2443"/>
      <c r="F13" s="782"/>
      <c r="G13" s="783"/>
      <c r="H13" s="784"/>
      <c r="I13" s="785"/>
      <c r="J13" s="785"/>
      <c r="K13" s="785"/>
    </row>
    <row r="14" spans="1:11" x14ac:dyDescent="0.2">
      <c r="A14" s="2424" t="s">
        <v>456</v>
      </c>
      <c r="B14" s="2424"/>
      <c r="C14" s="2424"/>
      <c r="D14" s="2424"/>
      <c r="E14" s="2425"/>
      <c r="F14" s="786" t="s">
        <v>854</v>
      </c>
      <c r="G14" s="779"/>
      <c r="H14" s="761"/>
      <c r="I14" s="768"/>
      <c r="J14" s="770"/>
      <c r="K14" s="762"/>
    </row>
    <row r="15" spans="1:11" x14ac:dyDescent="0.2">
      <c r="A15" s="2418" t="s">
        <v>4</v>
      </c>
      <c r="B15" s="2418"/>
      <c r="C15" s="2418"/>
      <c r="D15" s="2418"/>
      <c r="E15" s="2419"/>
      <c r="F15" s="786" t="s">
        <v>855</v>
      </c>
      <c r="G15" s="768"/>
      <c r="H15" s="761"/>
      <c r="I15" s="761"/>
      <c r="J15" s="762"/>
      <c r="K15" s="762"/>
    </row>
    <row r="16" spans="1:11" x14ac:dyDescent="0.2">
      <c r="A16" s="2418" t="s">
        <v>298</v>
      </c>
      <c r="B16" s="2418"/>
      <c r="C16" s="2418"/>
      <c r="D16" s="2418"/>
      <c r="E16" s="2419"/>
      <c r="F16" s="786" t="s">
        <v>923</v>
      </c>
      <c r="G16" s="769"/>
      <c r="H16" s="764"/>
      <c r="I16" s="764"/>
      <c r="J16" s="766"/>
      <c r="K16" s="766"/>
    </row>
    <row r="17" spans="1:11" x14ac:dyDescent="0.2">
      <c r="A17" s="2449" t="s">
        <v>935</v>
      </c>
      <c r="B17" s="2449"/>
      <c r="C17" s="2449"/>
      <c r="D17" s="2449"/>
      <c r="E17" s="2450"/>
      <c r="F17" s="787"/>
      <c r="G17" s="788"/>
      <c r="H17" s="789"/>
      <c r="I17" s="789"/>
      <c r="J17" s="790"/>
      <c r="K17" s="791"/>
    </row>
    <row r="18" spans="1:11" x14ac:dyDescent="0.2">
      <c r="A18" s="2428" t="s">
        <v>368</v>
      </c>
      <c r="B18" s="2429"/>
      <c r="C18" s="2429"/>
      <c r="D18" s="2429"/>
      <c r="E18" s="2430"/>
      <c r="F18" s="786" t="s">
        <v>932</v>
      </c>
      <c r="G18" s="779"/>
      <c r="H18" s="779"/>
      <c r="I18" s="779"/>
      <c r="J18" s="762"/>
      <c r="K18" s="792"/>
    </row>
    <row r="19" spans="1:11" ht="21.75" customHeight="1" x14ac:dyDescent="0.2">
      <c r="A19" s="2426" t="s">
        <v>1803</v>
      </c>
      <c r="B19" s="2426"/>
      <c r="C19" s="2426"/>
      <c r="D19" s="2426"/>
      <c r="E19" s="2427"/>
      <c r="F19" s="786" t="s">
        <v>933</v>
      </c>
      <c r="G19" s="779"/>
      <c r="H19" s="779"/>
      <c r="I19" s="779"/>
      <c r="J19" s="762"/>
      <c r="K19" s="792"/>
    </row>
    <row r="20" spans="1:11" x14ac:dyDescent="0.2">
      <c r="A20" s="2428" t="s">
        <v>1808</v>
      </c>
      <c r="B20" s="2429"/>
      <c r="C20" s="2429"/>
      <c r="D20" s="2429"/>
      <c r="E20" s="2430"/>
      <c r="F20" s="786" t="s">
        <v>934</v>
      </c>
      <c r="G20" s="779"/>
      <c r="H20" s="779"/>
      <c r="I20" s="779"/>
      <c r="J20" s="762"/>
      <c r="K20" s="792"/>
    </row>
    <row r="21" spans="1:11" ht="13.5" thickBot="1" x14ac:dyDescent="0.25">
      <c r="A21" s="2447" t="s">
        <v>638</v>
      </c>
      <c r="B21" s="2447"/>
      <c r="C21" s="2447"/>
      <c r="D21" s="2447"/>
      <c r="E21" s="2447"/>
      <c r="F21" s="1733"/>
      <c r="G21" s="789"/>
      <c r="H21" s="793"/>
      <c r="I21" s="793"/>
      <c r="J21" s="1734">
        <f>SUM(J18:J20)</f>
        <v>0</v>
      </c>
      <c r="K21" s="790"/>
    </row>
    <row r="22" spans="1:11" ht="13.5" thickTop="1" x14ac:dyDescent="0.2">
      <c r="A22" s="2418" t="s">
        <v>1809</v>
      </c>
      <c r="B22" s="2418"/>
      <c r="C22" s="2418"/>
      <c r="D22" s="2418"/>
      <c r="E22" s="2419"/>
      <c r="F22" s="786" t="s">
        <v>862</v>
      </c>
      <c r="G22" s="779"/>
      <c r="H22" s="761"/>
      <c r="I22" s="761"/>
      <c r="J22" s="794"/>
      <c r="K22" s="762"/>
    </row>
    <row r="23" spans="1:11" ht="13.5" thickBot="1" x14ac:dyDescent="0.25">
      <c r="A23" s="2448" t="s">
        <v>906</v>
      </c>
      <c r="B23" s="2447"/>
      <c r="C23" s="2447"/>
      <c r="D23" s="2447"/>
      <c r="E23" s="2447"/>
      <c r="F23" s="1735"/>
      <c r="G23" s="1732">
        <f>SUM(G14:G16,G21,G22)</f>
        <v>0</v>
      </c>
      <c r="H23" s="1732">
        <f>SUM(H14:H16,H21,H22)</f>
        <v>0</v>
      </c>
      <c r="I23" s="1732">
        <f>SUM(I14:I16,I21,I22)</f>
        <v>0</v>
      </c>
      <c r="J23" s="1732">
        <f>SUM(J14:J16,J21,J22)</f>
        <v>0</v>
      </c>
      <c r="K23" s="1732">
        <f>SUM(K14:K16,K21,K22)</f>
        <v>0</v>
      </c>
    </row>
    <row r="24" spans="1:11" ht="14.25" thickTop="1" thickBot="1" x14ac:dyDescent="0.25">
      <c r="A24" s="2448" t="s">
        <v>1958</v>
      </c>
      <c r="B24" s="2447"/>
      <c r="C24" s="2447"/>
      <c r="D24" s="2447"/>
      <c r="E24" s="2447"/>
      <c r="F24" s="1736"/>
      <c r="G24" s="1737">
        <f>SUM(G3,G12)-G23</f>
        <v>0</v>
      </c>
      <c r="H24" s="1737">
        <f>SUM(H3,H12)-H23</f>
        <v>0</v>
      </c>
      <c r="I24" s="1737">
        <f>SUM(I3,I12)-I23</f>
        <v>0</v>
      </c>
      <c r="J24" s="1737">
        <f>SUM(J3,J12)-J23</f>
        <v>0</v>
      </c>
      <c r="K24" s="1737">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32">
        <f>G24-G25</f>
        <v>0</v>
      </c>
      <c r="H26" s="1732">
        <f>H24-H25</f>
        <v>0</v>
      </c>
      <c r="I26" s="1732">
        <f>I24-I25</f>
        <v>0</v>
      </c>
      <c r="J26" s="1732">
        <f>J24-J25</f>
        <v>0</v>
      </c>
      <c r="K26" s="1732">
        <f>K24-K25</f>
        <v>0</v>
      </c>
    </row>
    <row r="27" spans="1:11" ht="5.25" customHeight="1" thickTop="1" x14ac:dyDescent="0.2">
      <c r="I27" s="202"/>
      <c r="J27" s="202"/>
    </row>
    <row r="28" spans="1:11" ht="29.25" customHeight="1" x14ac:dyDescent="0.2">
      <c r="A28" s="1852" t="s">
        <v>1903</v>
      </c>
      <c r="B28" s="1853"/>
      <c r="C28" s="1853"/>
      <c r="D28" s="1853"/>
      <c r="E28" s="1854"/>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421"/>
      <c r="I31" s="2422"/>
      <c r="J31" s="2422"/>
      <c r="K31" s="2422"/>
    </row>
    <row r="32" spans="1:11" x14ac:dyDescent="0.2">
      <c r="A32" s="806"/>
      <c r="B32" s="237"/>
      <c r="C32" s="237"/>
      <c r="D32" s="237"/>
      <c r="E32" s="802"/>
      <c r="F32" s="808" t="s">
        <v>540</v>
      </c>
      <c r="G32" s="761"/>
      <c r="H32" s="2423"/>
      <c r="I32" s="2422"/>
      <c r="J32" s="2422"/>
      <c r="K32" s="2422"/>
    </row>
    <row r="33" spans="1:11" ht="1.5" customHeight="1" x14ac:dyDescent="0.2">
      <c r="A33" s="809" t="s">
        <v>1169</v>
      </c>
      <c r="B33" s="364"/>
      <c r="C33" s="364"/>
      <c r="D33" s="364"/>
      <c r="E33" s="364"/>
      <c r="F33" s="364"/>
      <c r="G33" s="810"/>
      <c r="H33" s="2423"/>
      <c r="I33" s="2422"/>
      <c r="J33" s="2422"/>
      <c r="K33" s="2422"/>
    </row>
    <row r="34" spans="1:11" x14ac:dyDescent="0.2">
      <c r="A34" s="811" t="s">
        <v>1810</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418" t="s">
        <v>541</v>
      </c>
      <c r="B41" s="2431"/>
      <c r="C41" s="2431"/>
      <c r="D41" s="2431"/>
      <c r="E41" s="2431"/>
      <c r="F41" s="243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05" t="s">
        <v>1804</v>
      </c>
      <c r="B46" s="408" t="s">
        <v>1674</v>
      </c>
    </row>
    <row r="47" spans="1:11" s="820" customFormat="1" ht="12.75" customHeight="1" x14ac:dyDescent="0.2">
      <c r="A47" s="818"/>
      <c r="B47" s="819" t="s">
        <v>1675</v>
      </c>
      <c r="E47" s="819"/>
      <c r="K47" s="821"/>
    </row>
    <row r="48" spans="1:11" ht="12.75" customHeight="1" x14ac:dyDescent="0.2">
      <c r="A48" s="1506" t="s">
        <v>1805</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53" t="s">
        <v>1902</v>
      </c>
      <c r="B1" s="2454"/>
      <c r="C1" s="2455"/>
      <c r="D1" s="823"/>
      <c r="E1" s="824"/>
      <c r="F1" s="824"/>
      <c r="G1" s="825"/>
      <c r="H1" s="826"/>
      <c r="I1" s="827"/>
      <c r="J1" s="2451"/>
      <c r="K1" s="2452"/>
      <c r="L1" s="2452"/>
    </row>
    <row r="2" spans="1:14" ht="69.75" customHeight="1" x14ac:dyDescent="0.2">
      <c r="A2" s="828" t="s">
        <v>1677</v>
      </c>
      <c r="B2" s="829" t="s">
        <v>378</v>
      </c>
      <c r="C2" s="830" t="s">
        <v>1959</v>
      </c>
      <c r="D2" s="830" t="s">
        <v>1960</v>
      </c>
      <c r="E2" s="830" t="s">
        <v>1961</v>
      </c>
      <c r="F2" s="830" t="s">
        <v>1962</v>
      </c>
      <c r="G2" s="830" t="s">
        <v>605</v>
      </c>
      <c r="H2" s="830" t="s">
        <v>1963</v>
      </c>
      <c r="I2" s="830" t="s">
        <v>1964</v>
      </c>
      <c r="J2" s="830" t="s">
        <v>1965</v>
      </c>
      <c r="K2" s="830" t="s">
        <v>1966</v>
      </c>
      <c r="L2" s="830" t="s">
        <v>1967</v>
      </c>
      <c r="M2" s="831"/>
      <c r="N2" s="831"/>
    </row>
    <row r="3" spans="1:14" ht="13.5" thickBot="1" x14ac:dyDescent="0.25">
      <c r="A3" s="1603" t="s">
        <v>892</v>
      </c>
      <c r="B3" s="1604">
        <v>210</v>
      </c>
      <c r="C3" s="832">
        <v>0</v>
      </c>
      <c r="D3" s="832"/>
      <c r="E3" s="832"/>
      <c r="F3" s="1734">
        <f>(C3+D3)-E3</f>
        <v>0</v>
      </c>
      <c r="G3" s="833"/>
      <c r="H3" s="832">
        <v>0</v>
      </c>
      <c r="I3" s="832"/>
      <c r="J3" s="832"/>
      <c r="K3" s="1743">
        <f>(H3+I3)-J3</f>
        <v>0</v>
      </c>
      <c r="L3" s="1743">
        <f>F3-K3</f>
        <v>0</v>
      </c>
      <c r="M3" s="831"/>
      <c r="N3" s="831"/>
    </row>
    <row r="4" spans="1:14" ht="15" customHeight="1" thickTop="1" x14ac:dyDescent="0.2">
      <c r="A4" s="1605" t="s">
        <v>158</v>
      </c>
      <c r="B4" s="1604">
        <v>220</v>
      </c>
      <c r="C4" s="778"/>
      <c r="D4" s="778"/>
      <c r="E4" s="778"/>
      <c r="F4" s="770"/>
      <c r="G4" s="834"/>
      <c r="H4" s="835"/>
      <c r="I4" s="835"/>
      <c r="J4" s="835"/>
      <c r="K4" s="836"/>
      <c r="L4" s="770"/>
    </row>
    <row r="5" spans="1:14" ht="13.5" thickBot="1" x14ac:dyDescent="0.25">
      <c r="A5" s="775" t="s">
        <v>893</v>
      </c>
      <c r="B5" s="837">
        <v>221</v>
      </c>
      <c r="C5" s="838">
        <v>26901</v>
      </c>
      <c r="D5" s="838"/>
      <c r="E5" s="838"/>
      <c r="F5" s="1734">
        <f>(C5+D5)-E5</f>
        <v>26901</v>
      </c>
      <c r="G5" s="834"/>
      <c r="H5" s="839"/>
      <c r="I5" s="839"/>
      <c r="J5" s="839"/>
      <c r="K5" s="790"/>
      <c r="L5" s="1743">
        <f>F5-K5</f>
        <v>26901</v>
      </c>
    </row>
    <row r="6" spans="1:14" ht="14.25" thickTop="1" thickBot="1" x14ac:dyDescent="0.25">
      <c r="A6" s="775" t="s">
        <v>1117</v>
      </c>
      <c r="B6" s="837">
        <v>222</v>
      </c>
      <c r="C6" s="762">
        <v>0</v>
      </c>
      <c r="D6" s="762"/>
      <c r="E6" s="762"/>
      <c r="F6" s="1734">
        <f>(C6+D6)-E6</f>
        <v>0</v>
      </c>
      <c r="G6" s="834">
        <v>50</v>
      </c>
      <c r="H6" s="762">
        <v>0</v>
      </c>
      <c r="I6" s="762"/>
      <c r="J6" s="762"/>
      <c r="K6" s="1743">
        <f>(H6+I6)-J6</f>
        <v>0</v>
      </c>
      <c r="L6" s="1743">
        <f>F6-K6</f>
        <v>0</v>
      </c>
    </row>
    <row r="7" spans="1:14" ht="15" customHeight="1" thickTop="1" x14ac:dyDescent="0.2">
      <c r="A7" s="1605" t="s">
        <v>159</v>
      </c>
      <c r="B7" s="1604">
        <v>230</v>
      </c>
      <c r="C7" s="778"/>
      <c r="D7" s="778"/>
      <c r="E7" s="778"/>
      <c r="F7" s="770"/>
      <c r="G7" s="840"/>
      <c r="H7" s="778"/>
      <c r="I7" s="778"/>
      <c r="J7" s="778"/>
      <c r="K7" s="770"/>
      <c r="L7" s="770"/>
    </row>
    <row r="8" spans="1:14" ht="13.5" thickBot="1" x14ac:dyDescent="0.25">
      <c r="A8" s="775" t="s">
        <v>1118</v>
      </c>
      <c r="B8" s="837">
        <v>231</v>
      </c>
      <c r="C8" s="841">
        <v>3024672</v>
      </c>
      <c r="D8" s="841">
        <v>52448</v>
      </c>
      <c r="E8" s="841"/>
      <c r="F8" s="1734">
        <f>(C8+D8)-E8</f>
        <v>3077120</v>
      </c>
      <c r="G8" s="840">
        <v>50</v>
      </c>
      <c r="H8" s="762">
        <v>1837430</v>
      </c>
      <c r="I8" s="762">
        <v>61543</v>
      </c>
      <c r="J8" s="762"/>
      <c r="K8" s="1743">
        <f>(H8+I8)-J8</f>
        <v>1898973</v>
      </c>
      <c r="L8" s="1743">
        <f>F8-K8</f>
        <v>1178147</v>
      </c>
    </row>
    <row r="9" spans="1:14" ht="14.25" thickTop="1" thickBot="1" x14ac:dyDescent="0.25">
      <c r="A9" s="775" t="s">
        <v>1119</v>
      </c>
      <c r="B9" s="837">
        <v>232</v>
      </c>
      <c r="C9" s="762">
        <v>0</v>
      </c>
      <c r="D9" s="762"/>
      <c r="E9" s="762"/>
      <c r="F9" s="1734">
        <f>(C9+D9)-E9</f>
        <v>0</v>
      </c>
      <c r="G9" s="840">
        <v>20</v>
      </c>
      <c r="H9" s="762">
        <v>0</v>
      </c>
      <c r="I9" s="762"/>
      <c r="J9" s="762"/>
      <c r="K9" s="1743">
        <f>(H9+I9)-J9</f>
        <v>0</v>
      </c>
      <c r="L9" s="1743">
        <f>F9-K9</f>
        <v>0</v>
      </c>
    </row>
    <row r="10" spans="1:14" ht="24" thickTop="1" thickBot="1" x14ac:dyDescent="0.25">
      <c r="A10" s="842" t="s">
        <v>1120</v>
      </c>
      <c r="B10" s="837">
        <v>240</v>
      </c>
      <c r="C10" s="843">
        <v>931633</v>
      </c>
      <c r="D10" s="843">
        <v>270553</v>
      </c>
      <c r="E10" s="843"/>
      <c r="F10" s="1738">
        <f>(C10+D10)-E10</f>
        <v>1202186</v>
      </c>
      <c r="G10" s="840">
        <v>20</v>
      </c>
      <c r="H10" s="844">
        <v>391424</v>
      </c>
      <c r="I10" s="844">
        <v>60111</v>
      </c>
      <c r="J10" s="844"/>
      <c r="K10" s="1743">
        <f>(H10+I10)-J10</f>
        <v>451535</v>
      </c>
      <c r="L10" s="1743">
        <f>F10-K10</f>
        <v>750651</v>
      </c>
    </row>
    <row r="11" spans="1:14" ht="13.5" thickTop="1" x14ac:dyDescent="0.2">
      <c r="A11" s="1606" t="s">
        <v>1136</v>
      </c>
      <c r="B11" s="1604">
        <v>250</v>
      </c>
      <c r="C11" s="778"/>
      <c r="D11" s="778"/>
      <c r="E11" s="778"/>
      <c r="F11" s="770"/>
      <c r="G11" s="840"/>
      <c r="H11" s="778"/>
      <c r="I11" s="778"/>
      <c r="J11" s="778"/>
      <c r="K11" s="770"/>
      <c r="L11" s="770"/>
    </row>
    <row r="12" spans="1:14" ht="13.5" thickBot="1" x14ac:dyDescent="0.25">
      <c r="A12" s="845" t="s">
        <v>1121</v>
      </c>
      <c r="B12" s="837">
        <v>251</v>
      </c>
      <c r="C12" s="841">
        <v>883317</v>
      </c>
      <c r="D12" s="841">
        <v>92064</v>
      </c>
      <c r="E12" s="841">
        <v>51847</v>
      </c>
      <c r="F12" s="1734">
        <f>(C12+D12)-E12</f>
        <v>923534</v>
      </c>
      <c r="G12" s="840">
        <v>10</v>
      </c>
      <c r="H12" s="762">
        <v>500914</v>
      </c>
      <c r="I12" s="762">
        <v>92352</v>
      </c>
      <c r="J12" s="762">
        <v>51847</v>
      </c>
      <c r="K12" s="1743">
        <f>(H12+I12)-J12</f>
        <v>541419</v>
      </c>
      <c r="L12" s="1743">
        <f>F12-K12</f>
        <v>382115</v>
      </c>
    </row>
    <row r="13" spans="1:14" ht="14.25" thickTop="1" thickBot="1" x14ac:dyDescent="0.25">
      <c r="A13" s="845" t="s">
        <v>1122</v>
      </c>
      <c r="B13" s="837">
        <v>252</v>
      </c>
      <c r="C13" s="841">
        <v>0</v>
      </c>
      <c r="D13" s="841"/>
      <c r="E13" s="841"/>
      <c r="F13" s="1734">
        <f>(C13+D13)-E13</f>
        <v>0</v>
      </c>
      <c r="G13" s="840">
        <v>5</v>
      </c>
      <c r="H13" s="762">
        <v>0</v>
      </c>
      <c r="I13" s="762"/>
      <c r="J13" s="762"/>
      <c r="K13" s="1743">
        <f>(H13+I13)-J13</f>
        <v>0</v>
      </c>
      <c r="L13" s="1743">
        <f>F13-K13</f>
        <v>0</v>
      </c>
    </row>
    <row r="14" spans="1:14" ht="14.25" thickTop="1" thickBot="1" x14ac:dyDescent="0.25">
      <c r="A14" s="845" t="s">
        <v>1123</v>
      </c>
      <c r="B14" s="837">
        <v>253</v>
      </c>
      <c r="C14" s="762">
        <v>0</v>
      </c>
      <c r="D14" s="762"/>
      <c r="E14" s="762"/>
      <c r="F14" s="1734">
        <f>(C14+D14)-E14</f>
        <v>0</v>
      </c>
      <c r="G14" s="840">
        <v>3</v>
      </c>
      <c r="H14" s="762">
        <v>0</v>
      </c>
      <c r="I14" s="762"/>
      <c r="J14" s="762"/>
      <c r="K14" s="1743">
        <f>(H14+I14)-J14</f>
        <v>0</v>
      </c>
      <c r="L14" s="1743">
        <f>F14-K14</f>
        <v>0</v>
      </c>
    </row>
    <row r="15" spans="1:14" ht="15" customHeight="1" thickTop="1" thickBot="1" x14ac:dyDescent="0.25">
      <c r="A15" s="1605" t="s">
        <v>528</v>
      </c>
      <c r="B15" s="1604">
        <v>260</v>
      </c>
      <c r="C15" s="841">
        <v>0</v>
      </c>
      <c r="D15" s="841">
        <v>9949</v>
      </c>
      <c r="E15" s="841"/>
      <c r="F15" s="1734">
        <f>(C15+D15)-E15</f>
        <v>9949</v>
      </c>
      <c r="G15" s="846" t="s">
        <v>862</v>
      </c>
      <c r="H15" s="778"/>
      <c r="I15" s="778"/>
      <c r="J15" s="778"/>
      <c r="K15" s="778"/>
      <c r="L15" s="1743">
        <f>F15-K15</f>
        <v>9949</v>
      </c>
    </row>
    <row r="16" spans="1:14" ht="15" customHeight="1" thickTop="1" thickBot="1" x14ac:dyDescent="0.25">
      <c r="A16" s="1739" t="s">
        <v>643</v>
      </c>
      <c r="B16" s="1740">
        <v>200</v>
      </c>
      <c r="C16" s="1734">
        <f>SUM(C3,C5:C6,C8:C10,C12:C15)</f>
        <v>4866523</v>
      </c>
      <c r="D16" s="1734">
        <f>SUM(D3,D5:D6,D8:D10,D12:D15)</f>
        <v>425014</v>
      </c>
      <c r="E16" s="1734">
        <f>SUM(E3,E5:E6,E8:E10,E12:E15)</f>
        <v>51847</v>
      </c>
      <c r="F16" s="1734">
        <f>SUM(F3,F5:F6,F8:F10,F12:F15)</f>
        <v>5239690</v>
      </c>
      <c r="G16" s="840"/>
      <c r="H16" s="1734">
        <f>SUM(H3,H6,H8:H10,H12:H14,)</f>
        <v>2729768</v>
      </c>
      <c r="I16" s="1734">
        <f>SUM(I3,I6,I8:I10,I12:I14,)</f>
        <v>214006</v>
      </c>
      <c r="J16" s="1734">
        <f>SUM(J3,J6,J8:J10,J12:J14,)</f>
        <v>51847</v>
      </c>
      <c r="K16" s="1734">
        <f>(H16+I16)-J16</f>
        <v>2891927</v>
      </c>
      <c r="L16" s="1734">
        <f>F16-K16</f>
        <v>2347763</v>
      </c>
    </row>
    <row r="17" spans="1:12" ht="15" customHeight="1" thickTop="1" thickBot="1" x14ac:dyDescent="0.25">
      <c r="A17" s="1607" t="s">
        <v>291</v>
      </c>
      <c r="B17" s="1604">
        <v>700</v>
      </c>
      <c r="C17" s="766"/>
      <c r="D17" s="766"/>
      <c r="E17" s="766"/>
      <c r="F17" s="1734">
        <f>SUM('Expenditures 15-22'!I114,'Expenditures 15-22'!I151,'Expenditures 15-22'!I210,'Expenditures 15-22'!I312,'Expenditures 15-22'!I342,'Expenditures 15-22'!I367)</f>
        <v>0</v>
      </c>
      <c r="G17" s="834">
        <v>10</v>
      </c>
      <c r="H17" s="766"/>
      <c r="I17" s="1743">
        <f>F17/G17</f>
        <v>0</v>
      </c>
      <c r="J17" s="766"/>
      <c r="K17" s="792"/>
      <c r="L17" s="792"/>
    </row>
    <row r="18" spans="1:12" ht="14.25" thickTop="1" thickBot="1" x14ac:dyDescent="0.25">
      <c r="A18" s="1741" t="s">
        <v>685</v>
      </c>
      <c r="B18" s="1742"/>
      <c r="C18" s="768"/>
      <c r="D18" s="768"/>
      <c r="E18" s="768"/>
      <c r="F18" s="847"/>
      <c r="G18" s="848"/>
      <c r="H18" s="770"/>
      <c r="I18" s="1734">
        <f>SUM(I16,I17)</f>
        <v>214006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29" sqref="F29"/>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59" t="s">
        <v>1968</v>
      </c>
      <c r="B1" s="2460"/>
      <c r="C1" s="2460"/>
      <c r="D1" s="2460"/>
      <c r="E1" s="2460"/>
      <c r="F1" s="2461"/>
      <c r="G1" s="852"/>
    </row>
    <row r="2" spans="1:7" ht="15" customHeight="1" thickBot="1" x14ac:dyDescent="0.25">
      <c r="A2" s="2462" t="s">
        <v>477</v>
      </c>
      <c r="B2" s="2463"/>
      <c r="C2" s="2463"/>
      <c r="D2" s="2463"/>
      <c r="E2" s="2463"/>
      <c r="F2" s="246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65"/>
      <c r="B5" s="2466"/>
      <c r="C5" s="2466"/>
      <c r="D5" s="2466"/>
      <c r="E5" s="2466"/>
      <c r="F5" s="2466"/>
    </row>
    <row r="6" spans="1:7" ht="13.5" customHeight="1" thickBot="1" x14ac:dyDescent="0.25">
      <c r="A6" s="2456" t="s">
        <v>1104</v>
      </c>
      <c r="B6" s="2457"/>
      <c r="C6" s="2457"/>
      <c r="D6" s="2457"/>
      <c r="E6" s="2457"/>
      <c r="F6" s="245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79">
        <f>'Expenditures 15-22'!K114</f>
        <v>16902768</v>
      </c>
      <c r="G8" s="862"/>
    </row>
    <row r="9" spans="1:7" x14ac:dyDescent="0.2">
      <c r="A9" s="866" t="s">
        <v>460</v>
      </c>
      <c r="B9" s="867" t="s">
        <v>1870</v>
      </c>
      <c r="C9" s="868"/>
      <c r="D9" s="866" t="s">
        <v>501</v>
      </c>
      <c r="E9" s="865"/>
      <c r="F9" s="1880">
        <f>'Expenditures 15-22'!K151</f>
        <v>49054</v>
      </c>
      <c r="G9" s="869"/>
    </row>
    <row r="10" spans="1:7" x14ac:dyDescent="0.2">
      <c r="A10" s="866" t="s">
        <v>499</v>
      </c>
      <c r="B10" s="867" t="s">
        <v>1871</v>
      </c>
      <c r="C10" s="868"/>
      <c r="D10" s="866" t="s">
        <v>501</v>
      </c>
      <c r="E10" s="865"/>
      <c r="F10" s="1880">
        <f>'Expenditures 15-22'!K174</f>
        <v>0</v>
      </c>
      <c r="G10" s="869"/>
    </row>
    <row r="11" spans="1:7" x14ac:dyDescent="0.2">
      <c r="A11" s="866" t="s">
        <v>461</v>
      </c>
      <c r="B11" s="867" t="s">
        <v>1872</v>
      </c>
      <c r="C11" s="868"/>
      <c r="D11" s="866" t="s">
        <v>501</v>
      </c>
      <c r="E11" s="865"/>
      <c r="F11" s="1880">
        <f>'Expenditures 15-22'!K210</f>
        <v>64400</v>
      </c>
      <c r="G11" s="869"/>
    </row>
    <row r="12" spans="1:7" x14ac:dyDescent="0.2">
      <c r="A12" s="866" t="s">
        <v>462</v>
      </c>
      <c r="B12" s="867" t="s">
        <v>1873</v>
      </c>
      <c r="C12" s="868"/>
      <c r="D12" s="866" t="s">
        <v>501</v>
      </c>
      <c r="E12" s="865"/>
      <c r="F12" s="1880">
        <f>'Expenditures 15-22'!K295</f>
        <v>0</v>
      </c>
      <c r="G12" s="869"/>
    </row>
    <row r="13" spans="1:7" x14ac:dyDescent="0.2">
      <c r="A13" s="866" t="s">
        <v>106</v>
      </c>
      <c r="B13" s="867" t="s">
        <v>1874</v>
      </c>
      <c r="C13" s="868"/>
      <c r="D13" s="866" t="s">
        <v>501</v>
      </c>
      <c r="E13" s="865"/>
      <c r="F13" s="1880">
        <f>'Expenditures 15-22'!K342</f>
        <v>0</v>
      </c>
      <c r="G13" s="870"/>
    </row>
    <row r="14" spans="1:7" ht="12" customHeight="1" thickBot="1" x14ac:dyDescent="0.25">
      <c r="A14" s="1744"/>
      <c r="B14" s="1745"/>
      <c r="C14" s="1746"/>
      <c r="D14" s="1747" t="s">
        <v>501</v>
      </c>
      <c r="E14" s="1748" t="s">
        <v>958</v>
      </c>
      <c r="F14" s="1749">
        <f>SUM(F8:F13)</f>
        <v>17016222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81">
        <f>'Revenues 9-14'!F43</f>
        <v>0</v>
      </c>
      <c r="G18" s="862"/>
    </row>
    <row r="19" spans="1:7" x14ac:dyDescent="0.2">
      <c r="A19" s="866" t="s">
        <v>461</v>
      </c>
      <c r="B19" s="867" t="s">
        <v>1011</v>
      </c>
      <c r="C19" s="874">
        <f>'Revenues 9-14'!B47</f>
        <v>1421</v>
      </c>
      <c r="D19" s="875" t="str">
        <f>'Revenues 9-14'!A47</f>
        <v>Summer Sch - Transp. Fees from Pupils or Parents (In State)</v>
      </c>
      <c r="E19" s="876"/>
      <c r="F19" s="1882">
        <f>'Revenues 9-14'!F47</f>
        <v>0</v>
      </c>
      <c r="G19" s="862"/>
    </row>
    <row r="20" spans="1:7" x14ac:dyDescent="0.2">
      <c r="A20" s="866" t="s">
        <v>461</v>
      </c>
      <c r="B20" s="867" t="s">
        <v>1012</v>
      </c>
      <c r="C20" s="872">
        <f>'Revenues 9-14'!B48</f>
        <v>1422</v>
      </c>
      <c r="D20" s="873" t="str">
        <f>'Revenues 9-14'!A48</f>
        <v>Summer Sch - Transp. Fees from Other Districts (In State)</v>
      </c>
      <c r="E20" s="865"/>
      <c r="F20" s="1883">
        <f>'Revenues 9-14'!F48</f>
        <v>0</v>
      </c>
      <c r="G20" s="862"/>
    </row>
    <row r="21" spans="1:7" x14ac:dyDescent="0.2">
      <c r="A21" s="866" t="s">
        <v>461</v>
      </c>
      <c r="B21" s="867" t="s">
        <v>1013</v>
      </c>
      <c r="C21" s="874">
        <f>'Revenues 9-14'!B49</f>
        <v>1423</v>
      </c>
      <c r="D21" s="873" t="str">
        <f>'Revenues 9-14'!A49</f>
        <v>Summer Sch - Transp. Fees from Other Sources (In State)</v>
      </c>
      <c r="E21" s="865"/>
      <c r="F21" s="1884">
        <f>'Revenues 9-14'!F49</f>
        <v>0</v>
      </c>
      <c r="G21" s="862"/>
    </row>
    <row r="22" spans="1:7" x14ac:dyDescent="0.2">
      <c r="A22" s="866" t="s">
        <v>461</v>
      </c>
      <c r="B22" s="867" t="s">
        <v>1014</v>
      </c>
      <c r="C22" s="874">
        <f>'Revenues 9-14'!B50</f>
        <v>1424</v>
      </c>
      <c r="D22" s="873" t="str">
        <f>'Revenues 9-14'!A50</f>
        <v>Summer Sch - Transp. Fees from Other Sources (Out of State)</v>
      </c>
      <c r="E22" s="865"/>
      <c r="F22" s="1884">
        <f>'Revenues 9-14'!F50</f>
        <v>0</v>
      </c>
      <c r="G22" s="862"/>
    </row>
    <row r="23" spans="1:7" x14ac:dyDescent="0.2">
      <c r="A23" s="866" t="s">
        <v>461</v>
      </c>
      <c r="B23" s="867" t="s">
        <v>1015</v>
      </c>
      <c r="C23" s="872">
        <f>'Revenues 9-14'!B52</f>
        <v>1432</v>
      </c>
      <c r="D23" s="873" t="str">
        <f>'Revenues 9-14'!A52</f>
        <v>CTE - Transp Fees from Other Districts (In State)</v>
      </c>
      <c r="E23" s="865"/>
      <c r="F23" s="1884">
        <f>'Revenues 9-14'!F52</f>
        <v>0</v>
      </c>
      <c r="G23" s="862"/>
    </row>
    <row r="24" spans="1:7" x14ac:dyDescent="0.2">
      <c r="A24" s="866" t="s">
        <v>461</v>
      </c>
      <c r="B24" s="867" t="s">
        <v>1016</v>
      </c>
      <c r="C24" s="872">
        <f>'Revenues 9-14'!B56</f>
        <v>1442</v>
      </c>
      <c r="D24" s="873" t="str">
        <f>'Revenues 9-14'!A56</f>
        <v>Special Ed - Transp Fees from Other Districts (In State)</v>
      </c>
      <c r="E24" s="865"/>
      <c r="F24" s="1884">
        <f>'Revenues 9-14'!F56</f>
        <v>0</v>
      </c>
      <c r="G24" s="862"/>
    </row>
    <row r="25" spans="1:7" x14ac:dyDescent="0.2">
      <c r="A25" s="866" t="s">
        <v>461</v>
      </c>
      <c r="B25" s="867" t="s">
        <v>1017</v>
      </c>
      <c r="C25" s="872">
        <f>'Revenues 9-14'!B59</f>
        <v>1451</v>
      </c>
      <c r="D25" s="873" t="str">
        <f>'Revenues 9-14'!A59</f>
        <v>Adult - Transp Fees from Pupils or Parents (In State)</v>
      </c>
      <c r="E25" s="865"/>
      <c r="F25" s="1884">
        <f>'Revenues 9-14'!F59</f>
        <v>0</v>
      </c>
      <c r="G25" s="862"/>
    </row>
    <row r="26" spans="1:7" x14ac:dyDescent="0.2">
      <c r="A26" s="866" t="s">
        <v>461</v>
      </c>
      <c r="B26" s="867" t="s">
        <v>1018</v>
      </c>
      <c r="C26" s="872">
        <f>'Revenues 9-14'!B60</f>
        <v>1452</v>
      </c>
      <c r="D26" s="873" t="str">
        <f>'Revenues 9-14'!A60</f>
        <v>Adult - Transp Fees from Other Districts (In State)</v>
      </c>
      <c r="E26" s="865"/>
      <c r="F26" s="1884">
        <f>'Revenues 9-14'!F60</f>
        <v>0</v>
      </c>
      <c r="G26" s="862"/>
    </row>
    <row r="27" spans="1:7" x14ac:dyDescent="0.2">
      <c r="A27" s="866" t="s">
        <v>461</v>
      </c>
      <c r="B27" s="867" t="s">
        <v>1019</v>
      </c>
      <c r="C27" s="872">
        <f>'Revenues 9-14'!B61</f>
        <v>1453</v>
      </c>
      <c r="D27" s="873" t="str">
        <f>'Revenues 9-14'!A61</f>
        <v>Adult - Transp Fees from Other Sources (In State)</v>
      </c>
      <c r="E27" s="865"/>
      <c r="F27" s="1884">
        <f>'Revenues 9-14'!F61</f>
        <v>0</v>
      </c>
      <c r="G27" s="862"/>
    </row>
    <row r="28" spans="1:7" x14ac:dyDescent="0.2">
      <c r="A28" s="866" t="s">
        <v>461</v>
      </c>
      <c r="B28" s="867" t="s">
        <v>1020</v>
      </c>
      <c r="C28" s="872">
        <f>'Revenues 9-14'!B62</f>
        <v>1454</v>
      </c>
      <c r="D28" s="873" t="str">
        <f>'Revenues 9-14'!A62</f>
        <v>Adult - Transp Fees from Other Sources (Out of State)</v>
      </c>
      <c r="E28" s="865"/>
      <c r="F28" s="1884">
        <f>'Revenues 9-14'!F62</f>
        <v>0</v>
      </c>
      <c r="G28" s="862"/>
    </row>
    <row r="29" spans="1:7" x14ac:dyDescent="0.2">
      <c r="A29" s="866" t="s">
        <v>1097</v>
      </c>
      <c r="B29" s="867" t="s">
        <v>810</v>
      </c>
      <c r="C29" s="877">
        <f>'Revenues 9-14'!B149</f>
        <v>3410</v>
      </c>
      <c r="D29" s="878" t="str">
        <f>'Revenues 9-14'!A149</f>
        <v>Adult Ed (from ICCB)</v>
      </c>
      <c r="E29" s="865"/>
      <c r="F29" s="1884">
        <f>SUM('Revenues 9-14'!D149,'Revenues 9-14'!F149)</f>
        <v>0</v>
      </c>
      <c r="G29" s="862"/>
    </row>
    <row r="30" spans="1:7" x14ac:dyDescent="0.2">
      <c r="A30" s="866" t="s">
        <v>1097</v>
      </c>
      <c r="B30" s="867" t="s">
        <v>1992</v>
      </c>
      <c r="C30" s="877">
        <f>'Revenues 9-14'!B150</f>
        <v>3499</v>
      </c>
      <c r="D30" s="878" t="str">
        <f>'Revenues 9-14'!A150</f>
        <v>Adult Ed - Other (Describe &amp; Itemize)</v>
      </c>
      <c r="E30" s="865"/>
      <c r="F30" s="1885">
        <f>('Revenues 9-14'!D150+'Revenues 9-14'!F150)</f>
        <v>0</v>
      </c>
      <c r="G30" s="862"/>
    </row>
    <row r="31" spans="1:7" x14ac:dyDescent="0.2">
      <c r="A31" s="866" t="s">
        <v>1097</v>
      </c>
      <c r="B31" s="867" t="s">
        <v>1993</v>
      </c>
      <c r="C31" s="872">
        <f>'Revenues 9-14'!B211</f>
        <v>4600</v>
      </c>
      <c r="D31" s="880" t="str">
        <f>'Revenues 9-14'!A211</f>
        <v>Fed - Spec Education - Preschool Flow-Through</v>
      </c>
      <c r="E31" s="881"/>
      <c r="F31" s="1884">
        <f>SUM('Revenues 9-14'!D211,'Revenues 9-14'!F211)</f>
        <v>0</v>
      </c>
      <c r="G31" s="862"/>
    </row>
    <row r="32" spans="1:7" x14ac:dyDescent="0.2">
      <c r="A32" s="866" t="s">
        <v>1097</v>
      </c>
      <c r="B32" s="867" t="s">
        <v>1994</v>
      </c>
      <c r="C32" s="872">
        <f>'Revenues 9-14'!B212</f>
        <v>4605</v>
      </c>
      <c r="D32" s="882" t="str">
        <f>'Revenues 9-14'!A212</f>
        <v>Fed - Spec Education - Preschool Discretionary</v>
      </c>
      <c r="E32" s="881"/>
      <c r="F32" s="1884">
        <f>SUM('Revenues 9-14'!D212,'Revenues 9-14'!F212)</f>
        <v>0</v>
      </c>
      <c r="G32" s="862"/>
    </row>
    <row r="33" spans="1:7" x14ac:dyDescent="0.2">
      <c r="A33" s="866" t="s">
        <v>460</v>
      </c>
      <c r="B33" s="867" t="s">
        <v>1995</v>
      </c>
      <c r="C33" s="872">
        <f>'Revenues 9-14'!B222</f>
        <v>4810</v>
      </c>
      <c r="D33" s="880" t="str">
        <f>'Revenues 9-14'!A222</f>
        <v>Federal - Adult Education</v>
      </c>
      <c r="E33" s="865"/>
      <c r="F33" s="1884">
        <f>'Revenues 9-14'!D222</f>
        <v>0</v>
      </c>
      <c r="G33" s="862"/>
    </row>
    <row r="34" spans="1:7" x14ac:dyDescent="0.2">
      <c r="A34" s="866" t="s">
        <v>459</v>
      </c>
      <c r="B34" s="866" t="s">
        <v>1469</v>
      </c>
      <c r="C34" s="883" t="str">
        <f>'Expenditures 15-22'!B7</f>
        <v>1125</v>
      </c>
      <c r="D34" s="884" t="str">
        <f>'Expenditures 15-22'!A7</f>
        <v>Pre-K Programs</v>
      </c>
      <c r="E34" s="865"/>
      <c r="F34" s="1884">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884">
        <f>'Expenditures 15-22'!K9-SUM('Expenditures 15-22'!G9+'Expenditures 15-22'!I9)</f>
        <v>234438</v>
      </c>
      <c r="G35" s="862"/>
    </row>
    <row r="36" spans="1:7" x14ac:dyDescent="0.2">
      <c r="A36" s="866" t="s">
        <v>459</v>
      </c>
      <c r="B36" s="866" t="s">
        <v>116</v>
      </c>
      <c r="C36" s="883" t="str">
        <f>'Expenditures 15-22'!B11</f>
        <v>1275</v>
      </c>
      <c r="D36" s="884" t="str">
        <f>'Expenditures 15-22'!A11</f>
        <v>Remedial and Supplemental Programs Pre-K</v>
      </c>
      <c r="E36" s="865"/>
      <c r="F36" s="1884">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84">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84">
        <f>'Expenditures 15-22'!K15-SUM('Expenditures 15-22'!G15,'Expenditures 15-22'!I15)</f>
        <v>116446</v>
      </c>
      <c r="G38" s="862"/>
    </row>
    <row r="39" spans="1:7" x14ac:dyDescent="0.2">
      <c r="A39" s="866" t="s">
        <v>459</v>
      </c>
      <c r="B39" s="866" t="s">
        <v>117</v>
      </c>
      <c r="C39" s="883" t="str">
        <f>'Expenditures 15-22'!B20</f>
        <v>1910</v>
      </c>
      <c r="D39" s="885" t="str">
        <f>'Expenditures 15-22'!A20</f>
        <v>Pre-K Programs - Private Tuition</v>
      </c>
      <c r="E39" s="865"/>
      <c r="F39" s="1884">
        <f>'Expenditures 15-22'!K20</f>
        <v>0</v>
      </c>
      <c r="G39" s="862"/>
    </row>
    <row r="40" spans="1:7" x14ac:dyDescent="0.2">
      <c r="A40" s="866" t="s">
        <v>459</v>
      </c>
      <c r="B40" s="866" t="s">
        <v>118</v>
      </c>
      <c r="C40" s="883" t="str">
        <f>'Expenditures 15-22'!B21</f>
        <v>1911</v>
      </c>
      <c r="D40" s="885" t="str">
        <f>'Expenditures 15-22'!A21</f>
        <v>Regular K-12 Programs - Private Tuition</v>
      </c>
      <c r="E40" s="865"/>
      <c r="F40" s="1884">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84">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884">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84">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84">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84">
        <f>'Expenditures 15-22'!K26</f>
        <v>0</v>
      </c>
      <c r="G45" s="862"/>
    </row>
    <row r="46" spans="1:7" x14ac:dyDescent="0.2">
      <c r="A46" s="866" t="s">
        <v>459</v>
      </c>
      <c r="B46" s="866" t="s">
        <v>124</v>
      </c>
      <c r="C46" s="883" t="str">
        <f>'Expenditures 15-22'!B27</f>
        <v>1917</v>
      </c>
      <c r="D46" s="885" t="str">
        <f>'Expenditures 15-22'!A27</f>
        <v>CTE Programs - Private Tuition</v>
      </c>
      <c r="E46" s="865"/>
      <c r="F46" s="1884">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84">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84">
        <f>'Expenditures 15-22'!K29</f>
        <v>0</v>
      </c>
      <c r="G48" s="862"/>
    </row>
    <row r="49" spans="1:7" x14ac:dyDescent="0.2">
      <c r="A49" s="866" t="s">
        <v>459</v>
      </c>
      <c r="B49" s="866" t="s">
        <v>127</v>
      </c>
      <c r="C49" s="883" t="str">
        <f>'Expenditures 15-22'!B30</f>
        <v>1920</v>
      </c>
      <c r="D49" s="885" t="str">
        <f>'Expenditures 15-22'!A30</f>
        <v>Gifted Programs - Private Tuition</v>
      </c>
      <c r="E49" s="865"/>
      <c r="F49" s="1884">
        <f>'Expenditures 15-22'!K30</f>
        <v>0</v>
      </c>
      <c r="G49" s="862"/>
    </row>
    <row r="50" spans="1:7" x14ac:dyDescent="0.2">
      <c r="A50" s="866" t="s">
        <v>459</v>
      </c>
      <c r="B50" s="866" t="s">
        <v>128</v>
      </c>
      <c r="C50" s="883" t="str">
        <f>'Expenditures 15-22'!B31</f>
        <v>1921</v>
      </c>
      <c r="D50" s="885" t="str">
        <f>'Expenditures 15-22'!A31</f>
        <v>Bilingual Programs - Private Tuition</v>
      </c>
      <c r="E50" s="865"/>
      <c r="F50" s="1884">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84">
        <f>'Expenditures 15-22'!K32</f>
        <v>0</v>
      </c>
      <c r="G51" s="862"/>
    </row>
    <row r="52" spans="1:7" x14ac:dyDescent="0.2">
      <c r="A52" s="866" t="s">
        <v>459</v>
      </c>
      <c r="B52" s="866" t="s">
        <v>1474</v>
      </c>
      <c r="C52" s="886" t="str">
        <f>'Expenditures 15-22'!B75</f>
        <v>3000</v>
      </c>
      <c r="D52" s="885" t="s">
        <v>449</v>
      </c>
      <c r="E52" s="865"/>
      <c r="F52" s="1884">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884">
        <f>'Expenditures 15-22'!K102</f>
        <v>6418277</v>
      </c>
      <c r="G53" s="862"/>
    </row>
    <row r="54" spans="1:7" x14ac:dyDescent="0.2">
      <c r="A54" s="866" t="s">
        <v>459</v>
      </c>
      <c r="B54" s="866" t="s">
        <v>1476</v>
      </c>
      <c r="C54" s="886" t="s">
        <v>982</v>
      </c>
      <c r="D54" s="882" t="s">
        <v>1095</v>
      </c>
      <c r="E54" s="865"/>
      <c r="F54" s="1884">
        <f>'Expenditures 15-22'!G114</f>
        <v>375960</v>
      </c>
      <c r="G54" s="862"/>
    </row>
    <row r="55" spans="1:7" x14ac:dyDescent="0.2">
      <c r="A55" s="866" t="s">
        <v>459</v>
      </c>
      <c r="B55" s="866" t="s">
        <v>1477</v>
      </c>
      <c r="C55" s="886" t="s">
        <v>982</v>
      </c>
      <c r="D55" s="882" t="s">
        <v>291</v>
      </c>
      <c r="E55" s="865"/>
      <c r="F55" s="1884">
        <f>'Expenditures 15-22'!I114</f>
        <v>0</v>
      </c>
      <c r="G55" s="862"/>
    </row>
    <row r="56" spans="1:7" x14ac:dyDescent="0.2">
      <c r="A56" s="866" t="s">
        <v>460</v>
      </c>
      <c r="B56" s="866" t="s">
        <v>1478</v>
      </c>
      <c r="C56" s="883" t="str">
        <f>'Expenditures 15-22'!B130</f>
        <v>3000</v>
      </c>
      <c r="D56" s="889" t="s">
        <v>449</v>
      </c>
      <c r="E56" s="865"/>
      <c r="F56" s="1884">
        <f>'Expenditures 15-22'!K130-SUM('Expenditures 15-22'!G130+'Expenditures 15-22'!I130)</f>
        <v>0</v>
      </c>
      <c r="G56" s="862"/>
    </row>
    <row r="57" spans="1:7" x14ac:dyDescent="0.2">
      <c r="A57" s="866" t="s">
        <v>460</v>
      </c>
      <c r="B57" s="866" t="s">
        <v>1875</v>
      </c>
      <c r="C57" s="886">
        <f>'Expenditures 15-22'!B139</f>
        <v>4000</v>
      </c>
      <c r="D57" s="884" t="str">
        <f>'Expenditures 15-22'!A139</f>
        <v>Total Payments to Other Govt Units</v>
      </c>
      <c r="E57" s="865"/>
      <c r="F57" s="1884">
        <f>'Expenditures 15-22'!K139</f>
        <v>0</v>
      </c>
      <c r="G57" s="862"/>
    </row>
    <row r="58" spans="1:7" x14ac:dyDescent="0.2">
      <c r="A58" s="866" t="s">
        <v>460</v>
      </c>
      <c r="B58" s="866" t="s">
        <v>1876</v>
      </c>
      <c r="C58" s="883" t="s">
        <v>982</v>
      </c>
      <c r="D58" s="882" t="s">
        <v>1095</v>
      </c>
      <c r="E58" s="865"/>
      <c r="F58" s="1886">
        <f>'Expenditures 15-22'!G151</f>
        <v>49054</v>
      </c>
      <c r="G58" s="862"/>
    </row>
    <row r="59" spans="1:7" x14ac:dyDescent="0.2">
      <c r="A59" s="890" t="s">
        <v>460</v>
      </c>
      <c r="B59" s="853" t="s">
        <v>1877</v>
      </c>
      <c r="C59" s="891" t="s">
        <v>982</v>
      </c>
      <c r="D59" s="853" t="s">
        <v>291</v>
      </c>
      <c r="F59" s="1887">
        <f>'Expenditures 15-22'!I151</f>
        <v>0</v>
      </c>
      <c r="G59" s="862"/>
    </row>
    <row r="60" spans="1:7" x14ac:dyDescent="0.2">
      <c r="A60" s="890" t="s">
        <v>499</v>
      </c>
      <c r="B60" s="853" t="s">
        <v>1878</v>
      </c>
      <c r="C60" s="891">
        <v>4000</v>
      </c>
      <c r="D60" s="853" t="s">
        <v>312</v>
      </c>
      <c r="F60" s="1885">
        <f>'Expenditures 15-22'!K160</f>
        <v>0</v>
      </c>
      <c r="G60" s="862"/>
    </row>
    <row r="61" spans="1:7" x14ac:dyDescent="0.2">
      <c r="A61" s="892" t="s">
        <v>499</v>
      </c>
      <c r="B61" s="892" t="s">
        <v>1879</v>
      </c>
      <c r="C61" s="893" t="str">
        <f>'Expenditures 15-22'!B170</f>
        <v>5300</v>
      </c>
      <c r="D61" s="894" t="s">
        <v>311</v>
      </c>
      <c r="E61" s="876"/>
      <c r="F61" s="1884">
        <f>'Expenditures 15-22'!K170</f>
        <v>0</v>
      </c>
      <c r="G61" s="862"/>
    </row>
    <row r="62" spans="1:7" x14ac:dyDescent="0.2">
      <c r="A62" s="866" t="s">
        <v>461</v>
      </c>
      <c r="B62" s="866" t="s">
        <v>1880</v>
      </c>
      <c r="C62" s="883">
        <f>'Expenditures 15-22'!B185</f>
        <v>3000</v>
      </c>
      <c r="D62" s="873" t="s">
        <v>449</v>
      </c>
      <c r="E62" s="865"/>
      <c r="F62" s="1884">
        <f>'Expenditures 15-22'!K185-SUM('Expenditures 15-22'!G185,'Expenditures 15-22'!I185)</f>
        <v>0</v>
      </c>
      <c r="G62" s="862"/>
    </row>
    <row r="63" spans="1:7" x14ac:dyDescent="0.2">
      <c r="A63" s="866" t="s">
        <v>461</v>
      </c>
      <c r="B63" s="866" t="s">
        <v>1881</v>
      </c>
      <c r="C63" s="883" t="str">
        <f>'Expenditures 15-22'!B196</f>
        <v>4000</v>
      </c>
      <c r="D63" s="884" t="str">
        <f>'Expenditures 15-22'!A196</f>
        <v>Total Payments to Other Govt Units</v>
      </c>
      <c r="E63" s="865"/>
      <c r="F63" s="1884">
        <f>'Expenditures 15-22'!K196</f>
        <v>0</v>
      </c>
      <c r="G63" s="862"/>
    </row>
    <row r="64" spans="1:7" x14ac:dyDescent="0.2">
      <c r="A64" s="892" t="s">
        <v>461</v>
      </c>
      <c r="B64" s="892" t="s">
        <v>1882</v>
      </c>
      <c r="C64" s="893" t="str">
        <f>'Expenditures 15-22'!B206</f>
        <v>5300</v>
      </c>
      <c r="D64" s="889" t="s">
        <v>311</v>
      </c>
      <c r="E64" s="865"/>
      <c r="F64" s="1884">
        <f>'Expenditures 15-22'!K206</f>
        <v>0</v>
      </c>
      <c r="G64" s="862"/>
    </row>
    <row r="65" spans="1:8" x14ac:dyDescent="0.2">
      <c r="A65" s="866" t="s">
        <v>461</v>
      </c>
      <c r="B65" s="866" t="s">
        <v>1883</v>
      </c>
      <c r="C65" s="883" t="s">
        <v>982</v>
      </c>
      <c r="D65" s="882" t="s">
        <v>1095</v>
      </c>
      <c r="E65" s="865"/>
      <c r="F65" s="1884">
        <f>'Expenditures 15-22'!G210</f>
        <v>0</v>
      </c>
      <c r="G65" s="862"/>
    </row>
    <row r="66" spans="1:8" x14ac:dyDescent="0.2">
      <c r="A66" s="866" t="s">
        <v>461</v>
      </c>
      <c r="B66" s="866" t="s">
        <v>1884</v>
      </c>
      <c r="C66" s="883" t="s">
        <v>982</v>
      </c>
      <c r="D66" s="882" t="s">
        <v>291</v>
      </c>
      <c r="E66" s="865"/>
      <c r="F66" s="1884">
        <f>'Expenditures 15-22'!I210</f>
        <v>0</v>
      </c>
      <c r="G66" s="862"/>
    </row>
    <row r="67" spans="1:8" x14ac:dyDescent="0.2">
      <c r="A67" s="866" t="s">
        <v>462</v>
      </c>
      <c r="B67" s="866" t="s">
        <v>1885</v>
      </c>
      <c r="C67" s="883" t="str">
        <f>'Expenditures 15-22'!B216</f>
        <v>1125</v>
      </c>
      <c r="D67" s="889" t="str">
        <f>'Expenditures 15-22'!A216</f>
        <v>Pre-K Programs</v>
      </c>
      <c r="E67" s="865"/>
      <c r="F67" s="1884">
        <f>'Expenditures 15-22'!K216</f>
        <v>0</v>
      </c>
      <c r="G67" s="862"/>
    </row>
    <row r="68" spans="1:8" x14ac:dyDescent="0.2">
      <c r="A68" s="866" t="s">
        <v>462</v>
      </c>
      <c r="B68" s="866" t="s">
        <v>1479</v>
      </c>
      <c r="C68" s="883" t="str">
        <f>'Expenditures 15-22'!B218</f>
        <v>1225</v>
      </c>
      <c r="D68" s="889" t="str">
        <f>'Expenditures 15-22'!A218</f>
        <v>Special Education Programs - Pre-K</v>
      </c>
      <c r="E68" s="865"/>
      <c r="F68" s="1884">
        <f>'Expenditures 15-22'!K218</f>
        <v>0</v>
      </c>
      <c r="G68" s="862"/>
    </row>
    <row r="69" spans="1:8" x14ac:dyDescent="0.2">
      <c r="A69" s="866" t="s">
        <v>462</v>
      </c>
      <c r="B69" s="866" t="s">
        <v>1886</v>
      </c>
      <c r="C69" s="883" t="str">
        <f>'Expenditures 15-22'!B220</f>
        <v>1275</v>
      </c>
      <c r="D69" s="889" t="str">
        <f>'Expenditures 15-22'!A220</f>
        <v>Remedial and Supplemental Programs - Pre-K</v>
      </c>
      <c r="E69" s="865"/>
      <c r="F69" s="1884">
        <f>'Expenditures 15-22'!K220</f>
        <v>0</v>
      </c>
      <c r="G69" s="862"/>
    </row>
    <row r="70" spans="1:8" x14ac:dyDescent="0.2">
      <c r="A70" s="866" t="s">
        <v>462</v>
      </c>
      <c r="B70" s="866" t="s">
        <v>1887</v>
      </c>
      <c r="C70" s="883">
        <f>'Expenditures 15-22'!B221</f>
        <v>1300</v>
      </c>
      <c r="D70" s="884" t="str">
        <f>'Expenditures 15-22'!A221</f>
        <v>Adult/Continuing Education Programs</v>
      </c>
      <c r="E70" s="865"/>
      <c r="F70" s="1884">
        <f>'Expenditures 15-22'!K221</f>
        <v>0</v>
      </c>
      <c r="G70" s="862"/>
    </row>
    <row r="71" spans="1:8" x14ac:dyDescent="0.2">
      <c r="A71" s="866" t="s">
        <v>462</v>
      </c>
      <c r="B71" s="866" t="s">
        <v>1888</v>
      </c>
      <c r="C71" s="883">
        <f>'Expenditures 15-22'!B224</f>
        <v>1600</v>
      </c>
      <c r="D71" s="884" t="str">
        <f>'Expenditures 15-22'!A224</f>
        <v>Summer School Programs</v>
      </c>
      <c r="E71" s="865"/>
      <c r="F71" s="1884">
        <f>'Expenditures 15-22'!K224</f>
        <v>0</v>
      </c>
      <c r="G71" s="862"/>
    </row>
    <row r="72" spans="1:8" x14ac:dyDescent="0.2">
      <c r="A72" s="866" t="s">
        <v>462</v>
      </c>
      <c r="B72" s="866" t="s">
        <v>1889</v>
      </c>
      <c r="C72" s="883">
        <f>'Expenditures 15-22'!B280</f>
        <v>3000</v>
      </c>
      <c r="D72" s="873" t="s">
        <v>449</v>
      </c>
      <c r="E72" s="865"/>
      <c r="F72" s="1884">
        <f>'Expenditures 15-22'!K280</f>
        <v>0</v>
      </c>
      <c r="G72" s="862"/>
    </row>
    <row r="73" spans="1:8" x14ac:dyDescent="0.2">
      <c r="A73" s="866" t="s">
        <v>462</v>
      </c>
      <c r="B73" s="866" t="s">
        <v>1890</v>
      </c>
      <c r="C73" s="883" t="str">
        <f>'Expenditures 15-22'!B285</f>
        <v>4000</v>
      </c>
      <c r="D73" s="884" t="str">
        <f>'Expenditures 15-22'!A285</f>
        <v>Total Payments to Other Govt Units</v>
      </c>
      <c r="E73" s="865"/>
      <c r="F73" s="1884">
        <f>'Expenditures 15-22'!K285</f>
        <v>0</v>
      </c>
      <c r="G73" s="862"/>
    </row>
    <row r="74" spans="1:8" x14ac:dyDescent="0.2">
      <c r="A74" s="866" t="s">
        <v>436</v>
      </c>
      <c r="B74" s="866" t="s">
        <v>1891</v>
      </c>
      <c r="C74" s="883" t="s">
        <v>860</v>
      </c>
      <c r="D74" s="884" t="s">
        <v>1486</v>
      </c>
      <c r="E74" s="865"/>
      <c r="F74" s="1888">
        <f>'Expenditures 15-22'!K334</f>
        <v>0</v>
      </c>
      <c r="G74" s="862"/>
    </row>
    <row r="75" spans="1:8" ht="5.25" customHeight="1" x14ac:dyDescent="0.2">
      <c r="A75" s="862"/>
      <c r="B75" s="872"/>
      <c r="C75" s="872"/>
      <c r="D75" s="862"/>
      <c r="E75" s="865"/>
      <c r="F75" s="879"/>
      <c r="G75" s="864"/>
    </row>
    <row r="76" spans="1:8" ht="12" thickBot="1" x14ac:dyDescent="0.25">
      <c r="A76" s="1744"/>
      <c r="B76" s="1750"/>
      <c r="C76" s="1746"/>
      <c r="D76" s="1751" t="s">
        <v>1892</v>
      </c>
      <c r="E76" s="1748" t="s">
        <v>958</v>
      </c>
      <c r="F76" s="1752">
        <f>SUM(F18:F74)</f>
        <v>7194175</v>
      </c>
      <c r="G76" s="862"/>
    </row>
    <row r="77" spans="1:8" s="890" customFormat="1" ht="12" customHeight="1" thickTop="1" thickBot="1" x14ac:dyDescent="0.25">
      <c r="A77" s="1753"/>
      <c r="B77" s="1750"/>
      <c r="C77" s="1746"/>
      <c r="D77" s="1751" t="s">
        <v>1893</v>
      </c>
      <c r="E77" s="1748"/>
      <c r="F77" s="1754">
        <f>(F14-F76)</f>
        <v>9822047</v>
      </c>
      <c r="G77" s="866"/>
    </row>
    <row r="78" spans="1:8" s="890" customFormat="1" ht="12" customHeight="1" thickTop="1" x14ac:dyDescent="0.2">
      <c r="A78" s="1755"/>
      <c r="B78" s="1750"/>
      <c r="C78" s="1746"/>
      <c r="D78" s="1751" t="s">
        <v>2055</v>
      </c>
      <c r="E78" s="1748"/>
      <c r="F78" s="895">
        <v>0</v>
      </c>
      <c r="G78" s="896"/>
      <c r="H78" s="866"/>
    </row>
    <row r="79" spans="1:8" s="890" customFormat="1" ht="12" customHeight="1" thickBot="1" x14ac:dyDescent="0.25">
      <c r="A79" s="1756"/>
      <c r="B79" s="1750"/>
      <c r="C79" s="1746"/>
      <c r="D79" s="1751" t="s">
        <v>1894</v>
      </c>
      <c r="E79" s="1748" t="s">
        <v>958</v>
      </c>
      <c r="F79" s="1757"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456" t="s">
        <v>1105</v>
      </c>
      <c r="B81" s="2457"/>
      <c r="C81" s="2457"/>
      <c r="D81" s="2457"/>
      <c r="E81" s="2457"/>
      <c r="F81" s="245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78">
        <f>'Revenues 9-14'!F42</f>
        <v>0</v>
      </c>
      <c r="G84" s="909"/>
    </row>
    <row r="85" spans="1:7" x14ac:dyDescent="0.2">
      <c r="A85" s="905" t="s">
        <v>461</v>
      </c>
      <c r="B85" s="905" t="s">
        <v>183</v>
      </c>
      <c r="C85" s="910">
        <f>'Revenues 9-14'!B44</f>
        <v>1413</v>
      </c>
      <c r="D85" s="908" t="str">
        <f>'Revenues 9-14'!A44</f>
        <v>Regular - Transp Fees from Other Sources (In State)</v>
      </c>
      <c r="E85" s="903"/>
      <c r="F85" s="1763">
        <f>'Revenues 9-14'!F44</f>
        <v>0</v>
      </c>
      <c r="G85" s="911"/>
    </row>
    <row r="86" spans="1:7" x14ac:dyDescent="0.2">
      <c r="A86" s="905" t="s">
        <v>461</v>
      </c>
      <c r="B86" s="905" t="s">
        <v>166</v>
      </c>
      <c r="C86" s="907">
        <f>'Revenues 9-14'!B45</f>
        <v>1415</v>
      </c>
      <c r="D86" s="908" t="str">
        <f>'Revenues 9-14'!A45</f>
        <v>Regular - Transp Fees from Co-curricular Activities (In State)</v>
      </c>
      <c r="E86" s="903"/>
      <c r="F86" s="1763">
        <f>'Revenues 9-14'!F45</f>
        <v>0</v>
      </c>
      <c r="G86" s="911"/>
    </row>
    <row r="87" spans="1:7" x14ac:dyDescent="0.2">
      <c r="A87" s="905" t="s">
        <v>461</v>
      </c>
      <c r="B87" s="905" t="s">
        <v>167</v>
      </c>
      <c r="C87" s="907">
        <v>1416</v>
      </c>
      <c r="D87" s="908" t="str">
        <f>'Revenues 9-14'!A46</f>
        <v>Regular Transp Fees from Other Sources (Out of State)</v>
      </c>
      <c r="E87" s="903"/>
      <c r="F87" s="1763">
        <f>'Revenues 9-14'!F46</f>
        <v>0</v>
      </c>
      <c r="G87" s="911"/>
    </row>
    <row r="88" spans="1:7" x14ac:dyDescent="0.2">
      <c r="A88" s="905" t="s">
        <v>461</v>
      </c>
      <c r="B88" s="905" t="s">
        <v>168</v>
      </c>
      <c r="C88" s="907">
        <f>'Revenues 9-14'!B51</f>
        <v>1431</v>
      </c>
      <c r="D88" s="908" t="str">
        <f>'Revenues 9-14'!A51</f>
        <v>CTE - Transp Fees from Pupils or Parents (In State)</v>
      </c>
      <c r="E88" s="903"/>
      <c r="F88" s="1763">
        <f>'Revenues 9-14'!F51</f>
        <v>0</v>
      </c>
      <c r="G88" s="911"/>
    </row>
    <row r="89" spans="1:7" x14ac:dyDescent="0.2">
      <c r="A89" s="905" t="s">
        <v>461</v>
      </c>
      <c r="B89" s="905" t="s">
        <v>169</v>
      </c>
      <c r="C89" s="907">
        <f>'Revenues 9-14'!B53</f>
        <v>1433</v>
      </c>
      <c r="D89" s="908" t="str">
        <f>'Revenues 9-14'!A53</f>
        <v>CTE - Transp Fees from Other Sources (In State)</v>
      </c>
      <c r="E89" s="903"/>
      <c r="F89" s="1763">
        <f>'Revenues 9-14'!F53</f>
        <v>0</v>
      </c>
      <c r="G89" s="911"/>
    </row>
    <row r="90" spans="1:7" x14ac:dyDescent="0.2">
      <c r="A90" s="905" t="s">
        <v>461</v>
      </c>
      <c r="B90" s="905" t="s">
        <v>170</v>
      </c>
      <c r="C90" s="907">
        <f>'Revenues 9-14'!B54</f>
        <v>1434</v>
      </c>
      <c r="D90" s="908" t="str">
        <f>'Revenues 9-14'!A54</f>
        <v>CTE - Transp Fees from Other Sources (Out of State)</v>
      </c>
      <c r="E90" s="903"/>
      <c r="F90" s="1763">
        <f>'Revenues 9-14'!F54</f>
        <v>0</v>
      </c>
      <c r="G90" s="911"/>
    </row>
    <row r="91" spans="1:7" x14ac:dyDescent="0.2">
      <c r="A91" s="905" t="s">
        <v>461</v>
      </c>
      <c r="B91" s="905" t="s">
        <v>171</v>
      </c>
      <c r="C91" s="912">
        <f>'Revenues 9-14'!B55</f>
        <v>1441</v>
      </c>
      <c r="D91" s="908" t="str">
        <f>'Revenues 9-14'!A55</f>
        <v>Special Ed - Transp Fees from Pupils or Parents (In State)</v>
      </c>
      <c r="E91" s="903"/>
      <c r="F91" s="1763">
        <f>'Revenues 9-14'!F55</f>
        <v>0</v>
      </c>
      <c r="G91" s="911"/>
    </row>
    <row r="92" spans="1:7" x14ac:dyDescent="0.2">
      <c r="A92" s="905" t="s">
        <v>461</v>
      </c>
      <c r="B92" s="905" t="s">
        <v>172</v>
      </c>
      <c r="C92" s="907">
        <f>'Revenues 9-14'!B57</f>
        <v>1443</v>
      </c>
      <c r="D92" s="908" t="str">
        <f>'Revenues 9-14'!A57</f>
        <v>Special Ed - Transp Fees from Other Sources (In State)</v>
      </c>
      <c r="E92" s="903"/>
      <c r="F92" s="1763">
        <f>'Revenues 9-14'!F57</f>
        <v>0</v>
      </c>
      <c r="G92" s="913"/>
    </row>
    <row r="93" spans="1:7" x14ac:dyDescent="0.2">
      <c r="A93" s="905" t="s">
        <v>461</v>
      </c>
      <c r="B93" s="905" t="s">
        <v>173</v>
      </c>
      <c r="C93" s="907">
        <f>'Revenues 9-14'!B58</f>
        <v>1444</v>
      </c>
      <c r="D93" s="908" t="str">
        <f>'Revenues 9-14'!A58</f>
        <v>Special Ed - Transp Fees from Other Sources (Out of State)</v>
      </c>
      <c r="E93" s="903"/>
      <c r="F93" s="1763">
        <f>'Revenues 9-14'!F58</f>
        <v>0</v>
      </c>
      <c r="G93" s="913"/>
    </row>
    <row r="94" spans="1:7" x14ac:dyDescent="0.2">
      <c r="A94" s="905" t="s">
        <v>459</v>
      </c>
      <c r="B94" s="905" t="s">
        <v>174</v>
      </c>
      <c r="C94" s="907">
        <v>1600</v>
      </c>
      <c r="D94" s="914" t="str">
        <f>'Revenues 9-14'!A75</f>
        <v>Total Food Service</v>
      </c>
      <c r="E94" s="903"/>
      <c r="F94" s="1763">
        <f>'Revenues 9-14'!C75</f>
        <v>4096</v>
      </c>
      <c r="G94" s="909"/>
    </row>
    <row r="95" spans="1:7" x14ac:dyDescent="0.2">
      <c r="A95" s="905" t="s">
        <v>140</v>
      </c>
      <c r="B95" s="905" t="s">
        <v>175</v>
      </c>
      <c r="C95" s="907">
        <v>1700</v>
      </c>
      <c r="D95" s="915" t="str">
        <f>'Revenues 9-14'!A82</f>
        <v>Total District/School Activity Income</v>
      </c>
      <c r="E95" s="903"/>
      <c r="F95" s="1763">
        <f>SUM('Revenues 9-14'!C82,'Revenues 9-14'!D82)</f>
        <v>0</v>
      </c>
      <c r="G95" s="909"/>
    </row>
    <row r="96" spans="1:7" x14ac:dyDescent="0.2">
      <c r="A96" s="905" t="s">
        <v>459</v>
      </c>
      <c r="B96" s="905" t="s">
        <v>176</v>
      </c>
      <c r="C96" s="907">
        <f>'Revenues 9-14'!B84</f>
        <v>1811</v>
      </c>
      <c r="D96" s="908" t="str">
        <f>'Revenues 9-14'!A84</f>
        <v>Rentals - Regular Textbooks</v>
      </c>
      <c r="E96" s="903"/>
      <c r="F96" s="1763">
        <f>'Revenues 9-14'!C84</f>
        <v>0</v>
      </c>
      <c r="G96" s="909"/>
    </row>
    <row r="97" spans="1:7" x14ac:dyDescent="0.2">
      <c r="A97" s="905" t="s">
        <v>459</v>
      </c>
      <c r="B97" s="905" t="s">
        <v>177</v>
      </c>
      <c r="C97" s="907">
        <f>'Revenues 9-14'!B87</f>
        <v>1819</v>
      </c>
      <c r="D97" s="908" t="str">
        <f>'Revenues 9-14'!A87</f>
        <v>Rentals - Other (Describe &amp; Itemize)</v>
      </c>
      <c r="E97" s="903"/>
      <c r="F97" s="1763">
        <f>'Revenues 9-14'!C87</f>
        <v>0</v>
      </c>
      <c r="G97" s="909"/>
    </row>
    <row r="98" spans="1:7" x14ac:dyDescent="0.2">
      <c r="A98" s="905" t="s">
        <v>459</v>
      </c>
      <c r="B98" s="905" t="s">
        <v>178</v>
      </c>
      <c r="C98" s="907">
        <f>'Revenues 9-14'!B88</f>
        <v>1821</v>
      </c>
      <c r="D98" s="908" t="str">
        <f>'Revenues 9-14'!A88</f>
        <v>Sales - Regular Textbooks</v>
      </c>
      <c r="E98" s="903"/>
      <c r="F98" s="1763">
        <f>'Revenues 9-14'!C88</f>
        <v>0</v>
      </c>
      <c r="G98" s="909"/>
    </row>
    <row r="99" spans="1:7" x14ac:dyDescent="0.2">
      <c r="A99" s="905" t="s">
        <v>459</v>
      </c>
      <c r="B99" s="905" t="s">
        <v>179</v>
      </c>
      <c r="C99" s="907">
        <f>'Revenues 9-14'!B91</f>
        <v>1829</v>
      </c>
      <c r="D99" s="908" t="str">
        <f>'Revenues 9-14'!A91</f>
        <v>Sales - Other (Describe &amp; Itemize)</v>
      </c>
      <c r="E99" s="903"/>
      <c r="F99" s="1763">
        <f>'Revenues 9-14'!C91</f>
        <v>0</v>
      </c>
      <c r="G99" s="909"/>
    </row>
    <row r="100" spans="1:7" x14ac:dyDescent="0.2">
      <c r="A100" s="905" t="s">
        <v>459</v>
      </c>
      <c r="B100" s="905" t="s">
        <v>180</v>
      </c>
      <c r="C100" s="907">
        <f>'Revenues 9-14'!B92</f>
        <v>1890</v>
      </c>
      <c r="D100" s="908" t="str">
        <f>'Revenues 9-14'!A92</f>
        <v>Other (Describe &amp; Itemize)</v>
      </c>
      <c r="E100" s="903"/>
      <c r="F100" s="1763">
        <f>'Revenues 9-14'!C92</f>
        <v>0</v>
      </c>
      <c r="G100" s="909"/>
    </row>
    <row r="101" spans="1:7" x14ac:dyDescent="0.2">
      <c r="A101" s="905" t="s">
        <v>140</v>
      </c>
      <c r="B101" s="905" t="s">
        <v>181</v>
      </c>
      <c r="C101" s="907">
        <f>'Revenues 9-14'!B95</f>
        <v>1910</v>
      </c>
      <c r="D101" s="908" t="str">
        <f>'Revenues 9-14'!A95</f>
        <v>Rentals</v>
      </c>
      <c r="E101" s="903"/>
      <c r="F101" s="1763">
        <f>SUM('Revenues 9-14'!C95:D95)</f>
        <v>97760</v>
      </c>
      <c r="G101" s="909"/>
    </row>
    <row r="102" spans="1:7" x14ac:dyDescent="0.2">
      <c r="A102" s="905" t="s">
        <v>503</v>
      </c>
      <c r="B102" s="905" t="s">
        <v>182</v>
      </c>
      <c r="C102" s="907">
        <f>'Revenues 9-14'!B98</f>
        <v>1940</v>
      </c>
      <c r="D102" s="908" t="str">
        <f>'Revenues 9-14'!A98</f>
        <v>Services Provided Other Districts</v>
      </c>
      <c r="E102" s="903"/>
      <c r="F102" s="1763">
        <f>SUM('Revenues 9-14'!C98,'Revenues 9-14'!D98,'Revenues 9-14'!F98)</f>
        <v>2408028</v>
      </c>
      <c r="G102" s="909"/>
    </row>
    <row r="103" spans="1:7" x14ac:dyDescent="0.2">
      <c r="A103" s="905" t="s">
        <v>1009</v>
      </c>
      <c r="B103" s="905" t="s">
        <v>801</v>
      </c>
      <c r="C103" s="907">
        <f>'Revenues 9-14'!B104</f>
        <v>1991</v>
      </c>
      <c r="D103" s="916" t="str">
        <f>'Revenues 9-14'!A104</f>
        <v>Payment from Other Districts</v>
      </c>
      <c r="E103" s="903"/>
      <c r="F103" s="1763">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63">
        <f>('Revenues 9-14'!C106)</f>
        <v>400000</v>
      </c>
      <c r="G104" s="909"/>
    </row>
    <row r="105" spans="1:7" x14ac:dyDescent="0.2">
      <c r="A105" s="905" t="s">
        <v>503</v>
      </c>
      <c r="B105" s="905" t="s">
        <v>1996</v>
      </c>
      <c r="C105" s="910">
        <v>3100</v>
      </c>
      <c r="D105" s="916" t="str">
        <f>'Revenues 9-14'!A132</f>
        <v>Total Special Education</v>
      </c>
      <c r="E105" s="903"/>
      <c r="F105" s="1763">
        <f>SUM('Revenues 9-14'!C132:D132,'Revenues 9-14'!F132)</f>
        <v>0</v>
      </c>
      <c r="G105" s="909"/>
    </row>
    <row r="106" spans="1:7" x14ac:dyDescent="0.2">
      <c r="A106" s="905" t="s">
        <v>673</v>
      </c>
      <c r="B106" s="905" t="s">
        <v>1997</v>
      </c>
      <c r="C106" s="917">
        <v>3200</v>
      </c>
      <c r="D106" s="908" t="str">
        <f>'Revenues 9-14'!A141</f>
        <v>Total Career and Technical Education</v>
      </c>
      <c r="E106" s="903"/>
      <c r="F106" s="1763">
        <f>SUM('Revenues 9-14'!C141,'Revenues 9-14'!D141,'Revenues 9-14'!G141)</f>
        <v>0</v>
      </c>
      <c r="G106" s="909"/>
    </row>
    <row r="107" spans="1:7" x14ac:dyDescent="0.2">
      <c r="A107" s="918" t="s">
        <v>664</v>
      </c>
      <c r="B107" s="905" t="s">
        <v>1998</v>
      </c>
      <c r="C107" s="917">
        <v>3300</v>
      </c>
      <c r="D107" s="908" t="str">
        <f>'Revenues 9-14'!A145</f>
        <v>Total Bilingual Ed</v>
      </c>
      <c r="E107" s="903"/>
      <c r="F107" s="1763">
        <f>SUM('Revenues 9-14'!C145,'Revenues 9-14'!G145)</f>
        <v>0</v>
      </c>
      <c r="G107" s="909"/>
    </row>
    <row r="108" spans="1:7" x14ac:dyDescent="0.2">
      <c r="A108" s="905" t="s">
        <v>459</v>
      </c>
      <c r="B108" s="905" t="s">
        <v>1999</v>
      </c>
      <c r="C108" s="917">
        <f>'Revenues 9-14'!B146</f>
        <v>3360</v>
      </c>
      <c r="D108" s="908" t="str">
        <f>'Revenues 9-14'!A146</f>
        <v>State Free Lunch &amp; Breakfast</v>
      </c>
      <c r="E108" s="903"/>
      <c r="F108" s="1763">
        <f>'Revenues 9-14'!C146</f>
        <v>2907</v>
      </c>
      <c r="G108" s="909"/>
    </row>
    <row r="109" spans="1:7" x14ac:dyDescent="0.2">
      <c r="A109" s="905" t="s">
        <v>673</v>
      </c>
      <c r="B109" s="905" t="s">
        <v>2000</v>
      </c>
      <c r="C109" s="917">
        <f>'Revenues 9-14'!B147</f>
        <v>3365</v>
      </c>
      <c r="D109" s="908" t="str">
        <f>'Revenues 9-14'!A147</f>
        <v>School Breakfast Initiative</v>
      </c>
      <c r="E109" s="903"/>
      <c r="F109" s="1763">
        <f>SUM('Revenues 9-14'!C147,'Revenues 9-14'!D147,'Revenues 9-14'!G147)</f>
        <v>0</v>
      </c>
      <c r="G109" s="909"/>
    </row>
    <row r="110" spans="1:7" x14ac:dyDescent="0.2">
      <c r="A110" s="905" t="s">
        <v>140</v>
      </c>
      <c r="B110" s="905" t="s">
        <v>2001</v>
      </c>
      <c r="C110" s="917">
        <f>'Revenues 9-14'!B148</f>
        <v>3370</v>
      </c>
      <c r="D110" s="908" t="str">
        <f>'Revenues 9-14'!A148</f>
        <v>Driver Education</v>
      </c>
      <c r="E110" s="903"/>
      <c r="F110" s="1763">
        <f>SUM('Revenues 9-14'!C148,'Revenues 9-14'!D148)</f>
        <v>0</v>
      </c>
      <c r="G110" s="909"/>
    </row>
    <row r="111" spans="1:7" x14ac:dyDescent="0.2">
      <c r="A111" s="905" t="s">
        <v>668</v>
      </c>
      <c r="B111" s="905" t="s">
        <v>2002</v>
      </c>
      <c r="C111" s="919">
        <v>3500</v>
      </c>
      <c r="D111" s="908" t="str">
        <f>'Revenues 9-14'!A155</f>
        <v>Total Transportation</v>
      </c>
      <c r="E111" s="903"/>
      <c r="F111" s="1763">
        <f>SUM('Revenues 9-14'!C155,'Revenues 9-14'!D155,'Revenues 9-14'!F155,'Revenues 9-14'!G155)</f>
        <v>43618</v>
      </c>
      <c r="G111" s="909"/>
    </row>
    <row r="112" spans="1:7" x14ac:dyDescent="0.2">
      <c r="A112" s="905" t="s">
        <v>459</v>
      </c>
      <c r="B112" s="905" t="s">
        <v>2003</v>
      </c>
      <c r="C112" s="917">
        <f>'Revenues 9-14'!B156</f>
        <v>3610</v>
      </c>
      <c r="D112" s="908" t="str">
        <f>'Revenues 9-14'!A156</f>
        <v>Learning Improvement - Change Grants</v>
      </c>
      <c r="E112" s="903"/>
      <c r="F112" s="1763">
        <f>'Revenues 9-14'!C156</f>
        <v>0</v>
      </c>
      <c r="G112" s="909"/>
    </row>
    <row r="113" spans="1:7" x14ac:dyDescent="0.2">
      <c r="A113" s="905" t="s">
        <v>668</v>
      </c>
      <c r="B113" s="905" t="s">
        <v>2004</v>
      </c>
      <c r="C113" s="917">
        <f>'Revenues 9-14'!B157</f>
        <v>3660</v>
      </c>
      <c r="D113" s="908" t="str">
        <f>'Revenues 9-14'!A157</f>
        <v>Scientific Literacy</v>
      </c>
      <c r="E113" s="903"/>
      <c r="F113" s="1763">
        <f>SUM('Revenues 9-14'!C157,'Revenues 9-14'!D157,'Revenues 9-14'!F157,'Revenues 9-14'!G157)</f>
        <v>0</v>
      </c>
      <c r="G113" s="909"/>
    </row>
    <row r="114" spans="1:7" x14ac:dyDescent="0.2">
      <c r="A114" s="905" t="s">
        <v>5</v>
      </c>
      <c r="B114" s="905" t="s">
        <v>2005</v>
      </c>
      <c r="C114" s="917">
        <f>'Revenues 9-14'!B158</f>
        <v>3695</v>
      </c>
      <c r="D114" s="908" t="str">
        <f>'Revenues 9-14'!A158</f>
        <v>Truant Alternative/Optional Education</v>
      </c>
      <c r="E114" s="903"/>
      <c r="F114" s="1763">
        <f>SUM('Revenues 9-14'!C158,'Revenues 9-14'!F158,'Revenues 9-14'!G158)</f>
        <v>0</v>
      </c>
      <c r="G114" s="909"/>
    </row>
    <row r="115" spans="1:7" x14ac:dyDescent="0.2">
      <c r="A115" s="905" t="s">
        <v>668</v>
      </c>
      <c r="B115" s="905" t="s">
        <v>2006</v>
      </c>
      <c r="C115" s="917">
        <f>'Revenues 9-14'!B160</f>
        <v>3766</v>
      </c>
      <c r="D115" s="908" t="str">
        <f>'Revenues 9-14'!A160</f>
        <v>Chicago General Education Block Grant</v>
      </c>
      <c r="E115" s="903"/>
      <c r="F115" s="1763">
        <f>SUM('Revenues 9-14'!C160,'Revenues 9-14'!D160,'Revenues 9-14'!F160,'Revenues 9-14'!G160)</f>
        <v>0</v>
      </c>
      <c r="G115" s="909"/>
    </row>
    <row r="116" spans="1:7" x14ac:dyDescent="0.2">
      <c r="A116" s="905" t="s">
        <v>668</v>
      </c>
      <c r="B116" s="905" t="s">
        <v>2007</v>
      </c>
      <c r="C116" s="917">
        <f>'Revenues 9-14'!B161</f>
        <v>3767</v>
      </c>
      <c r="D116" s="908" t="str">
        <f>'Revenues 9-14'!A161</f>
        <v>Chicago Educational Services Block Grant</v>
      </c>
      <c r="E116" s="903"/>
      <c r="F116" s="1763">
        <f>SUM('Revenues 9-14'!C161,'Revenues 9-14'!D161,'Revenues 9-14'!F161,'Revenues 9-14'!G161)</f>
        <v>0</v>
      </c>
      <c r="G116" s="909"/>
    </row>
    <row r="117" spans="1:7" x14ac:dyDescent="0.2">
      <c r="A117" s="920" t="s">
        <v>1009</v>
      </c>
      <c r="B117" s="920" t="s">
        <v>2008</v>
      </c>
      <c r="C117" s="921">
        <f>'Revenues 9-14'!B162</f>
        <v>3775</v>
      </c>
      <c r="D117" s="922" t="str">
        <f>'Revenues 9-14'!A162</f>
        <v>School Safety &amp; Educational Improvement Block Grant</v>
      </c>
      <c r="E117" s="903"/>
      <c r="F117" s="1878">
        <f>SUM('Revenues 9-14'!C162,'Revenues 9-14'!D162,'Revenues 9-14'!E162,'Revenues 9-14'!F162,'Revenues 9-14'!G162)</f>
        <v>0</v>
      </c>
      <c r="G117" s="909"/>
    </row>
    <row r="118" spans="1:7" x14ac:dyDescent="0.2">
      <c r="A118" s="920" t="s">
        <v>1009</v>
      </c>
      <c r="B118" s="920" t="s">
        <v>2009</v>
      </c>
      <c r="C118" s="921">
        <f>'Revenues 9-14'!B163</f>
        <v>3780</v>
      </c>
      <c r="D118" s="922" t="str">
        <f>'Revenues 9-14'!A163</f>
        <v>Technology - Technology for Success</v>
      </c>
      <c r="E118" s="903"/>
      <c r="F118" s="1878">
        <f>SUM('Revenues 9-14'!C163:G163)</f>
        <v>0</v>
      </c>
      <c r="G118" s="909"/>
    </row>
    <row r="119" spans="1:7" x14ac:dyDescent="0.2">
      <c r="A119" s="920" t="s">
        <v>504</v>
      </c>
      <c r="B119" s="920" t="s">
        <v>2010</v>
      </c>
      <c r="C119" s="921">
        <f>'Revenues 9-14'!B164</f>
        <v>3815</v>
      </c>
      <c r="D119" s="922" t="str">
        <f>'Revenues 9-14'!A164</f>
        <v>State Charter Schools</v>
      </c>
      <c r="E119" s="903"/>
      <c r="F119" s="1878">
        <f>SUM('Revenues 9-14'!C164,'Revenues 9-14'!F164)</f>
        <v>0</v>
      </c>
      <c r="G119" s="909"/>
    </row>
    <row r="120" spans="1:7" x14ac:dyDescent="0.2">
      <c r="A120" s="924" t="s">
        <v>460</v>
      </c>
      <c r="B120" s="924" t="s">
        <v>2011</v>
      </c>
      <c r="C120" s="925">
        <f>'Revenues 9-14'!B167</f>
        <v>3925</v>
      </c>
      <c r="D120" s="926" t="str">
        <f>'Revenues 9-14'!A167</f>
        <v>School Infrastructure - Maintenance Projects</v>
      </c>
      <c r="E120" s="903"/>
      <c r="F120" s="1763">
        <f>'Revenues 9-14'!D167</f>
        <v>0</v>
      </c>
      <c r="G120" s="927"/>
    </row>
    <row r="121" spans="1:7" x14ac:dyDescent="0.2">
      <c r="A121" s="924" t="s">
        <v>500</v>
      </c>
      <c r="B121" s="924" t="s">
        <v>2012</v>
      </c>
      <c r="C121" s="925">
        <f>'Revenues 9-14'!B168</f>
        <v>3999</v>
      </c>
      <c r="D121" s="926" t="s">
        <v>543</v>
      </c>
      <c r="E121" s="928"/>
      <c r="F121" s="1763">
        <f>SUM('Revenues 9-14'!C168:G168,'Revenues 9-14'!J168)</f>
        <v>505528</v>
      </c>
      <c r="G121" s="927"/>
    </row>
    <row r="122" spans="1:7" x14ac:dyDescent="0.2">
      <c r="A122" s="924" t="s">
        <v>459</v>
      </c>
      <c r="B122" s="924" t="s">
        <v>2013</v>
      </c>
      <c r="C122" s="929">
        <f>'Revenues 9-14'!B177</f>
        <v>4045</v>
      </c>
      <c r="D122" s="926" t="str">
        <f>'Revenues 9-14'!A177 &amp; " (Subtract)"</f>
        <v>Head Start (Subtract)</v>
      </c>
      <c r="E122" s="903"/>
      <c r="F122" s="1763">
        <f>SUM(-'Revenues 9-14'!C177)</f>
        <v>0</v>
      </c>
      <c r="G122" s="927"/>
    </row>
    <row r="123" spans="1:7" x14ac:dyDescent="0.2">
      <c r="A123" s="924" t="s">
        <v>668</v>
      </c>
      <c r="B123" s="924" t="s">
        <v>2014</v>
      </c>
      <c r="C123" s="929" t="s">
        <v>982</v>
      </c>
      <c r="D123" s="926" t="str">
        <f>('Revenues 9-14'!A181)</f>
        <v>Total Restricted Grants-In-Aid Received Directly from Federal Govt</v>
      </c>
      <c r="E123" s="903"/>
      <c r="F123" s="1763">
        <f>SUM('Revenues 9-14'!C181,'Revenues 9-14'!D181,'Revenues 9-14'!F181,'Revenues 9-14'!G181)</f>
        <v>0</v>
      </c>
      <c r="G123" s="927"/>
    </row>
    <row r="124" spans="1:7" x14ac:dyDescent="0.2">
      <c r="A124" s="924" t="s">
        <v>668</v>
      </c>
      <c r="B124" s="924" t="s">
        <v>2015</v>
      </c>
      <c r="C124" s="929">
        <v>4100</v>
      </c>
      <c r="D124" s="930" t="str">
        <f>'Revenues 9-14'!A188</f>
        <v>Total Title V</v>
      </c>
      <c r="E124" s="903"/>
      <c r="F124" s="1763">
        <f>SUM('Revenues 9-14'!C188,'Revenues 9-14'!D188,'Revenues 9-14'!F188,'Revenues 9-14'!G188)</f>
        <v>0</v>
      </c>
      <c r="G124" s="927"/>
    </row>
    <row r="125" spans="1:7" x14ac:dyDescent="0.2">
      <c r="A125" s="924" t="s">
        <v>664</v>
      </c>
      <c r="B125" s="924" t="s">
        <v>2016</v>
      </c>
      <c r="C125" s="929">
        <v>4200</v>
      </c>
      <c r="D125" s="926" t="str">
        <f>'Revenues 9-14'!A198</f>
        <v>Total Food Service</v>
      </c>
      <c r="E125" s="903"/>
      <c r="F125" s="1763">
        <f>SUM('Revenues 9-14'!C198,'Revenues 9-14'!G198)</f>
        <v>194584</v>
      </c>
      <c r="G125" s="927"/>
    </row>
    <row r="126" spans="1:7" x14ac:dyDescent="0.2">
      <c r="A126" s="924" t="s">
        <v>668</v>
      </c>
      <c r="B126" s="924" t="s">
        <v>2017</v>
      </c>
      <c r="C126" s="929">
        <v>4300</v>
      </c>
      <c r="D126" s="930" t="str">
        <f>'Revenues 9-14'!A204</f>
        <v>Total Title I</v>
      </c>
      <c r="E126" s="903"/>
      <c r="F126" s="1763">
        <f>SUM('Revenues 9-14'!C204,'Revenues 9-14'!D204,'Revenues 9-14'!F204,'Revenues 9-14'!G204)</f>
        <v>0</v>
      </c>
      <c r="G126" s="927"/>
    </row>
    <row r="127" spans="1:7" x14ac:dyDescent="0.2">
      <c r="A127" s="924" t="s">
        <v>668</v>
      </c>
      <c r="B127" s="924" t="s">
        <v>2018</v>
      </c>
      <c r="C127" s="929">
        <v>4400</v>
      </c>
      <c r="D127" s="930" t="str">
        <f>'Revenues 9-14'!A209</f>
        <v>Total Title IV</v>
      </c>
      <c r="E127" s="903"/>
      <c r="F127" s="1763">
        <f>SUM('Revenues 9-14'!C209,'Revenues 9-14'!D209,'Revenues 9-14'!F209,'Revenues 9-14'!G209)</f>
        <v>0</v>
      </c>
      <c r="G127" s="927"/>
    </row>
    <row r="128" spans="1:7" x14ac:dyDescent="0.2">
      <c r="A128" s="924" t="s">
        <v>668</v>
      </c>
      <c r="B128" s="924" t="s">
        <v>2019</v>
      </c>
      <c r="C128" s="929">
        <f>'Revenues 9-14'!B213</f>
        <v>4620</v>
      </c>
      <c r="D128" s="930" t="str">
        <f>'Revenues 9-14'!A213</f>
        <v>Fed - Spec Education - IDEA - Flow Through</v>
      </c>
      <c r="E128" s="903"/>
      <c r="F128" s="1763">
        <f>SUM('Revenues 9-14'!C213:D213,'Revenues 9-14'!F213:G213)</f>
        <v>1031402</v>
      </c>
      <c r="G128" s="927"/>
    </row>
    <row r="129" spans="1:7" x14ac:dyDescent="0.2">
      <c r="A129" s="924" t="s">
        <v>668</v>
      </c>
      <c r="B129" s="924" t="s">
        <v>2020</v>
      </c>
      <c r="C129" s="929">
        <f>'Revenues 9-14'!B214</f>
        <v>4625</v>
      </c>
      <c r="D129" s="930" t="str">
        <f>'Revenues 9-14'!A214</f>
        <v>Fed - Spec Education - IDEA - Room &amp; Board</v>
      </c>
      <c r="E129" s="903"/>
      <c r="F129" s="1763">
        <f>SUM('Revenues 9-14'!C214,'Revenues 9-14'!D214,'Revenues 9-14'!F214,'Revenues 9-14'!G214)</f>
        <v>0</v>
      </c>
      <c r="G129" s="927"/>
    </row>
    <row r="130" spans="1:7" x14ac:dyDescent="0.2">
      <c r="A130" s="924" t="s">
        <v>668</v>
      </c>
      <c r="B130" s="924" t="s">
        <v>2021</v>
      </c>
      <c r="C130" s="929">
        <f>'Revenues 9-14'!B215</f>
        <v>4630</v>
      </c>
      <c r="D130" s="930" t="str">
        <f>'Revenues 9-14'!A215</f>
        <v>Fed - Spec Education - IDEA - Discretionary</v>
      </c>
      <c r="E130" s="903"/>
      <c r="F130" s="1763">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63">
        <f>SUM('Revenues 9-14'!C216:D216,'Revenues 9-14'!F216:G216)</f>
        <v>0</v>
      </c>
      <c r="G131" s="927"/>
    </row>
    <row r="132" spans="1:7" x14ac:dyDescent="0.2">
      <c r="A132" s="924" t="s">
        <v>673</v>
      </c>
      <c r="B132" s="924" t="s">
        <v>2022</v>
      </c>
      <c r="C132" s="929">
        <v>4700</v>
      </c>
      <c r="D132" s="926" t="str">
        <f>'Revenues 9-14'!A221</f>
        <v>Total CTE - Perkins</v>
      </c>
      <c r="E132" s="903"/>
      <c r="F132" s="1763">
        <f>SUM('Revenues 9-14'!C221,'Revenues 9-14'!D221,'Revenues 9-14'!G221)</f>
        <v>0</v>
      </c>
      <c r="G132" s="927">
        <v>6303</v>
      </c>
    </row>
    <row r="133" spans="1:7" s="864" customFormat="1" hidden="1" x14ac:dyDescent="0.2">
      <c r="A133" s="931" t="s">
        <v>206</v>
      </c>
      <c r="B133" s="931" t="s">
        <v>2023</v>
      </c>
      <c r="C133" s="932" t="s">
        <v>207</v>
      </c>
      <c r="D133" s="933" t="str">
        <f>'Revenues 9-14'!A224</f>
        <v>ARRA - Title I - Low Income</v>
      </c>
      <c r="E133" s="934"/>
      <c r="F133" s="1878">
        <f>SUM('Revenues 9-14'!$C$224:$D$224,'Revenues 9-14'!$F$224:$G$224)</f>
        <v>0</v>
      </c>
      <c r="G133" s="902"/>
    </row>
    <row r="134" spans="1:7" s="864" customFormat="1" hidden="1" x14ac:dyDescent="0.2">
      <c r="A134" s="931" t="s">
        <v>206</v>
      </c>
      <c r="B134" s="931" t="s">
        <v>2024</v>
      </c>
      <c r="C134" s="932" t="s">
        <v>208</v>
      </c>
      <c r="D134" s="933" t="str">
        <f>'Revenues 9-14'!A225</f>
        <v>ARRA - Title I - Neglected, Private</v>
      </c>
      <c r="E134" s="934"/>
      <c r="F134" s="1763">
        <f>SUM('Revenues 9-14'!C225:G225,'Revenues 9-14'!J225)</f>
        <v>0</v>
      </c>
      <c r="G134" s="902"/>
    </row>
    <row r="135" spans="1:7" s="864" customFormat="1" hidden="1" x14ac:dyDescent="0.2">
      <c r="A135" s="931" t="s">
        <v>206</v>
      </c>
      <c r="B135" s="931" t="s">
        <v>2025</v>
      </c>
      <c r="C135" s="932" t="s">
        <v>209</v>
      </c>
      <c r="D135" s="933" t="str">
        <f>'Revenues 9-14'!A226</f>
        <v>ARRA - Title I - Delinquent, Private</v>
      </c>
      <c r="E135" s="934"/>
      <c r="F135" s="1763">
        <f>SUM('Revenues 9-14'!C226:G226,'Revenues 9-14'!J226)</f>
        <v>0</v>
      </c>
      <c r="G135" s="902"/>
    </row>
    <row r="136" spans="1:7" s="864" customFormat="1" hidden="1" x14ac:dyDescent="0.2">
      <c r="A136" s="931" t="s">
        <v>206</v>
      </c>
      <c r="B136" s="931" t="s">
        <v>2026</v>
      </c>
      <c r="C136" s="932" t="s">
        <v>210</v>
      </c>
      <c r="D136" s="933" t="str">
        <f>'Revenues 9-14'!A227</f>
        <v>ARRA - Title I - School Improvement (Part A)</v>
      </c>
      <c r="E136" s="934"/>
      <c r="F136" s="1763">
        <f>SUM('Revenues 9-14'!C227:G227,'Revenues 9-14'!J227)</f>
        <v>0</v>
      </c>
      <c r="G136" s="902"/>
    </row>
    <row r="137" spans="1:7" s="864" customFormat="1" hidden="1" x14ac:dyDescent="0.2">
      <c r="A137" s="931" t="s">
        <v>206</v>
      </c>
      <c r="B137" s="931" t="s">
        <v>2027</v>
      </c>
      <c r="C137" s="932" t="s">
        <v>211</v>
      </c>
      <c r="D137" s="933" t="str">
        <f>'Revenues 9-14'!A228</f>
        <v>ARRA - Title I - School Improvement (Section 1003g)</v>
      </c>
      <c r="E137" s="934"/>
      <c r="F137" s="1763">
        <f>SUM('Revenues 9-14'!C228:G228,'Revenues 9-14'!J228)</f>
        <v>0</v>
      </c>
      <c r="G137" s="902"/>
    </row>
    <row r="138" spans="1:7" s="864" customFormat="1" hidden="1" x14ac:dyDescent="0.2">
      <c r="A138" s="931" t="s">
        <v>206</v>
      </c>
      <c r="B138" s="931" t="s">
        <v>2028</v>
      </c>
      <c r="C138" s="932" t="s">
        <v>212</v>
      </c>
      <c r="D138" s="933" t="str">
        <f>'Revenues 9-14'!A229</f>
        <v>ARRA - IDEA - Part B - Preschool</v>
      </c>
      <c r="E138" s="934"/>
      <c r="F138" s="1763">
        <v>0</v>
      </c>
      <c r="G138" s="902"/>
    </row>
    <row r="139" spans="1:7" s="864" customFormat="1" hidden="1" x14ac:dyDescent="0.2">
      <c r="A139" s="931" t="s">
        <v>206</v>
      </c>
      <c r="B139" s="931" t="s">
        <v>2029</v>
      </c>
      <c r="C139" s="932" t="s">
        <v>213</v>
      </c>
      <c r="D139" s="933" t="str">
        <f>'Revenues 9-14'!A230</f>
        <v>ARRA - IDEA - Part B - Flow-Through</v>
      </c>
      <c r="E139" s="934"/>
      <c r="F139" s="1763">
        <f>SUM('Revenues 9-14'!C230:G230,'Revenues 9-14'!J230)</f>
        <v>0</v>
      </c>
      <c r="G139" s="902"/>
    </row>
    <row r="140" spans="1:7" s="864" customFormat="1" hidden="1" x14ac:dyDescent="0.2">
      <c r="A140" s="931" t="s">
        <v>206</v>
      </c>
      <c r="B140" s="931" t="s">
        <v>2030</v>
      </c>
      <c r="C140" s="932" t="s">
        <v>214</v>
      </c>
      <c r="D140" s="933" t="str">
        <f>'Revenues 9-14'!A231</f>
        <v>ARRA - Title IID - Technology-Formula</v>
      </c>
      <c r="E140" s="934"/>
      <c r="F140" s="1763">
        <f>SUM('Revenues 9-14'!C231:G231,'Revenues 9-14'!J231)</f>
        <v>0</v>
      </c>
      <c r="G140" s="902"/>
    </row>
    <row r="141" spans="1:7" s="864" customFormat="1" hidden="1" x14ac:dyDescent="0.2">
      <c r="A141" s="931" t="s">
        <v>206</v>
      </c>
      <c r="B141" s="931" t="s">
        <v>2031</v>
      </c>
      <c r="C141" s="932" t="s">
        <v>216</v>
      </c>
      <c r="D141" s="933" t="str">
        <f>'Revenues 9-14'!A232</f>
        <v>ARRA - Title IID - Technology-Competitive</v>
      </c>
      <c r="E141" s="934"/>
      <c r="F141" s="1763">
        <f>SUM('Revenues 9-14'!C232:G232,'Revenues 9-14'!J232)</f>
        <v>0</v>
      </c>
      <c r="G141" s="902"/>
    </row>
    <row r="142" spans="1:7" s="864" customFormat="1" hidden="1" x14ac:dyDescent="0.2">
      <c r="A142" s="931" t="s">
        <v>668</v>
      </c>
      <c r="B142" s="931" t="s">
        <v>2032</v>
      </c>
      <c r="C142" s="932" t="s">
        <v>217</v>
      </c>
      <c r="D142" s="933" t="str">
        <f>'Revenues 9-14'!A233</f>
        <v>ARRA - McKinney - Vento Homeless Education</v>
      </c>
      <c r="E142" s="934"/>
      <c r="F142" s="1763">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63">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63">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63">
        <f>SUM('Revenues 9-14'!C239:G239,'Revenues 9-14'!J239)</f>
        <v>0</v>
      </c>
      <c r="G145" s="902"/>
    </row>
    <row r="146" spans="1:7" s="864" customFormat="1" hidden="1" x14ac:dyDescent="0.2">
      <c r="A146" s="931" t="s">
        <v>206</v>
      </c>
      <c r="B146" s="931" t="s">
        <v>2033</v>
      </c>
      <c r="C146" s="932" t="s">
        <v>223</v>
      </c>
      <c r="D146" s="933" t="str">
        <f>'Revenues 9-14'!A240</f>
        <v>Build America Bond Interest Reimbursement</v>
      </c>
      <c r="E146" s="934"/>
      <c r="F146" s="1763">
        <f>SUM('Revenues 9-14'!C240:G240,'Revenues 9-14'!J240)</f>
        <v>0</v>
      </c>
      <c r="G146" s="902"/>
    </row>
    <row r="147" spans="1:7" s="864" customFormat="1" hidden="1" x14ac:dyDescent="0.2">
      <c r="A147" s="931" t="s">
        <v>206</v>
      </c>
      <c r="B147" s="931" t="s">
        <v>2034</v>
      </c>
      <c r="C147" s="932" t="s">
        <v>225</v>
      </c>
      <c r="D147" s="933" t="str">
        <f>'Revenues 9-14'!A242</f>
        <v>Other ARRA Funds - II</v>
      </c>
      <c r="E147" s="934"/>
      <c r="F147" s="1763">
        <f>SUM('Revenues 9-14'!C242:G242,'Revenues 9-14'!J242)</f>
        <v>0</v>
      </c>
      <c r="G147" s="902"/>
    </row>
    <row r="148" spans="1:7" s="864" customFormat="1" hidden="1" x14ac:dyDescent="0.2">
      <c r="A148" s="931" t="s">
        <v>206</v>
      </c>
      <c r="B148" s="931" t="s">
        <v>2035</v>
      </c>
      <c r="C148" s="932" t="s">
        <v>226</v>
      </c>
      <c r="D148" s="933" t="str">
        <f>'Revenues 9-14'!A243</f>
        <v>Other ARRA Funds - III</v>
      </c>
      <c r="E148" s="934"/>
      <c r="F148" s="1763">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63">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63">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63">
        <v>0</v>
      </c>
      <c r="G151" s="902"/>
    </row>
    <row r="152" spans="1:7" s="864" customFormat="1" hidden="1" x14ac:dyDescent="0.2">
      <c r="A152" s="931" t="s">
        <v>206</v>
      </c>
      <c r="B152" s="931" t="s">
        <v>1417</v>
      </c>
      <c r="C152" s="932" t="s">
        <v>233</v>
      </c>
      <c r="D152" s="933" t="str">
        <f>'Revenues 9-14'!A247</f>
        <v>Other ARRA Funds VII</v>
      </c>
      <c r="E152" s="934"/>
      <c r="F152" s="1763">
        <f>SUM('Revenues 9-14'!C247:G247,'Revenues 9-14'!J247)</f>
        <v>0</v>
      </c>
      <c r="G152" s="902"/>
    </row>
    <row r="153" spans="1:7" s="864" customFormat="1" hidden="1" x14ac:dyDescent="0.2">
      <c r="A153" s="931" t="s">
        <v>206</v>
      </c>
      <c r="B153" s="931" t="s">
        <v>2036</v>
      </c>
      <c r="C153" s="932" t="s">
        <v>234</v>
      </c>
      <c r="D153" s="933" t="str">
        <f>'Revenues 9-14'!A248</f>
        <v>Other ARRA Funds VIII</v>
      </c>
      <c r="E153" s="934"/>
      <c r="F153" s="1763">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63">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63">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63">
        <f>SUM('Revenues 9-14'!C251:G251,'Revenues 9-14'!J251)</f>
        <v>0</v>
      </c>
      <c r="G156" s="902"/>
    </row>
    <row r="157" spans="1:7" s="864" customFormat="1" x14ac:dyDescent="0.2">
      <c r="A157" s="935" t="s">
        <v>500</v>
      </c>
      <c r="B157" s="936" t="s">
        <v>2037</v>
      </c>
      <c r="C157" s="937" t="s">
        <v>841</v>
      </c>
      <c r="D157" s="938" t="s">
        <v>777</v>
      </c>
      <c r="E157" s="939"/>
      <c r="F157" s="1763">
        <f>SUM(F133:F156)</f>
        <v>0</v>
      </c>
      <c r="G157" s="902"/>
    </row>
    <row r="158" spans="1:7" s="864" customFormat="1" x14ac:dyDescent="0.2">
      <c r="A158" s="935" t="s">
        <v>459</v>
      </c>
      <c r="B158" s="936" t="s">
        <v>2038</v>
      </c>
      <c r="C158" s="937" t="s">
        <v>1427</v>
      </c>
      <c r="D158" s="938" t="s">
        <v>1428</v>
      </c>
      <c r="E158" s="939"/>
      <c r="F158" s="1763">
        <f>SUM('Revenues 9-14'!C253)</f>
        <v>0</v>
      </c>
      <c r="G158" s="902"/>
    </row>
    <row r="159" spans="1:7" s="864" customFormat="1" x14ac:dyDescent="0.2">
      <c r="A159" s="935" t="s">
        <v>500</v>
      </c>
      <c r="B159" s="936" t="s">
        <v>2039</v>
      </c>
      <c r="C159" s="937" t="s">
        <v>1466</v>
      </c>
      <c r="D159" s="938" t="s">
        <v>1467</v>
      </c>
      <c r="E159" s="939"/>
      <c r="F159" s="1763">
        <f>SUM('Revenues 9-14'!C254:H254,'Revenues 9-14'!J254:K254)</f>
        <v>1750</v>
      </c>
      <c r="G159" s="902"/>
    </row>
    <row r="160" spans="1:7" x14ac:dyDescent="0.2">
      <c r="A160" s="924" t="s">
        <v>5</v>
      </c>
      <c r="B160" s="924" t="s">
        <v>2040</v>
      </c>
      <c r="C160" s="929">
        <f>'Revenues 9-14'!B255</f>
        <v>4905</v>
      </c>
      <c r="D160" s="926" t="str">
        <f>'Revenues 9-14'!A255</f>
        <v>Title III - Immigrant Education Program (IEP)</v>
      </c>
      <c r="E160" s="903"/>
      <c r="F160" s="1763">
        <f>SUM('Revenues 9-14'!C255,'Revenues 9-14'!F255,'Revenues 9-14'!G255)</f>
        <v>0</v>
      </c>
      <c r="G160" s="940">
        <v>6306</v>
      </c>
    </row>
    <row r="161" spans="1:7" x14ac:dyDescent="0.2">
      <c r="A161" s="924" t="s">
        <v>5</v>
      </c>
      <c r="B161" s="924" t="s">
        <v>2041</v>
      </c>
      <c r="C161" s="929">
        <f>'Revenues 9-14'!B256</f>
        <v>4909</v>
      </c>
      <c r="D161" s="926" t="str">
        <f>'Revenues 9-14'!A256</f>
        <v>Title III - Language Inst Program - Limited Eng (LIPLEP)</v>
      </c>
      <c r="E161" s="903"/>
      <c r="F161" s="1763">
        <f>SUM('Revenues 9-14'!C256,'Revenues 9-14'!F256,'Revenues 9-14'!G256)</f>
        <v>0</v>
      </c>
      <c r="G161" s="940"/>
    </row>
    <row r="162" spans="1:7" x14ac:dyDescent="0.2">
      <c r="A162" s="924" t="s">
        <v>668</v>
      </c>
      <c r="B162" s="924" t="s">
        <v>2042</v>
      </c>
      <c r="C162" s="929">
        <f>'Revenues 9-14'!B257</f>
        <v>4920</v>
      </c>
      <c r="D162" s="926" t="str">
        <f>'Revenues 9-14'!A257</f>
        <v>McKinney Education for Homeless Children</v>
      </c>
      <c r="E162" s="903"/>
      <c r="F162" s="1763">
        <f>SUM('Revenues 9-14'!C257,'Revenues 9-14'!D257,'Revenues 9-14'!F257,'Revenues 9-14'!G257)</f>
        <v>0</v>
      </c>
      <c r="G162" s="927"/>
    </row>
    <row r="163" spans="1:7" x14ac:dyDescent="0.2">
      <c r="A163" s="941" t="s">
        <v>668</v>
      </c>
      <c r="B163" s="941" t="s">
        <v>2043</v>
      </c>
      <c r="C163" s="942">
        <f>'Revenues 9-14'!B258</f>
        <v>4930</v>
      </c>
      <c r="D163" s="943" t="str">
        <f>'Revenues 9-14'!A258</f>
        <v>Title II - Eisenhower Professional Development Formula</v>
      </c>
      <c r="E163" s="923"/>
      <c r="F163" s="1878">
        <f>SUM('Revenues 9-14'!C258:D258,'Revenues 9-14'!F258,'Revenues 9-14'!G258)</f>
        <v>0</v>
      </c>
      <c r="G163" s="927"/>
    </row>
    <row r="164" spans="1:7" x14ac:dyDescent="0.2">
      <c r="A164" s="924" t="s">
        <v>668</v>
      </c>
      <c r="B164" s="924" t="s">
        <v>2044</v>
      </c>
      <c r="C164" s="929">
        <f>'Revenues 9-14'!B259</f>
        <v>4932</v>
      </c>
      <c r="D164" s="930" t="str">
        <f>'Revenues 9-14'!A259</f>
        <v>Title II - Teacher Quality</v>
      </c>
      <c r="E164" s="903"/>
      <c r="F164" s="1878">
        <f>SUM('Revenues 9-14'!C259,'Revenues 9-14'!D259,'Revenues 9-14'!F259,'Revenues 9-14'!G259)</f>
        <v>0</v>
      </c>
      <c r="G164" s="927"/>
    </row>
    <row r="165" spans="1:7" x14ac:dyDescent="0.2">
      <c r="A165" s="924" t="s">
        <v>668</v>
      </c>
      <c r="B165" s="924" t="s">
        <v>2045</v>
      </c>
      <c r="C165" s="929">
        <f>'Revenues 9-14'!B260</f>
        <v>4960</v>
      </c>
      <c r="D165" s="926" t="str">
        <f>'Revenues 9-14'!A260</f>
        <v>Federal Charter Schools</v>
      </c>
      <c r="E165" s="903"/>
      <c r="F165" s="1763">
        <f>SUM('Revenues 9-14'!C260:D260,'Revenues 9-14'!F260:G260)</f>
        <v>0</v>
      </c>
      <c r="G165" s="927"/>
    </row>
    <row r="166" spans="1:7" x14ac:dyDescent="0.2">
      <c r="A166" s="924" t="s">
        <v>668</v>
      </c>
      <c r="B166" s="924" t="s">
        <v>1990</v>
      </c>
      <c r="C166" s="929">
        <f>'Revenues 9-14'!B261</f>
        <v>4981</v>
      </c>
      <c r="D166" s="926" t="str">
        <f>'Revenues 9-14'!A261</f>
        <v>State Assessment Grants</v>
      </c>
      <c r="E166" s="903"/>
      <c r="F166" s="1763">
        <f>SUM('Revenues 9-14'!C261:D261,'Revenues 9-14'!F261:G261)</f>
        <v>0</v>
      </c>
      <c r="G166" s="927"/>
    </row>
    <row r="167" spans="1:7" x14ac:dyDescent="0.2">
      <c r="A167" s="924" t="s">
        <v>668</v>
      </c>
      <c r="B167" s="924" t="s">
        <v>1991</v>
      </c>
      <c r="C167" s="929">
        <f>'Revenues 9-14'!B262</f>
        <v>4982</v>
      </c>
      <c r="D167" s="926" t="str">
        <f>'Revenues 9-14'!A262</f>
        <v>Grant for State Assessments and Related Activities</v>
      </c>
      <c r="E167" s="903"/>
      <c r="F167" s="1763">
        <f>SUM('Revenues 9-14'!C262:D262,'Revenues 9-14'!F262:G262)</f>
        <v>0</v>
      </c>
      <c r="G167" s="927"/>
    </row>
    <row r="168" spans="1:7" x14ac:dyDescent="0.2">
      <c r="A168" s="924" t="s">
        <v>668</v>
      </c>
      <c r="B168" s="924" t="s">
        <v>2046</v>
      </c>
      <c r="C168" s="929">
        <f>'Revenues 9-14'!B263</f>
        <v>4991</v>
      </c>
      <c r="D168" s="930" t="str">
        <f>'Revenues 9-14'!A263</f>
        <v>Medicaid Matching Funds - Administrative Outreach</v>
      </c>
      <c r="E168" s="903"/>
      <c r="F168" s="1763">
        <f>SUM('Revenues 9-14'!C263:D263,'Revenues 9-14'!F263:G263)</f>
        <v>90420</v>
      </c>
      <c r="G168" s="944">
        <v>6320</v>
      </c>
    </row>
    <row r="169" spans="1:7" x14ac:dyDescent="0.2">
      <c r="A169" s="924" t="s">
        <v>668</v>
      </c>
      <c r="B169" s="924" t="s">
        <v>2047</v>
      </c>
      <c r="C169" s="929">
        <f>'Revenues 9-14'!B264</f>
        <v>4992</v>
      </c>
      <c r="D169" s="930" t="str">
        <f>'Revenues 9-14'!A264</f>
        <v>Medicaid Matching Funds - Fee-for-Service Program</v>
      </c>
      <c r="E169" s="903"/>
      <c r="F169" s="1763">
        <f>SUM('Revenues 9-14'!C264:D264,'Revenues 9-14'!F264:G264)</f>
        <v>6924</v>
      </c>
      <c r="G169" s="944"/>
    </row>
    <row r="170" spans="1:7" x14ac:dyDescent="0.2">
      <c r="A170" s="945" t="s">
        <v>668</v>
      </c>
      <c r="B170" s="941" t="s">
        <v>2048</v>
      </c>
      <c r="C170" s="942">
        <f>'Revenues 9-14'!B265</f>
        <v>4999</v>
      </c>
      <c r="D170" s="943" t="str">
        <f>'Revenues 9-14'!A265</f>
        <v>Other Restricted Revenue from Federal Sources (Describe &amp; Itemize)</v>
      </c>
      <c r="E170" s="903"/>
      <c r="F170" s="1763">
        <f>SUM('Revenues 9-14'!C265:D265,'Revenues 9-14'!F265:G265)</f>
        <v>0</v>
      </c>
      <c r="G170" s="924"/>
    </row>
    <row r="171" spans="1:7" x14ac:dyDescent="0.2">
      <c r="A171" s="1889" t="s">
        <v>5</v>
      </c>
      <c r="B171" s="1890" t="s">
        <v>1913</v>
      </c>
      <c r="C171" s="1891">
        <v>3100</v>
      </c>
      <c r="D171" s="1892" t="s">
        <v>1915</v>
      </c>
      <c r="E171" s="903"/>
      <c r="F171" s="1877"/>
      <c r="G171" s="924"/>
    </row>
    <row r="172" spans="1:7" x14ac:dyDescent="0.2">
      <c r="A172" s="1889" t="s">
        <v>664</v>
      </c>
      <c r="B172" s="1890" t="s">
        <v>1913</v>
      </c>
      <c r="C172" s="1891">
        <v>3300</v>
      </c>
      <c r="D172" s="1892" t="s">
        <v>1916</v>
      </c>
      <c r="E172" s="903"/>
      <c r="F172" s="1877"/>
      <c r="G172" s="924"/>
    </row>
    <row r="173" spans="1:7" ht="6" customHeight="1" x14ac:dyDescent="0.2">
      <c r="A173" s="924"/>
      <c r="B173" s="924"/>
      <c r="C173" s="946"/>
      <c r="D173" s="924"/>
      <c r="E173" s="903"/>
      <c r="F173" s="947"/>
      <c r="G173" s="944"/>
    </row>
    <row r="174" spans="1:7" x14ac:dyDescent="0.2">
      <c r="A174" s="1744"/>
      <c r="B174" s="1758"/>
      <c r="C174" s="1759"/>
      <c r="D174" s="1760" t="s">
        <v>2049</v>
      </c>
      <c r="E174" s="1761" t="s">
        <v>958</v>
      </c>
      <c r="F174" s="1762">
        <f>SUM(F84:F132,F157:F172)</f>
        <v>4787017</v>
      </c>
    </row>
    <row r="175" spans="1:7" ht="12" customHeight="1" x14ac:dyDescent="0.2">
      <c r="A175" s="1744"/>
      <c r="B175" s="1758"/>
      <c r="C175" s="1759"/>
      <c r="D175" s="1760" t="s">
        <v>2050</v>
      </c>
      <c r="E175" s="1761"/>
      <c r="F175" s="1763">
        <f>'PCTC-OEPP 27-28'!F77-F174</f>
        <v>5035030</v>
      </c>
    </row>
    <row r="176" spans="1:7" ht="12" customHeight="1" x14ac:dyDescent="0.2">
      <c r="A176" s="1744"/>
      <c r="B176" s="1758"/>
      <c r="C176" s="1759"/>
      <c r="D176" s="1760" t="s">
        <v>1811</v>
      </c>
      <c r="E176" s="1761"/>
      <c r="F176" s="1763">
        <f>'Cap Outlay Deprec 26'!I18</f>
        <v>214006</v>
      </c>
    </row>
    <row r="177" spans="1:7" ht="12" customHeight="1" x14ac:dyDescent="0.2">
      <c r="A177" s="1744"/>
      <c r="B177" s="1758"/>
      <c r="C177" s="1759"/>
      <c r="D177" s="1760" t="s">
        <v>2051</v>
      </c>
      <c r="E177" s="1761"/>
      <c r="F177" s="1763">
        <f>F175+F176</f>
        <v>5249036</v>
      </c>
    </row>
    <row r="178" spans="1:7" ht="12" customHeight="1" x14ac:dyDescent="0.2">
      <c r="A178" s="1744"/>
      <c r="B178" s="1764"/>
      <c r="C178" s="1759"/>
      <c r="D178" s="1760" t="str">
        <f>D78</f>
        <v>9 Month ADA from District Average Daily Attendance/Prior General State Aid Inquiry 2018-2019</v>
      </c>
      <c r="E178" s="1761"/>
      <c r="F178" s="1765">
        <f>'PCTC-OEPP 27-28'!F78</f>
        <v>0</v>
      </c>
      <c r="G178" s="927"/>
    </row>
    <row r="179" spans="1:7" ht="12" customHeight="1" thickBot="1" x14ac:dyDescent="0.25">
      <c r="A179" s="1744"/>
      <c r="B179" s="1764"/>
      <c r="C179" s="1759"/>
      <c r="D179" s="1760" t="s">
        <v>2052</v>
      </c>
      <c r="E179" s="1761" t="s">
        <v>1544</v>
      </c>
      <c r="F179" s="1766" t="e">
        <f>F177/F178</f>
        <v>#DIV/0!</v>
      </c>
      <c r="G179" s="853">
        <v>6323</v>
      </c>
    </row>
    <row r="180" spans="1:7" ht="12" thickTop="1" x14ac:dyDescent="0.2">
      <c r="B180" s="927"/>
      <c r="C180" s="946"/>
      <c r="D180" s="927"/>
      <c r="E180" s="946"/>
      <c r="F180" s="927"/>
      <c r="G180" s="948">
        <v>6326</v>
      </c>
    </row>
    <row r="181" spans="1:7" ht="12.2" customHeight="1" x14ac:dyDescent="0.2">
      <c r="A181" s="927" t="s">
        <v>1914</v>
      </c>
      <c r="B181" s="927"/>
      <c r="C181" s="946"/>
      <c r="D181" s="927"/>
      <c r="E181" s="946"/>
      <c r="F181" s="927"/>
      <c r="G181" s="927"/>
    </row>
    <row r="182" spans="1:7" s="1893" customFormat="1" ht="12.2" customHeight="1" x14ac:dyDescent="0.2">
      <c r="A182" s="1893" t="s">
        <v>1987</v>
      </c>
      <c r="B182" s="1894"/>
      <c r="C182" s="1895"/>
      <c r="D182" s="1894"/>
      <c r="E182" s="1895"/>
      <c r="F182" s="1894"/>
      <c r="G182" s="1894"/>
    </row>
    <row r="183" spans="1:7" s="1893" customFormat="1" ht="12.2" customHeight="1" x14ac:dyDescent="0.2">
      <c r="A183" s="1896" t="s">
        <v>1989</v>
      </c>
      <c r="C183" s="1895"/>
      <c r="D183" s="1894"/>
      <c r="E183" s="1895"/>
      <c r="F183" s="1894"/>
      <c r="G183" s="1894"/>
    </row>
    <row r="184" spans="1:7" ht="12" customHeight="1" x14ac:dyDescent="0.2">
      <c r="C184" s="946"/>
      <c r="D184" s="927"/>
      <c r="E184" s="946"/>
      <c r="F184" s="927"/>
      <c r="G184" s="927"/>
    </row>
    <row r="185" spans="1:7" x14ac:dyDescent="0.2">
      <c r="A185" s="1897" t="s">
        <v>1918</v>
      </c>
      <c r="B185" s="1898" t="s">
        <v>1917</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16" customWidth="1"/>
    <col min="2" max="2" width="16.42578125" style="1517" bestFit="1" customWidth="1"/>
    <col min="3" max="3" width="33.7109375" style="1517" customWidth="1"/>
    <col min="4" max="4" width="16.28515625" style="1518" customWidth="1"/>
    <col min="5" max="5" width="30" style="1518" hidden="1" customWidth="1"/>
    <col min="6" max="6" width="23.5703125" style="1518" customWidth="1"/>
    <col min="7" max="7" width="23.28515625" style="1517" customWidth="1"/>
    <col min="8" max="16384" width="9.140625" style="1507"/>
  </cols>
  <sheetData>
    <row r="1" spans="1:7" ht="15" customHeight="1" x14ac:dyDescent="0.25">
      <c r="A1" s="1633" t="s">
        <v>1826</v>
      </c>
      <c r="B1" s="1634"/>
      <c r="C1" s="1634"/>
      <c r="D1" s="1634"/>
      <c r="E1" s="1634"/>
      <c r="F1" s="1634"/>
      <c r="G1" s="1634"/>
    </row>
    <row r="2" spans="1:7" x14ac:dyDescent="0.25">
      <c r="A2" s="1631"/>
      <c r="B2" s="1631"/>
      <c r="C2" s="1632" t="s">
        <v>979</v>
      </c>
      <c r="D2" s="1631"/>
      <c r="E2" s="1631"/>
      <c r="F2" s="1631"/>
      <c r="G2" s="1631"/>
    </row>
    <row r="3" spans="1:7" ht="5.25" customHeight="1" x14ac:dyDescent="0.25">
      <c r="A3" s="1519"/>
      <c r="B3" s="1519"/>
      <c r="C3" s="1519"/>
      <c r="D3" s="1519"/>
      <c r="E3" s="1519"/>
      <c r="F3" s="1519"/>
      <c r="G3" s="1519"/>
    </row>
    <row r="4" spans="1:7" ht="18.75" customHeight="1" x14ac:dyDescent="0.25">
      <c r="A4" s="2470" t="s">
        <v>1812</v>
      </c>
      <c r="B4" s="2471"/>
      <c r="C4" s="2471"/>
      <c r="D4" s="2471"/>
      <c r="E4" s="2471"/>
      <c r="F4" s="2471"/>
      <c r="G4" s="2472"/>
    </row>
    <row r="5" spans="1:7" x14ac:dyDescent="0.25">
      <c r="A5" s="2473"/>
      <c r="B5" s="2474"/>
      <c r="C5" s="2474"/>
      <c r="D5" s="2474"/>
      <c r="E5" s="2474"/>
      <c r="F5" s="2474"/>
      <c r="G5" s="2475"/>
    </row>
    <row r="6" spans="1:7" ht="18.75" x14ac:dyDescent="0.25">
      <c r="A6" s="1508" t="s">
        <v>1813</v>
      </c>
      <c r="B6" s="1509"/>
      <c r="C6" s="1509"/>
      <c r="D6" s="1509"/>
      <c r="E6" s="1509"/>
      <c r="F6" s="1509"/>
      <c r="G6" s="1510"/>
    </row>
    <row r="7" spans="1:7" ht="30.75" customHeight="1" x14ac:dyDescent="0.25">
      <c r="A7" s="2476" t="s">
        <v>1925</v>
      </c>
      <c r="B7" s="2477"/>
      <c r="C7" s="2477"/>
      <c r="D7" s="2477"/>
      <c r="E7" s="2477"/>
      <c r="F7" s="2477"/>
      <c r="G7" s="2478"/>
    </row>
    <row r="8" spans="1:7" ht="15.75" customHeight="1" x14ac:dyDescent="0.25">
      <c r="A8" s="2479" t="s">
        <v>1900</v>
      </c>
      <c r="B8" s="2480"/>
      <c r="C8" s="2480"/>
      <c r="D8" s="2480"/>
      <c r="E8" s="2480"/>
      <c r="F8" s="2480"/>
      <c r="G8" s="2481"/>
    </row>
    <row r="9" spans="1:7" ht="35.25" customHeight="1" x14ac:dyDescent="0.25">
      <c r="A9" s="2476" t="s">
        <v>1928</v>
      </c>
      <c r="B9" s="2477"/>
      <c r="C9" s="2477"/>
      <c r="D9" s="2477"/>
      <c r="E9" s="2477"/>
      <c r="F9" s="2477"/>
      <c r="G9" s="2478"/>
    </row>
    <row r="10" spans="1:7" ht="15" customHeight="1" x14ac:dyDescent="0.25">
      <c r="A10" s="1511" t="s">
        <v>1814</v>
      </c>
      <c r="B10" s="1512"/>
      <c r="C10" s="1512"/>
      <c r="D10" s="1512"/>
      <c r="E10" s="1512"/>
      <c r="F10" s="1512"/>
      <c r="G10" s="1513"/>
    </row>
    <row r="11" spans="1:7" ht="17.25" customHeight="1" x14ac:dyDescent="0.25">
      <c r="A11" s="2476" t="s">
        <v>1927</v>
      </c>
      <c r="B11" s="2477"/>
      <c r="C11" s="2477"/>
      <c r="D11" s="2477"/>
      <c r="E11" s="2477"/>
      <c r="F11" s="2477"/>
      <c r="G11" s="2478"/>
    </row>
    <row r="12" spans="1:7" ht="15" customHeight="1" x14ac:dyDescent="0.25">
      <c r="A12" s="1511" t="s">
        <v>1819</v>
      </c>
      <c r="B12" s="1512"/>
      <c r="C12" s="1512"/>
      <c r="D12" s="1512"/>
      <c r="E12" s="1512"/>
      <c r="F12" s="1512"/>
      <c r="G12" s="1513"/>
    </row>
    <row r="13" spans="1:7" ht="32.25" customHeight="1" x14ac:dyDescent="0.25">
      <c r="A13" s="2467" t="s">
        <v>1969</v>
      </c>
      <c r="B13" s="2468"/>
      <c r="C13" s="2468"/>
      <c r="D13" s="2468"/>
      <c r="E13" s="2468"/>
      <c r="F13" s="2468"/>
      <c r="G13" s="2469"/>
    </row>
    <row r="14" spans="1:7" x14ac:dyDescent="0.25">
      <c r="A14" s="1635" t="s">
        <v>1827</v>
      </c>
      <c r="B14" s="1636"/>
      <c r="C14" s="1636"/>
      <c r="D14" s="1636"/>
      <c r="E14" s="1636"/>
      <c r="F14" s="1636"/>
      <c r="G14" s="1637"/>
    </row>
    <row r="15" spans="1:7" ht="61.5" customHeight="1" x14ac:dyDescent="0.25">
      <c r="A15" s="1520" t="s">
        <v>1820</v>
      </c>
      <c r="B15" s="1520" t="s">
        <v>1821</v>
      </c>
      <c r="C15" s="1520" t="s">
        <v>1822</v>
      </c>
      <c r="D15" s="1521" t="s">
        <v>1823</v>
      </c>
      <c r="E15" s="1521" t="s">
        <v>1815</v>
      </c>
      <c r="F15" s="1521" t="s">
        <v>1824</v>
      </c>
      <c r="G15" s="1521" t="s">
        <v>1825</v>
      </c>
    </row>
    <row r="16" spans="1:7" x14ac:dyDescent="0.25">
      <c r="A16" s="1622" t="s">
        <v>1828</v>
      </c>
      <c r="B16" s="1623" t="s">
        <v>1818</v>
      </c>
      <c r="C16" s="1624" t="s">
        <v>1816</v>
      </c>
      <c r="D16" s="1625">
        <v>500000</v>
      </c>
      <c r="E16" s="1625">
        <f>IF(D16&lt;=25000,D16,IF(D16&gt;25000,25000,0))</f>
        <v>25000</v>
      </c>
      <c r="F16" s="162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6">
        <f>IF(F16=0,"0",D16-F16)</f>
        <v>475000</v>
      </c>
    </row>
    <row r="17" spans="1:8" x14ac:dyDescent="0.25">
      <c r="A17" s="2140" t="s">
        <v>2164</v>
      </c>
      <c r="B17" s="1905"/>
      <c r="C17" s="1630"/>
      <c r="D17" s="1818"/>
      <c r="E17" s="1514">
        <f t="shared" ref="E17:E141" si="0">IF(D17&lt;=25000,D17,IF(D17&gt;25000,25000,0))</f>
        <v>0</v>
      </c>
      <c r="F17" s="190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7">
        <f>IF(F17=0,0,D17-F17)</f>
        <v>0</v>
      </c>
      <c r="H17" s="1621"/>
    </row>
    <row r="18" spans="1:8" x14ac:dyDescent="0.25">
      <c r="A18" s="1627"/>
      <c r="B18" s="1905"/>
      <c r="C18" s="1630"/>
      <c r="D18" s="1818"/>
      <c r="E18" s="1514">
        <f t="shared" ref="E18:E140" si="2">IF(D18&lt;=25000,D18,IF(D18&gt;25000,25000,0))</f>
        <v>0</v>
      </c>
      <c r="F18" s="1903">
        <f t="shared" si="1"/>
        <v>0</v>
      </c>
      <c r="G18" s="1767">
        <f t="shared" ref="G18:G140" si="3">IF(F18=0,0,D18-F18)</f>
        <v>0</v>
      </c>
    </row>
    <row r="19" spans="1:8" x14ac:dyDescent="0.25">
      <c r="A19" s="1627"/>
      <c r="B19" s="1905"/>
      <c r="C19" s="1630"/>
      <c r="D19" s="1818"/>
      <c r="E19" s="1514">
        <f t="shared" si="2"/>
        <v>0</v>
      </c>
      <c r="F19" s="1903">
        <f t="shared" si="1"/>
        <v>0</v>
      </c>
      <c r="G19" s="1767">
        <f t="shared" si="3"/>
        <v>0</v>
      </c>
    </row>
    <row r="20" spans="1:8" x14ac:dyDescent="0.25">
      <c r="A20" s="1627"/>
      <c r="B20" s="1905"/>
      <c r="C20" s="1630"/>
      <c r="D20" s="1818"/>
      <c r="E20" s="1514">
        <f t="shared" si="2"/>
        <v>0</v>
      </c>
      <c r="F20" s="1903">
        <f t="shared" si="1"/>
        <v>0</v>
      </c>
      <c r="G20" s="1767">
        <f t="shared" si="3"/>
        <v>0</v>
      </c>
    </row>
    <row r="21" spans="1:8" x14ac:dyDescent="0.25">
      <c r="A21" s="1627"/>
      <c r="B21" s="1905"/>
      <c r="C21" s="1630"/>
      <c r="D21" s="1818"/>
      <c r="E21" s="1514">
        <f t="shared" si="2"/>
        <v>0</v>
      </c>
      <c r="F21" s="1903">
        <f t="shared" si="1"/>
        <v>0</v>
      </c>
      <c r="G21" s="1767">
        <f t="shared" si="3"/>
        <v>0</v>
      </c>
    </row>
    <row r="22" spans="1:8" x14ac:dyDescent="0.25">
      <c r="A22" s="1627"/>
      <c r="B22" s="1905"/>
      <c r="C22" s="1630"/>
      <c r="D22" s="1818"/>
      <c r="E22" s="1514">
        <f t="shared" si="2"/>
        <v>0</v>
      </c>
      <c r="F22" s="1903">
        <f t="shared" si="1"/>
        <v>0</v>
      </c>
      <c r="G22" s="1767">
        <f t="shared" si="3"/>
        <v>0</v>
      </c>
    </row>
    <row r="23" spans="1:8" x14ac:dyDescent="0.25">
      <c r="A23" s="1627"/>
      <c r="B23" s="1905"/>
      <c r="C23" s="1630"/>
      <c r="D23" s="1818"/>
      <c r="E23" s="1514">
        <f t="shared" si="2"/>
        <v>0</v>
      </c>
      <c r="F23" s="1903">
        <f t="shared" si="1"/>
        <v>0</v>
      </c>
      <c r="G23" s="1767">
        <f t="shared" si="3"/>
        <v>0</v>
      </c>
    </row>
    <row r="24" spans="1:8" x14ac:dyDescent="0.25">
      <c r="A24" s="1627"/>
      <c r="B24" s="1905"/>
      <c r="C24" s="1630"/>
      <c r="D24" s="1818"/>
      <c r="E24" s="1514">
        <f t="shared" si="2"/>
        <v>0</v>
      </c>
      <c r="F24" s="1903">
        <f t="shared" si="1"/>
        <v>0</v>
      </c>
      <c r="G24" s="1767">
        <f t="shared" si="3"/>
        <v>0</v>
      </c>
    </row>
    <row r="25" spans="1:8" x14ac:dyDescent="0.25">
      <c r="A25" s="1627"/>
      <c r="B25" s="1905"/>
      <c r="C25" s="1630"/>
      <c r="D25" s="1818"/>
      <c r="E25" s="1514">
        <f t="shared" si="2"/>
        <v>0</v>
      </c>
      <c r="F25" s="1903">
        <f t="shared" si="1"/>
        <v>0</v>
      </c>
      <c r="G25" s="1767">
        <f t="shared" si="3"/>
        <v>0</v>
      </c>
    </row>
    <row r="26" spans="1:8" x14ac:dyDescent="0.25">
      <c r="A26" s="1627"/>
      <c r="B26" s="1905"/>
      <c r="C26" s="1628"/>
      <c r="D26" s="1818"/>
      <c r="E26" s="1514">
        <f t="shared" si="2"/>
        <v>0</v>
      </c>
      <c r="F26" s="1903">
        <f t="shared" si="1"/>
        <v>0</v>
      </c>
      <c r="G26" s="1767">
        <f t="shared" si="3"/>
        <v>0</v>
      </c>
    </row>
    <row r="27" spans="1:8" x14ac:dyDescent="0.25">
      <c r="A27" s="1627"/>
      <c r="B27" s="1905"/>
      <c r="C27" s="1628"/>
      <c r="D27" s="1818"/>
      <c r="E27" s="1514">
        <f t="shared" si="2"/>
        <v>0</v>
      </c>
      <c r="F27" s="1903">
        <f t="shared" si="1"/>
        <v>0</v>
      </c>
      <c r="G27" s="1767">
        <f t="shared" si="3"/>
        <v>0</v>
      </c>
    </row>
    <row r="28" spans="1:8" x14ac:dyDescent="0.25">
      <c r="A28" s="1627"/>
      <c r="B28" s="1905"/>
      <c r="C28" s="1628"/>
      <c r="D28" s="1818"/>
      <c r="E28" s="1514">
        <f t="shared" si="2"/>
        <v>0</v>
      </c>
      <c r="F28" s="1903">
        <f t="shared" si="1"/>
        <v>0</v>
      </c>
      <c r="G28" s="1767">
        <f t="shared" si="3"/>
        <v>0</v>
      </c>
    </row>
    <row r="29" spans="1:8" x14ac:dyDescent="0.25">
      <c r="A29" s="1627"/>
      <c r="B29" s="1905"/>
      <c r="C29" s="1628"/>
      <c r="D29" s="1818"/>
      <c r="E29" s="1514">
        <f t="shared" si="2"/>
        <v>0</v>
      </c>
      <c r="F29" s="1903">
        <f t="shared" si="1"/>
        <v>0</v>
      </c>
      <c r="G29" s="1767">
        <f t="shared" si="3"/>
        <v>0</v>
      </c>
    </row>
    <row r="30" spans="1:8" x14ac:dyDescent="0.25">
      <c r="A30" s="1627"/>
      <c r="B30" s="1905"/>
      <c r="C30" s="1628"/>
      <c r="D30" s="1818"/>
      <c r="E30" s="1514">
        <f t="shared" si="2"/>
        <v>0</v>
      </c>
      <c r="F30" s="1903">
        <f t="shared" si="1"/>
        <v>0</v>
      </c>
      <c r="G30" s="1767">
        <f t="shared" si="3"/>
        <v>0</v>
      </c>
    </row>
    <row r="31" spans="1:8" x14ac:dyDescent="0.25">
      <c r="A31" s="1627"/>
      <c r="B31" s="1905"/>
      <c r="C31" s="1628"/>
      <c r="D31" s="1818"/>
      <c r="E31" s="1514">
        <f t="shared" si="2"/>
        <v>0</v>
      </c>
      <c r="F31" s="1903">
        <f t="shared" si="1"/>
        <v>0</v>
      </c>
      <c r="G31" s="1767">
        <f t="shared" si="3"/>
        <v>0</v>
      </c>
    </row>
    <row r="32" spans="1:8" x14ac:dyDescent="0.25">
      <c r="A32" s="1627"/>
      <c r="B32" s="1905"/>
      <c r="C32" s="1628"/>
      <c r="D32" s="1818"/>
      <c r="E32" s="1514">
        <f t="shared" si="2"/>
        <v>0</v>
      </c>
      <c r="F32" s="1903">
        <f t="shared" si="1"/>
        <v>0</v>
      </c>
      <c r="G32" s="1767">
        <f t="shared" si="3"/>
        <v>0</v>
      </c>
    </row>
    <row r="33" spans="1:7" x14ac:dyDescent="0.25">
      <c r="A33" s="1627"/>
      <c r="B33" s="1905"/>
      <c r="C33" s="1628"/>
      <c r="D33" s="1818"/>
      <c r="E33" s="1514">
        <f t="shared" si="2"/>
        <v>0</v>
      </c>
      <c r="F33" s="1903">
        <f t="shared" si="1"/>
        <v>0</v>
      </c>
      <c r="G33" s="1767">
        <f t="shared" si="3"/>
        <v>0</v>
      </c>
    </row>
    <row r="34" spans="1:7" x14ac:dyDescent="0.25">
      <c r="A34" s="1627"/>
      <c r="B34" s="1905"/>
      <c r="C34" s="1628"/>
      <c r="D34" s="1818"/>
      <c r="E34" s="1514">
        <f t="shared" si="2"/>
        <v>0</v>
      </c>
      <c r="F34" s="1903">
        <f t="shared" si="1"/>
        <v>0</v>
      </c>
      <c r="G34" s="1767">
        <f t="shared" si="3"/>
        <v>0</v>
      </c>
    </row>
    <row r="35" spans="1:7" x14ac:dyDescent="0.25">
      <c r="A35" s="1627"/>
      <c r="B35" s="1905"/>
      <c r="C35" s="1628"/>
      <c r="D35" s="1818"/>
      <c r="E35" s="1514">
        <f t="shared" si="2"/>
        <v>0</v>
      </c>
      <c r="F35" s="1903">
        <f t="shared" si="1"/>
        <v>0</v>
      </c>
      <c r="G35" s="1767">
        <f t="shared" si="3"/>
        <v>0</v>
      </c>
    </row>
    <row r="36" spans="1:7" x14ac:dyDescent="0.25">
      <c r="A36" s="1627"/>
      <c r="B36" s="1905"/>
      <c r="C36" s="1628"/>
      <c r="D36" s="1818"/>
      <c r="E36" s="1514">
        <f t="shared" si="2"/>
        <v>0</v>
      </c>
      <c r="F36" s="1903">
        <f t="shared" si="1"/>
        <v>0</v>
      </c>
      <c r="G36" s="1767">
        <f t="shared" si="3"/>
        <v>0</v>
      </c>
    </row>
    <row r="37" spans="1:7" x14ac:dyDescent="0.25">
      <c r="A37" s="1627"/>
      <c r="B37" s="1905"/>
      <c r="C37" s="1628"/>
      <c r="D37" s="1818"/>
      <c r="E37" s="1514">
        <f t="shared" si="2"/>
        <v>0</v>
      </c>
      <c r="F37" s="1903">
        <f t="shared" si="1"/>
        <v>0</v>
      </c>
      <c r="G37" s="1767">
        <f t="shared" si="3"/>
        <v>0</v>
      </c>
    </row>
    <row r="38" spans="1:7" x14ac:dyDescent="0.25">
      <c r="A38" s="1627"/>
      <c r="B38" s="1906"/>
      <c r="C38" s="1628"/>
      <c r="D38" s="1818"/>
      <c r="E38" s="1514">
        <f t="shared" si="2"/>
        <v>0</v>
      </c>
      <c r="F38" s="1903">
        <f t="shared" si="1"/>
        <v>0</v>
      </c>
      <c r="G38" s="1767">
        <f t="shared" si="3"/>
        <v>0</v>
      </c>
    </row>
    <row r="39" spans="1:7" x14ac:dyDescent="0.25">
      <c r="A39" s="1627"/>
      <c r="B39" s="1906"/>
      <c r="C39" s="1628"/>
      <c r="D39" s="1818"/>
      <c r="E39" s="1514">
        <f t="shared" si="2"/>
        <v>0</v>
      </c>
      <c r="F39" s="1903">
        <f t="shared" si="1"/>
        <v>0</v>
      </c>
      <c r="G39" s="1767">
        <f t="shared" si="3"/>
        <v>0</v>
      </c>
    </row>
    <row r="40" spans="1:7" x14ac:dyDescent="0.25">
      <c r="A40" s="1627"/>
      <c r="B40" s="1906"/>
      <c r="C40" s="1628"/>
      <c r="D40" s="1818"/>
      <c r="E40" s="1514">
        <f t="shared" si="2"/>
        <v>0</v>
      </c>
      <c r="F40" s="1903">
        <f t="shared" si="1"/>
        <v>0</v>
      </c>
      <c r="G40" s="1767">
        <f t="shared" si="3"/>
        <v>0</v>
      </c>
    </row>
    <row r="41" spans="1:7" x14ac:dyDescent="0.25">
      <c r="A41" s="1627"/>
      <c r="B41" s="1906"/>
      <c r="C41" s="1628"/>
      <c r="D41" s="1818"/>
      <c r="E41" s="1514">
        <f t="shared" si="2"/>
        <v>0</v>
      </c>
      <c r="F41" s="1903">
        <f t="shared" si="1"/>
        <v>0</v>
      </c>
      <c r="G41" s="1767">
        <f t="shared" si="3"/>
        <v>0</v>
      </c>
    </row>
    <row r="42" spans="1:7" x14ac:dyDescent="0.25">
      <c r="A42" s="1627"/>
      <c r="B42" s="1906"/>
      <c r="C42" s="1628"/>
      <c r="D42" s="1818"/>
      <c r="E42" s="1514">
        <f t="shared" si="2"/>
        <v>0</v>
      </c>
      <c r="F42" s="1903">
        <f t="shared" si="1"/>
        <v>0</v>
      </c>
      <c r="G42" s="1767">
        <f t="shared" si="3"/>
        <v>0</v>
      </c>
    </row>
    <row r="43" spans="1:7" x14ac:dyDescent="0.25">
      <c r="A43" s="1627"/>
      <c r="B43" s="1906"/>
      <c r="C43" s="1628"/>
      <c r="D43" s="1818"/>
      <c r="E43" s="1514">
        <f t="shared" si="2"/>
        <v>0</v>
      </c>
      <c r="F43" s="1903">
        <f t="shared" si="1"/>
        <v>0</v>
      </c>
      <c r="G43" s="1767">
        <f t="shared" si="3"/>
        <v>0</v>
      </c>
    </row>
    <row r="44" spans="1:7" x14ac:dyDescent="0.25">
      <c r="A44" s="1627"/>
      <c r="B44" s="1906"/>
      <c r="C44" s="1628"/>
      <c r="D44" s="1818"/>
      <c r="E44" s="1514">
        <f t="shared" si="2"/>
        <v>0</v>
      </c>
      <c r="F44" s="1903">
        <f t="shared" si="1"/>
        <v>0</v>
      </c>
      <c r="G44" s="1767">
        <f t="shared" si="3"/>
        <v>0</v>
      </c>
    </row>
    <row r="45" spans="1:7" x14ac:dyDescent="0.25">
      <c r="A45" s="1627"/>
      <c r="B45" s="1906"/>
      <c r="C45" s="1628"/>
      <c r="D45" s="1818"/>
      <c r="E45" s="1514">
        <f t="shared" si="2"/>
        <v>0</v>
      </c>
      <c r="F45" s="1903">
        <f t="shared" si="1"/>
        <v>0</v>
      </c>
      <c r="G45" s="1767">
        <f t="shared" si="3"/>
        <v>0</v>
      </c>
    </row>
    <row r="46" spans="1:7" x14ac:dyDescent="0.25">
      <c r="A46" s="1627"/>
      <c r="B46" s="1641"/>
      <c r="C46" s="1628"/>
      <c r="D46" s="1818"/>
      <c r="E46" s="1514">
        <f t="shared" si="2"/>
        <v>0</v>
      </c>
      <c r="F46" s="1903">
        <f t="shared" si="1"/>
        <v>0</v>
      </c>
      <c r="G46" s="1767">
        <f t="shared" si="3"/>
        <v>0</v>
      </c>
    </row>
    <row r="47" spans="1:7" x14ac:dyDescent="0.25">
      <c r="A47" s="1627"/>
      <c r="B47" s="1641"/>
      <c r="C47" s="1628"/>
      <c r="D47" s="1818"/>
      <c r="E47" s="1514">
        <f t="shared" si="2"/>
        <v>0</v>
      </c>
      <c r="F47" s="1903">
        <f t="shared" si="1"/>
        <v>0</v>
      </c>
      <c r="G47" s="1767">
        <f t="shared" si="3"/>
        <v>0</v>
      </c>
    </row>
    <row r="48" spans="1:7" x14ac:dyDescent="0.25">
      <c r="A48" s="1627"/>
      <c r="B48" s="1641"/>
      <c r="C48" s="1628"/>
      <c r="D48" s="1818"/>
      <c r="E48" s="1514">
        <f t="shared" si="2"/>
        <v>0</v>
      </c>
      <c r="F48" s="1903">
        <f t="shared" si="1"/>
        <v>0</v>
      </c>
      <c r="G48" s="1767">
        <f t="shared" si="3"/>
        <v>0</v>
      </c>
    </row>
    <row r="49" spans="1:7" x14ac:dyDescent="0.25">
      <c r="A49" s="1627"/>
      <c r="B49" s="1641"/>
      <c r="C49" s="1628"/>
      <c r="D49" s="1818"/>
      <c r="E49" s="1514">
        <f t="shared" si="2"/>
        <v>0</v>
      </c>
      <c r="F49" s="1903">
        <f t="shared" si="1"/>
        <v>0</v>
      </c>
      <c r="G49" s="1767">
        <f t="shared" si="3"/>
        <v>0</v>
      </c>
    </row>
    <row r="50" spans="1:7" x14ac:dyDescent="0.25">
      <c r="A50" s="1627"/>
      <c r="B50" s="1641"/>
      <c r="C50" s="1628"/>
      <c r="D50" s="1818"/>
      <c r="E50" s="1514">
        <f t="shared" si="2"/>
        <v>0</v>
      </c>
      <c r="F50" s="1903">
        <f t="shared" si="1"/>
        <v>0</v>
      </c>
      <c r="G50" s="1767">
        <f t="shared" si="3"/>
        <v>0</v>
      </c>
    </row>
    <row r="51" spans="1:7" x14ac:dyDescent="0.25">
      <c r="A51" s="1627"/>
      <c r="B51" s="1641"/>
      <c r="C51" s="1628"/>
      <c r="D51" s="1818"/>
      <c r="E51" s="1514">
        <f t="shared" si="2"/>
        <v>0</v>
      </c>
      <c r="F51" s="1903">
        <f t="shared" si="1"/>
        <v>0</v>
      </c>
      <c r="G51" s="1767">
        <f t="shared" si="3"/>
        <v>0</v>
      </c>
    </row>
    <row r="52" spans="1:7" x14ac:dyDescent="0.25">
      <c r="A52" s="1627"/>
      <c r="B52" s="1641"/>
      <c r="C52" s="1628"/>
      <c r="D52" s="1818"/>
      <c r="E52" s="1514">
        <f t="shared" si="2"/>
        <v>0</v>
      </c>
      <c r="F52" s="1903">
        <f t="shared" si="1"/>
        <v>0</v>
      </c>
      <c r="G52" s="1767">
        <f t="shared" si="3"/>
        <v>0</v>
      </c>
    </row>
    <row r="53" spans="1:7" x14ac:dyDescent="0.25">
      <c r="A53" s="1627"/>
      <c r="B53" s="1641"/>
      <c r="C53" s="1628"/>
      <c r="D53" s="1818"/>
      <c r="E53" s="1514">
        <f t="shared" si="2"/>
        <v>0</v>
      </c>
      <c r="F53" s="1903">
        <f t="shared" si="1"/>
        <v>0</v>
      </c>
      <c r="G53" s="1767">
        <f t="shared" si="3"/>
        <v>0</v>
      </c>
    </row>
    <row r="54" spans="1:7" x14ac:dyDescent="0.25">
      <c r="A54" s="1627"/>
      <c r="B54" s="1641"/>
      <c r="C54" s="1628"/>
      <c r="D54" s="1818"/>
      <c r="E54" s="1514">
        <f t="shared" si="2"/>
        <v>0</v>
      </c>
      <c r="F54" s="1903">
        <f t="shared" si="1"/>
        <v>0</v>
      </c>
      <c r="G54" s="1767">
        <f t="shared" si="3"/>
        <v>0</v>
      </c>
    </row>
    <row r="55" spans="1:7" x14ac:dyDescent="0.25">
      <c r="A55" s="1627"/>
      <c r="B55" s="1641"/>
      <c r="C55" s="1628"/>
      <c r="D55" s="1818"/>
      <c r="E55" s="1514">
        <f t="shared" si="2"/>
        <v>0</v>
      </c>
      <c r="F55" s="1903">
        <f t="shared" si="1"/>
        <v>0</v>
      </c>
      <c r="G55" s="1767">
        <f t="shared" si="3"/>
        <v>0</v>
      </c>
    </row>
    <row r="56" spans="1:7" x14ac:dyDescent="0.25">
      <c r="A56" s="1627"/>
      <c r="B56" s="1641"/>
      <c r="C56" s="1628"/>
      <c r="D56" s="1818"/>
      <c r="E56" s="1514">
        <f t="shared" si="2"/>
        <v>0</v>
      </c>
      <c r="F56" s="1903">
        <f t="shared" si="1"/>
        <v>0</v>
      </c>
      <c r="G56" s="1767">
        <f t="shared" si="3"/>
        <v>0</v>
      </c>
    </row>
    <row r="57" spans="1:7" x14ac:dyDescent="0.25">
      <c r="A57" s="1627"/>
      <c r="B57" s="1641"/>
      <c r="C57" s="1628"/>
      <c r="D57" s="1818"/>
      <c r="E57" s="1514">
        <f t="shared" si="2"/>
        <v>0</v>
      </c>
      <c r="F57" s="1903">
        <f t="shared" si="1"/>
        <v>0</v>
      </c>
      <c r="G57" s="1767">
        <f t="shared" si="3"/>
        <v>0</v>
      </c>
    </row>
    <row r="58" spans="1:7" x14ac:dyDescent="0.25">
      <c r="A58" s="1627"/>
      <c r="B58" s="1641"/>
      <c r="C58" s="1628"/>
      <c r="D58" s="1818"/>
      <c r="E58" s="1514">
        <f t="shared" si="2"/>
        <v>0</v>
      </c>
      <c r="F58" s="1903">
        <f t="shared" si="1"/>
        <v>0</v>
      </c>
      <c r="G58" s="1767">
        <f t="shared" si="3"/>
        <v>0</v>
      </c>
    </row>
    <row r="59" spans="1:7" x14ac:dyDescent="0.25">
      <c r="A59" s="1627"/>
      <c r="B59" s="1641"/>
      <c r="C59" s="1628"/>
      <c r="D59" s="1818"/>
      <c r="E59" s="1514">
        <f t="shared" si="2"/>
        <v>0</v>
      </c>
      <c r="F59" s="1903">
        <f t="shared" si="1"/>
        <v>0</v>
      </c>
      <c r="G59" s="1767">
        <f t="shared" si="3"/>
        <v>0</v>
      </c>
    </row>
    <row r="60" spans="1:7" x14ac:dyDescent="0.25">
      <c r="A60" s="1627"/>
      <c r="B60" s="1641"/>
      <c r="C60" s="1628"/>
      <c r="D60" s="1818"/>
      <c r="E60" s="1514">
        <f t="shared" si="2"/>
        <v>0</v>
      </c>
      <c r="F60" s="1903">
        <f t="shared" si="1"/>
        <v>0</v>
      </c>
      <c r="G60" s="1767">
        <f t="shared" si="3"/>
        <v>0</v>
      </c>
    </row>
    <row r="61" spans="1:7" x14ac:dyDescent="0.25">
      <c r="A61" s="1627"/>
      <c r="B61" s="1641"/>
      <c r="C61" s="1628"/>
      <c r="D61" s="1818"/>
      <c r="E61" s="1514">
        <f t="shared" si="2"/>
        <v>0</v>
      </c>
      <c r="F61" s="1903">
        <f t="shared" si="1"/>
        <v>0</v>
      </c>
      <c r="G61" s="1767">
        <f t="shared" si="3"/>
        <v>0</v>
      </c>
    </row>
    <row r="62" spans="1:7" x14ac:dyDescent="0.25">
      <c r="A62" s="1627"/>
      <c r="B62" s="1641"/>
      <c r="C62" s="1628"/>
      <c r="D62" s="1818"/>
      <c r="E62" s="1514">
        <f t="shared" si="2"/>
        <v>0</v>
      </c>
      <c r="F62" s="1903">
        <f t="shared" si="1"/>
        <v>0</v>
      </c>
      <c r="G62" s="1767">
        <f t="shared" si="3"/>
        <v>0</v>
      </c>
    </row>
    <row r="63" spans="1:7" x14ac:dyDescent="0.25">
      <c r="A63" s="1627"/>
      <c r="B63" s="1641"/>
      <c r="C63" s="1628"/>
      <c r="D63" s="1818"/>
      <c r="E63" s="1514">
        <f t="shared" si="2"/>
        <v>0</v>
      </c>
      <c r="F63" s="1903">
        <f t="shared" si="1"/>
        <v>0</v>
      </c>
      <c r="G63" s="1767">
        <f t="shared" si="3"/>
        <v>0</v>
      </c>
    </row>
    <row r="64" spans="1:7" x14ac:dyDescent="0.25">
      <c r="A64" s="1629"/>
      <c r="B64" s="1641"/>
      <c r="C64" s="1630"/>
      <c r="D64" s="1818"/>
      <c r="E64" s="1514">
        <f t="shared" si="2"/>
        <v>0</v>
      </c>
      <c r="F64" s="1903">
        <f t="shared" si="1"/>
        <v>0</v>
      </c>
      <c r="G64" s="1767">
        <f t="shared" si="3"/>
        <v>0</v>
      </c>
    </row>
    <row r="65" spans="1:7" x14ac:dyDescent="0.25">
      <c r="A65" s="1627"/>
      <c r="B65" s="1641"/>
      <c r="C65" s="1628"/>
      <c r="D65" s="1818"/>
      <c r="E65" s="1514">
        <f t="shared" si="2"/>
        <v>0</v>
      </c>
      <c r="F65" s="1903">
        <f t="shared" si="1"/>
        <v>0</v>
      </c>
      <c r="G65" s="1767">
        <f t="shared" si="3"/>
        <v>0</v>
      </c>
    </row>
    <row r="66" spans="1:7" x14ac:dyDescent="0.25">
      <c r="A66" s="1627"/>
      <c r="B66" s="1641"/>
      <c r="C66" s="1628"/>
      <c r="D66" s="1818"/>
      <c r="E66" s="1514">
        <f t="shared" si="2"/>
        <v>0</v>
      </c>
      <c r="F66" s="1903">
        <f t="shared" si="1"/>
        <v>0</v>
      </c>
      <c r="G66" s="1767">
        <f t="shared" si="3"/>
        <v>0</v>
      </c>
    </row>
    <row r="67" spans="1:7" x14ac:dyDescent="0.25">
      <c r="A67" s="1627"/>
      <c r="B67" s="1641"/>
      <c r="C67" s="1628"/>
      <c r="D67" s="1818"/>
      <c r="E67" s="1514">
        <f t="shared" si="2"/>
        <v>0</v>
      </c>
      <c r="F67" s="1903">
        <f t="shared" si="1"/>
        <v>0</v>
      </c>
      <c r="G67" s="1767">
        <f t="shared" si="3"/>
        <v>0</v>
      </c>
    </row>
    <row r="68" spans="1:7" x14ac:dyDescent="0.25">
      <c r="A68" s="1627"/>
      <c r="B68" s="1641"/>
      <c r="C68" s="1628"/>
      <c r="D68" s="1818"/>
      <c r="E68" s="1514">
        <f t="shared" si="2"/>
        <v>0</v>
      </c>
      <c r="F68" s="1903">
        <f t="shared" si="1"/>
        <v>0</v>
      </c>
      <c r="G68" s="1767">
        <f t="shared" si="3"/>
        <v>0</v>
      </c>
    </row>
    <row r="69" spans="1:7" x14ac:dyDescent="0.25">
      <c r="A69" s="1627"/>
      <c r="B69" s="1641"/>
      <c r="C69" s="1628"/>
      <c r="D69" s="1818"/>
      <c r="E69" s="1514">
        <f t="shared" si="2"/>
        <v>0</v>
      </c>
      <c r="F69" s="1903">
        <f t="shared" si="1"/>
        <v>0</v>
      </c>
      <c r="G69" s="1767">
        <f t="shared" si="3"/>
        <v>0</v>
      </c>
    </row>
    <row r="70" spans="1:7" x14ac:dyDescent="0.25">
      <c r="A70" s="1627"/>
      <c r="B70" s="1641"/>
      <c r="C70" s="1628"/>
      <c r="D70" s="1818"/>
      <c r="E70" s="1514">
        <f t="shared" si="2"/>
        <v>0</v>
      </c>
      <c r="F70" s="1903">
        <f t="shared" si="1"/>
        <v>0</v>
      </c>
      <c r="G70" s="1767">
        <f t="shared" si="3"/>
        <v>0</v>
      </c>
    </row>
    <row r="71" spans="1:7" x14ac:dyDescent="0.25">
      <c r="A71" s="1627"/>
      <c r="B71" s="1641"/>
      <c r="C71" s="1628"/>
      <c r="D71" s="1818"/>
      <c r="E71" s="1514">
        <f t="shared" si="2"/>
        <v>0</v>
      </c>
      <c r="F71" s="1903">
        <f t="shared" si="1"/>
        <v>0</v>
      </c>
      <c r="G71" s="1767">
        <f t="shared" si="3"/>
        <v>0</v>
      </c>
    </row>
    <row r="72" spans="1:7" x14ac:dyDescent="0.25">
      <c r="A72" s="1627"/>
      <c r="B72" s="1641"/>
      <c r="C72" s="1628"/>
      <c r="D72" s="1818"/>
      <c r="E72" s="1514">
        <f t="shared" si="2"/>
        <v>0</v>
      </c>
      <c r="F72" s="1903">
        <f t="shared" si="1"/>
        <v>0</v>
      </c>
      <c r="G72" s="1767">
        <f t="shared" si="3"/>
        <v>0</v>
      </c>
    </row>
    <row r="73" spans="1:7" x14ac:dyDescent="0.25">
      <c r="A73" s="1627"/>
      <c r="B73" s="1641"/>
      <c r="C73" s="1628"/>
      <c r="D73" s="1818"/>
      <c r="E73" s="1514">
        <f t="shared" ref="E73:E84" si="4">IF(D73&lt;=25000,D73,IF(D73&gt;25000,25000,0))</f>
        <v>0</v>
      </c>
      <c r="F73" s="1903">
        <f t="shared" si="1"/>
        <v>0</v>
      </c>
      <c r="G73" s="1767">
        <f t="shared" ref="G73:G84" si="5">IF(F73=0,0,D73-F73)</f>
        <v>0</v>
      </c>
    </row>
    <row r="74" spans="1:7" x14ac:dyDescent="0.25">
      <c r="A74" s="1627"/>
      <c r="B74" s="1641"/>
      <c r="C74" s="1628"/>
      <c r="D74" s="1818"/>
      <c r="E74" s="1514">
        <f t="shared" si="4"/>
        <v>0</v>
      </c>
      <c r="F74" s="1903">
        <f t="shared" si="1"/>
        <v>0</v>
      </c>
      <c r="G74" s="1767">
        <f t="shared" si="5"/>
        <v>0</v>
      </c>
    </row>
    <row r="75" spans="1:7" x14ac:dyDescent="0.25">
      <c r="A75" s="1627"/>
      <c r="B75" s="1641"/>
      <c r="C75" s="1628"/>
      <c r="D75" s="1818"/>
      <c r="E75" s="1514">
        <f t="shared" si="4"/>
        <v>0</v>
      </c>
      <c r="F75" s="1903">
        <f t="shared" si="1"/>
        <v>0</v>
      </c>
      <c r="G75" s="1767">
        <f t="shared" si="5"/>
        <v>0</v>
      </c>
    </row>
    <row r="76" spans="1:7" x14ac:dyDescent="0.25">
      <c r="A76" s="1627"/>
      <c r="B76" s="1641"/>
      <c r="C76" s="1628"/>
      <c r="D76" s="1818"/>
      <c r="E76" s="1514">
        <f t="shared" si="4"/>
        <v>0</v>
      </c>
      <c r="F76" s="1903">
        <f t="shared" si="1"/>
        <v>0</v>
      </c>
      <c r="G76" s="1767">
        <f t="shared" si="5"/>
        <v>0</v>
      </c>
    </row>
    <row r="77" spans="1:7" x14ac:dyDescent="0.25">
      <c r="A77" s="1627"/>
      <c r="B77" s="1641"/>
      <c r="C77" s="1628"/>
      <c r="D77" s="1818"/>
      <c r="E77" s="1514">
        <f t="shared" si="4"/>
        <v>0</v>
      </c>
      <c r="F77" s="1903">
        <f t="shared" si="1"/>
        <v>0</v>
      </c>
      <c r="G77" s="1767">
        <f t="shared" si="5"/>
        <v>0</v>
      </c>
    </row>
    <row r="78" spans="1:7" x14ac:dyDescent="0.25">
      <c r="A78" s="1627"/>
      <c r="B78" s="1641"/>
      <c r="C78" s="1628"/>
      <c r="D78" s="1818"/>
      <c r="E78" s="1514">
        <f t="shared" si="4"/>
        <v>0</v>
      </c>
      <c r="F78" s="1903">
        <f t="shared" si="1"/>
        <v>0</v>
      </c>
      <c r="G78" s="1767">
        <f t="shared" si="5"/>
        <v>0</v>
      </c>
    </row>
    <row r="79" spans="1:7" x14ac:dyDescent="0.25">
      <c r="A79" s="1627"/>
      <c r="B79" s="1641"/>
      <c r="C79" s="1628"/>
      <c r="D79" s="1818"/>
      <c r="E79" s="1514">
        <f t="shared" si="4"/>
        <v>0</v>
      </c>
      <c r="F79" s="1903">
        <f t="shared" si="1"/>
        <v>0</v>
      </c>
      <c r="G79" s="1767">
        <f t="shared" si="5"/>
        <v>0</v>
      </c>
    </row>
    <row r="80" spans="1:7" x14ac:dyDescent="0.25">
      <c r="A80" s="1627"/>
      <c r="B80" s="1641"/>
      <c r="C80" s="1628"/>
      <c r="D80" s="1818"/>
      <c r="E80" s="1514">
        <f t="shared" si="4"/>
        <v>0</v>
      </c>
      <c r="F80" s="1903">
        <f t="shared" si="1"/>
        <v>0</v>
      </c>
      <c r="G80" s="1767">
        <f t="shared" si="5"/>
        <v>0</v>
      </c>
    </row>
    <row r="81" spans="1:7" x14ac:dyDescent="0.25">
      <c r="A81" s="1627"/>
      <c r="B81" s="1641"/>
      <c r="C81" s="1628"/>
      <c r="D81" s="1818"/>
      <c r="E81" s="1514">
        <f t="shared" si="4"/>
        <v>0</v>
      </c>
      <c r="F81" s="190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7">
        <f t="shared" si="5"/>
        <v>0</v>
      </c>
    </row>
    <row r="82" spans="1:7" x14ac:dyDescent="0.25">
      <c r="A82" s="1627"/>
      <c r="B82" s="1641"/>
      <c r="C82" s="1628"/>
      <c r="D82" s="1818"/>
      <c r="E82" s="1514">
        <f t="shared" si="4"/>
        <v>0</v>
      </c>
      <c r="F82" s="1903">
        <f t="shared" si="6"/>
        <v>0</v>
      </c>
      <c r="G82" s="1767">
        <f t="shared" si="5"/>
        <v>0</v>
      </c>
    </row>
    <row r="83" spans="1:7" x14ac:dyDescent="0.25">
      <c r="A83" s="1627"/>
      <c r="B83" s="1641"/>
      <c r="C83" s="1628"/>
      <c r="D83" s="1818"/>
      <c r="E83" s="1514">
        <f t="shared" si="4"/>
        <v>0</v>
      </c>
      <c r="F83" s="1903">
        <f t="shared" si="6"/>
        <v>0</v>
      </c>
      <c r="G83" s="1767">
        <f t="shared" si="5"/>
        <v>0</v>
      </c>
    </row>
    <row r="84" spans="1:7" x14ac:dyDescent="0.25">
      <c r="A84" s="1627"/>
      <c r="B84" s="1641"/>
      <c r="C84" s="1628"/>
      <c r="D84" s="1818"/>
      <c r="E84" s="1514">
        <f t="shared" si="4"/>
        <v>0</v>
      </c>
      <c r="F84" s="1903">
        <f t="shared" si="6"/>
        <v>0</v>
      </c>
      <c r="G84" s="1767">
        <f t="shared" si="5"/>
        <v>0</v>
      </c>
    </row>
    <row r="85" spans="1:7" x14ac:dyDescent="0.25">
      <c r="A85" s="1627"/>
      <c r="B85" s="1641"/>
      <c r="C85" s="1628"/>
      <c r="D85" s="1818"/>
      <c r="E85" s="1514">
        <f t="shared" si="2"/>
        <v>0</v>
      </c>
      <c r="F85" s="1903">
        <f t="shared" si="6"/>
        <v>0</v>
      </c>
      <c r="G85" s="1767">
        <f t="shared" si="3"/>
        <v>0</v>
      </c>
    </row>
    <row r="86" spans="1:7" x14ac:dyDescent="0.25">
      <c r="A86" s="1627"/>
      <c r="B86" s="1641"/>
      <c r="C86" s="1628"/>
      <c r="D86" s="1818"/>
      <c r="E86" s="1514">
        <f t="shared" si="2"/>
        <v>0</v>
      </c>
      <c r="F86" s="1903">
        <f t="shared" si="6"/>
        <v>0</v>
      </c>
      <c r="G86" s="1767">
        <f t="shared" si="3"/>
        <v>0</v>
      </c>
    </row>
    <row r="87" spans="1:7" x14ac:dyDescent="0.25">
      <c r="A87" s="1627"/>
      <c r="B87" s="1641"/>
      <c r="C87" s="1628"/>
      <c r="D87" s="1818"/>
      <c r="E87" s="1514">
        <f t="shared" si="2"/>
        <v>0</v>
      </c>
      <c r="F87" s="1903">
        <f t="shared" si="6"/>
        <v>0</v>
      </c>
      <c r="G87" s="1767">
        <f t="shared" si="3"/>
        <v>0</v>
      </c>
    </row>
    <row r="88" spans="1:7" x14ac:dyDescent="0.25">
      <c r="A88" s="1627"/>
      <c r="B88" s="1641"/>
      <c r="C88" s="1628"/>
      <c r="D88" s="1818"/>
      <c r="E88" s="1514">
        <f t="shared" si="2"/>
        <v>0</v>
      </c>
      <c r="F88" s="1903">
        <f t="shared" si="6"/>
        <v>0</v>
      </c>
      <c r="G88" s="1767">
        <f t="shared" si="3"/>
        <v>0</v>
      </c>
    </row>
    <row r="89" spans="1:7" x14ac:dyDescent="0.25">
      <c r="A89" s="1627"/>
      <c r="B89" s="1641"/>
      <c r="C89" s="1628"/>
      <c r="D89" s="1818"/>
      <c r="E89" s="1514">
        <f t="shared" si="2"/>
        <v>0</v>
      </c>
      <c r="F89" s="1903">
        <f t="shared" si="6"/>
        <v>0</v>
      </c>
      <c r="G89" s="1767">
        <f t="shared" si="3"/>
        <v>0</v>
      </c>
    </row>
    <row r="90" spans="1:7" x14ac:dyDescent="0.25">
      <c r="A90" s="1627"/>
      <c r="B90" s="1641"/>
      <c r="C90" s="1628"/>
      <c r="D90" s="1818"/>
      <c r="E90" s="1514">
        <f t="shared" si="2"/>
        <v>0</v>
      </c>
      <c r="F90" s="1903">
        <f t="shared" si="6"/>
        <v>0</v>
      </c>
      <c r="G90" s="1767">
        <f t="shared" si="3"/>
        <v>0</v>
      </c>
    </row>
    <row r="91" spans="1:7" x14ac:dyDescent="0.25">
      <c r="A91" s="1627"/>
      <c r="B91" s="1641"/>
      <c r="C91" s="1628"/>
      <c r="D91" s="1818"/>
      <c r="E91" s="1514">
        <f t="shared" si="2"/>
        <v>0</v>
      </c>
      <c r="F91" s="1903">
        <f t="shared" si="6"/>
        <v>0</v>
      </c>
      <c r="G91" s="1767">
        <f t="shared" si="3"/>
        <v>0</v>
      </c>
    </row>
    <row r="92" spans="1:7" x14ac:dyDescent="0.25">
      <c r="A92" s="1627"/>
      <c r="B92" s="1641"/>
      <c r="C92" s="1628"/>
      <c r="D92" s="1818"/>
      <c r="E92" s="1514">
        <f t="shared" si="2"/>
        <v>0</v>
      </c>
      <c r="F92" s="1903">
        <f t="shared" si="6"/>
        <v>0</v>
      </c>
      <c r="G92" s="1767">
        <f t="shared" si="3"/>
        <v>0</v>
      </c>
    </row>
    <row r="93" spans="1:7" x14ac:dyDescent="0.25">
      <c r="A93" s="1627"/>
      <c r="B93" s="1641"/>
      <c r="C93" s="1628"/>
      <c r="D93" s="1818"/>
      <c r="E93" s="1514">
        <f t="shared" ref="E93" si="7">IF(D93&lt;=25000,D93,IF(D93&gt;25000,25000,0))</f>
        <v>0</v>
      </c>
      <c r="F93" s="1903">
        <f t="shared" si="6"/>
        <v>0</v>
      </c>
      <c r="G93" s="1767">
        <f t="shared" ref="G93" si="8">IF(F93=0,0,D93-F93)</f>
        <v>0</v>
      </c>
    </row>
    <row r="94" spans="1:7" x14ac:dyDescent="0.25">
      <c r="A94" s="1627"/>
      <c r="B94" s="1641"/>
      <c r="C94" s="1628"/>
      <c r="D94" s="1818"/>
      <c r="E94" s="1514">
        <f t="shared" si="2"/>
        <v>0</v>
      </c>
      <c r="F94" s="1903">
        <f t="shared" si="6"/>
        <v>0</v>
      </c>
      <c r="G94" s="1767">
        <f t="shared" si="3"/>
        <v>0</v>
      </c>
    </row>
    <row r="95" spans="1:7" x14ac:dyDescent="0.25">
      <c r="A95" s="1627"/>
      <c r="B95" s="1641"/>
      <c r="C95" s="1628"/>
      <c r="D95" s="1818"/>
      <c r="E95" s="1514">
        <f t="shared" ref="E95:E98" si="9">IF(D95&lt;=25000,D95,IF(D95&gt;25000,25000,0))</f>
        <v>0</v>
      </c>
      <c r="F95" s="1903">
        <f t="shared" si="6"/>
        <v>0</v>
      </c>
      <c r="G95" s="1767">
        <f t="shared" ref="G95:G98" si="10">IF(F95=0,0,D95-F95)</f>
        <v>0</v>
      </c>
    </row>
    <row r="96" spans="1:7" x14ac:dyDescent="0.25">
      <c r="A96" s="1627"/>
      <c r="B96" s="1641"/>
      <c r="C96" s="1628"/>
      <c r="D96" s="1818"/>
      <c r="E96" s="1514">
        <f t="shared" si="9"/>
        <v>0</v>
      </c>
      <c r="F96" s="1903">
        <f t="shared" si="6"/>
        <v>0</v>
      </c>
      <c r="G96" s="1767">
        <f t="shared" si="10"/>
        <v>0</v>
      </c>
    </row>
    <row r="97" spans="1:7" x14ac:dyDescent="0.25">
      <c r="A97" s="1627"/>
      <c r="B97" s="1641"/>
      <c r="C97" s="1628"/>
      <c r="D97" s="1818"/>
      <c r="E97" s="1514">
        <f t="shared" si="9"/>
        <v>0</v>
      </c>
      <c r="F97" s="1903">
        <f t="shared" si="6"/>
        <v>0</v>
      </c>
      <c r="G97" s="1767">
        <f t="shared" si="10"/>
        <v>0</v>
      </c>
    </row>
    <row r="98" spans="1:7" x14ac:dyDescent="0.25">
      <c r="A98" s="1627"/>
      <c r="B98" s="1641"/>
      <c r="C98" s="1628"/>
      <c r="D98" s="1818"/>
      <c r="E98" s="1514">
        <f t="shared" si="9"/>
        <v>0</v>
      </c>
      <c r="F98" s="1903">
        <f t="shared" si="6"/>
        <v>0</v>
      </c>
      <c r="G98" s="1767">
        <f t="shared" si="10"/>
        <v>0</v>
      </c>
    </row>
    <row r="99" spans="1:7" x14ac:dyDescent="0.25">
      <c r="A99" s="1627"/>
      <c r="B99" s="1641"/>
      <c r="C99" s="1628"/>
      <c r="D99" s="1818"/>
      <c r="E99" s="1514">
        <f t="shared" ref="E99" si="11">IF(D99&lt;=25000,D99,IF(D99&gt;25000,25000,0))</f>
        <v>0</v>
      </c>
      <c r="F99" s="1903">
        <f t="shared" si="6"/>
        <v>0</v>
      </c>
      <c r="G99" s="1767">
        <f t="shared" ref="G99" si="12">IF(F99=0,0,D99-F99)</f>
        <v>0</v>
      </c>
    </row>
    <row r="100" spans="1:7" x14ac:dyDescent="0.25">
      <c r="A100" s="1627"/>
      <c r="B100" s="1641"/>
      <c r="C100" s="1628"/>
      <c r="D100" s="1818"/>
      <c r="E100" s="1514">
        <f t="shared" ref="E100:E112" si="13">IF(D100&lt;=25000,D100,IF(D100&gt;25000,25000,0))</f>
        <v>0</v>
      </c>
      <c r="F100" s="1903">
        <f t="shared" si="6"/>
        <v>0</v>
      </c>
      <c r="G100" s="1767">
        <f t="shared" ref="G100:G112" si="14">IF(F100=0,0,D100-F100)</f>
        <v>0</v>
      </c>
    </row>
    <row r="101" spans="1:7" x14ac:dyDescent="0.25">
      <c r="A101" s="1627"/>
      <c r="B101" s="1641"/>
      <c r="C101" s="1628"/>
      <c r="D101" s="1818"/>
      <c r="E101" s="1514">
        <f t="shared" si="13"/>
        <v>0</v>
      </c>
      <c r="F101" s="1903">
        <f t="shared" si="6"/>
        <v>0</v>
      </c>
      <c r="G101" s="1767">
        <f t="shared" si="14"/>
        <v>0</v>
      </c>
    </row>
    <row r="102" spans="1:7" x14ac:dyDescent="0.25">
      <c r="A102" s="1627"/>
      <c r="B102" s="1641"/>
      <c r="C102" s="1628"/>
      <c r="D102" s="1818"/>
      <c r="E102" s="1514">
        <f t="shared" si="13"/>
        <v>0</v>
      </c>
      <c r="F102" s="1903">
        <f t="shared" si="6"/>
        <v>0</v>
      </c>
      <c r="G102" s="1767">
        <f t="shared" si="14"/>
        <v>0</v>
      </c>
    </row>
    <row r="103" spans="1:7" x14ac:dyDescent="0.25">
      <c r="A103" s="1627"/>
      <c r="B103" s="1641"/>
      <c r="C103" s="1628"/>
      <c r="D103" s="1818"/>
      <c r="E103" s="1514">
        <f t="shared" si="13"/>
        <v>0</v>
      </c>
      <c r="F103" s="1903">
        <f t="shared" si="6"/>
        <v>0</v>
      </c>
      <c r="G103" s="1767">
        <f t="shared" si="14"/>
        <v>0</v>
      </c>
    </row>
    <row r="104" spans="1:7" x14ac:dyDescent="0.25">
      <c r="A104" s="1627"/>
      <c r="B104" s="1641"/>
      <c r="C104" s="1628"/>
      <c r="D104" s="1818"/>
      <c r="E104" s="1514">
        <f t="shared" si="13"/>
        <v>0</v>
      </c>
      <c r="F104" s="1903">
        <f t="shared" si="6"/>
        <v>0</v>
      </c>
      <c r="G104" s="1767">
        <f t="shared" si="14"/>
        <v>0</v>
      </c>
    </row>
    <row r="105" spans="1:7" x14ac:dyDescent="0.25">
      <c r="A105" s="1627"/>
      <c r="B105" s="1641"/>
      <c r="C105" s="1628"/>
      <c r="D105" s="1818"/>
      <c r="E105" s="1514">
        <f t="shared" si="13"/>
        <v>0</v>
      </c>
      <c r="F105" s="1903">
        <f t="shared" si="6"/>
        <v>0</v>
      </c>
      <c r="G105" s="1767">
        <f t="shared" si="14"/>
        <v>0</v>
      </c>
    </row>
    <row r="106" spans="1:7" x14ac:dyDescent="0.25">
      <c r="A106" s="1627"/>
      <c r="B106" s="1641"/>
      <c r="C106" s="1628"/>
      <c r="D106" s="1818"/>
      <c r="E106" s="1514">
        <f t="shared" si="13"/>
        <v>0</v>
      </c>
      <c r="F106" s="1903">
        <f t="shared" si="6"/>
        <v>0</v>
      </c>
      <c r="G106" s="1767">
        <f t="shared" si="14"/>
        <v>0</v>
      </c>
    </row>
    <row r="107" spans="1:7" x14ac:dyDescent="0.25">
      <c r="A107" s="1627"/>
      <c r="B107" s="1641"/>
      <c r="C107" s="1628"/>
      <c r="D107" s="1818"/>
      <c r="E107" s="1514">
        <f t="shared" si="13"/>
        <v>0</v>
      </c>
      <c r="F107" s="1903">
        <f t="shared" si="6"/>
        <v>0</v>
      </c>
      <c r="G107" s="1767">
        <f t="shared" si="14"/>
        <v>0</v>
      </c>
    </row>
    <row r="108" spans="1:7" x14ac:dyDescent="0.25">
      <c r="A108" s="1627"/>
      <c r="B108" s="1641"/>
      <c r="C108" s="1628"/>
      <c r="D108" s="1818"/>
      <c r="E108" s="1514">
        <f t="shared" si="13"/>
        <v>0</v>
      </c>
      <c r="F108" s="1903">
        <f t="shared" si="6"/>
        <v>0</v>
      </c>
      <c r="G108" s="1767">
        <f t="shared" si="14"/>
        <v>0</v>
      </c>
    </row>
    <row r="109" spans="1:7" x14ac:dyDescent="0.25">
      <c r="A109" s="1627"/>
      <c r="B109" s="1641"/>
      <c r="C109" s="1628"/>
      <c r="D109" s="1818"/>
      <c r="E109" s="1514">
        <f t="shared" si="13"/>
        <v>0</v>
      </c>
      <c r="F109" s="1903">
        <f t="shared" si="6"/>
        <v>0</v>
      </c>
      <c r="G109" s="1767">
        <f t="shared" si="14"/>
        <v>0</v>
      </c>
    </row>
    <row r="110" spans="1:7" x14ac:dyDescent="0.25">
      <c r="A110" s="1627"/>
      <c r="B110" s="1641"/>
      <c r="C110" s="1628"/>
      <c r="D110" s="1818"/>
      <c r="E110" s="1514">
        <f t="shared" si="13"/>
        <v>0</v>
      </c>
      <c r="F110" s="1903">
        <f t="shared" si="6"/>
        <v>0</v>
      </c>
      <c r="G110" s="1767">
        <f t="shared" si="14"/>
        <v>0</v>
      </c>
    </row>
    <row r="111" spans="1:7" x14ac:dyDescent="0.25">
      <c r="A111" s="1627"/>
      <c r="B111" s="1641"/>
      <c r="C111" s="1628"/>
      <c r="D111" s="1818"/>
      <c r="E111" s="1514">
        <f t="shared" si="13"/>
        <v>0</v>
      </c>
      <c r="F111" s="1903">
        <f t="shared" si="6"/>
        <v>0</v>
      </c>
      <c r="G111" s="1767">
        <f t="shared" si="14"/>
        <v>0</v>
      </c>
    </row>
    <row r="112" spans="1:7" x14ac:dyDescent="0.25">
      <c r="A112" s="1627"/>
      <c r="B112" s="1641"/>
      <c r="C112" s="1628"/>
      <c r="D112" s="1818"/>
      <c r="E112" s="1514">
        <f t="shared" si="13"/>
        <v>0</v>
      </c>
      <c r="F112" s="1903">
        <f t="shared" si="6"/>
        <v>0</v>
      </c>
      <c r="G112" s="1767">
        <f t="shared" si="14"/>
        <v>0</v>
      </c>
    </row>
    <row r="113" spans="1:7" x14ac:dyDescent="0.25">
      <c r="A113" s="1627"/>
      <c r="B113" s="1641"/>
      <c r="C113" s="1628"/>
      <c r="D113" s="1818"/>
      <c r="E113" s="1514">
        <f t="shared" ref="E113:E125" si="15">IF(D113&lt;=25000,D113,IF(D113&gt;25000,25000,0))</f>
        <v>0</v>
      </c>
      <c r="F113" s="1903">
        <f t="shared" si="6"/>
        <v>0</v>
      </c>
      <c r="G113" s="1767">
        <f t="shared" ref="G113:G125" si="16">IF(F113=0,0,D113-F113)</f>
        <v>0</v>
      </c>
    </row>
    <row r="114" spans="1:7" x14ac:dyDescent="0.25">
      <c r="A114" s="1627"/>
      <c r="B114" s="1641"/>
      <c r="C114" s="1628"/>
      <c r="D114" s="1818"/>
      <c r="E114" s="1514">
        <f t="shared" si="15"/>
        <v>0</v>
      </c>
      <c r="F114" s="1903">
        <f t="shared" si="6"/>
        <v>0</v>
      </c>
      <c r="G114" s="1767">
        <f t="shared" si="16"/>
        <v>0</v>
      </c>
    </row>
    <row r="115" spans="1:7" x14ac:dyDescent="0.25">
      <c r="A115" s="1627"/>
      <c r="B115" s="1641"/>
      <c r="C115" s="1628"/>
      <c r="D115" s="1818"/>
      <c r="E115" s="1514">
        <f t="shared" si="15"/>
        <v>0</v>
      </c>
      <c r="F115" s="1903">
        <f t="shared" si="6"/>
        <v>0</v>
      </c>
      <c r="G115" s="1767">
        <f t="shared" si="16"/>
        <v>0</v>
      </c>
    </row>
    <row r="116" spans="1:7" x14ac:dyDescent="0.25">
      <c r="A116" s="1627"/>
      <c r="B116" s="1641"/>
      <c r="C116" s="1628"/>
      <c r="D116" s="1818"/>
      <c r="E116" s="1514">
        <f t="shared" si="15"/>
        <v>0</v>
      </c>
      <c r="F116" s="1903">
        <f t="shared" si="6"/>
        <v>0</v>
      </c>
      <c r="G116" s="1767">
        <f t="shared" si="16"/>
        <v>0</v>
      </c>
    </row>
    <row r="117" spans="1:7" x14ac:dyDescent="0.25">
      <c r="A117" s="1627"/>
      <c r="B117" s="1641"/>
      <c r="C117" s="1628"/>
      <c r="D117" s="1818"/>
      <c r="E117" s="1514">
        <f t="shared" si="15"/>
        <v>0</v>
      </c>
      <c r="F117" s="1903">
        <f t="shared" si="6"/>
        <v>0</v>
      </c>
      <c r="G117" s="1767">
        <f t="shared" si="16"/>
        <v>0</v>
      </c>
    </row>
    <row r="118" spans="1:7" x14ac:dyDescent="0.25">
      <c r="A118" s="1627"/>
      <c r="B118" s="1641"/>
      <c r="C118" s="1628"/>
      <c r="D118" s="1818"/>
      <c r="E118" s="1514">
        <f t="shared" si="15"/>
        <v>0</v>
      </c>
      <c r="F118" s="1903">
        <f t="shared" si="6"/>
        <v>0</v>
      </c>
      <c r="G118" s="1767">
        <f t="shared" si="16"/>
        <v>0</v>
      </c>
    </row>
    <row r="119" spans="1:7" x14ac:dyDescent="0.25">
      <c r="A119" s="1627"/>
      <c r="B119" s="1641"/>
      <c r="C119" s="1628"/>
      <c r="D119" s="1818"/>
      <c r="E119" s="1514">
        <f t="shared" si="15"/>
        <v>0</v>
      </c>
      <c r="F119" s="1903">
        <f t="shared" si="6"/>
        <v>0</v>
      </c>
      <c r="G119" s="1767">
        <f t="shared" si="16"/>
        <v>0</v>
      </c>
    </row>
    <row r="120" spans="1:7" x14ac:dyDescent="0.25">
      <c r="A120" s="1627"/>
      <c r="B120" s="1641"/>
      <c r="C120" s="1628"/>
      <c r="D120" s="1818"/>
      <c r="E120" s="1514">
        <f t="shared" si="15"/>
        <v>0</v>
      </c>
      <c r="F120" s="1903">
        <f t="shared" si="6"/>
        <v>0</v>
      </c>
      <c r="G120" s="1767">
        <f t="shared" si="16"/>
        <v>0</v>
      </c>
    </row>
    <row r="121" spans="1:7" x14ac:dyDescent="0.25">
      <c r="A121" s="1627"/>
      <c r="B121" s="1641"/>
      <c r="C121" s="1628"/>
      <c r="D121" s="1818"/>
      <c r="E121" s="1514">
        <f t="shared" si="15"/>
        <v>0</v>
      </c>
      <c r="F121" s="1903">
        <f t="shared" si="6"/>
        <v>0</v>
      </c>
      <c r="G121" s="1767">
        <f t="shared" si="16"/>
        <v>0</v>
      </c>
    </row>
    <row r="122" spans="1:7" x14ac:dyDescent="0.25">
      <c r="A122" s="1627"/>
      <c r="B122" s="1641"/>
      <c r="C122" s="1628"/>
      <c r="D122" s="1818"/>
      <c r="E122" s="1514">
        <f t="shared" si="15"/>
        <v>0</v>
      </c>
      <c r="F122" s="1903">
        <f t="shared" si="6"/>
        <v>0</v>
      </c>
      <c r="G122" s="1767">
        <f t="shared" si="16"/>
        <v>0</v>
      </c>
    </row>
    <row r="123" spans="1:7" x14ac:dyDescent="0.25">
      <c r="A123" s="1627"/>
      <c r="B123" s="1641"/>
      <c r="C123" s="1628"/>
      <c r="D123" s="1818"/>
      <c r="E123" s="1514">
        <f t="shared" si="15"/>
        <v>0</v>
      </c>
      <c r="F123" s="1903">
        <f t="shared" si="6"/>
        <v>0</v>
      </c>
      <c r="G123" s="1767">
        <f t="shared" si="16"/>
        <v>0</v>
      </c>
    </row>
    <row r="124" spans="1:7" x14ac:dyDescent="0.25">
      <c r="A124" s="1627"/>
      <c r="B124" s="1641"/>
      <c r="C124" s="1628"/>
      <c r="D124" s="1818"/>
      <c r="E124" s="1514">
        <f t="shared" si="15"/>
        <v>0</v>
      </c>
      <c r="F124" s="1903">
        <f t="shared" si="6"/>
        <v>0</v>
      </c>
      <c r="G124" s="1767">
        <f t="shared" si="16"/>
        <v>0</v>
      </c>
    </row>
    <row r="125" spans="1:7" x14ac:dyDescent="0.25">
      <c r="A125" s="1627"/>
      <c r="B125" s="1641"/>
      <c r="C125" s="1628"/>
      <c r="D125" s="1818"/>
      <c r="E125" s="1514">
        <f t="shared" si="15"/>
        <v>0</v>
      </c>
      <c r="F125" s="1903">
        <f t="shared" si="6"/>
        <v>0</v>
      </c>
      <c r="G125" s="1767">
        <f t="shared" si="16"/>
        <v>0</v>
      </c>
    </row>
    <row r="126" spans="1:7" x14ac:dyDescent="0.25">
      <c r="A126" s="1627"/>
      <c r="B126" s="1641"/>
      <c r="C126" s="1628"/>
      <c r="D126" s="1818"/>
      <c r="E126" s="1514">
        <f t="shared" ref="E126:E134" si="17">IF(D126&lt;=25000,D126,IF(D126&gt;25000,25000,0))</f>
        <v>0</v>
      </c>
      <c r="F126" s="1903">
        <f t="shared" si="6"/>
        <v>0</v>
      </c>
      <c r="G126" s="1767">
        <f t="shared" ref="G126:G134" si="18">IF(F126=0,0,D126-F126)</f>
        <v>0</v>
      </c>
    </row>
    <row r="127" spans="1:7" x14ac:dyDescent="0.25">
      <c r="A127" s="1627"/>
      <c r="B127" s="1641"/>
      <c r="C127" s="1628"/>
      <c r="D127" s="1818"/>
      <c r="E127" s="1514">
        <f t="shared" si="17"/>
        <v>0</v>
      </c>
      <c r="F127" s="1903">
        <f t="shared" si="6"/>
        <v>0</v>
      </c>
      <c r="G127" s="1767">
        <f t="shared" si="18"/>
        <v>0</v>
      </c>
    </row>
    <row r="128" spans="1:7" x14ac:dyDescent="0.25">
      <c r="A128" s="1627"/>
      <c r="B128" s="1641"/>
      <c r="C128" s="1628"/>
      <c r="D128" s="1818"/>
      <c r="E128" s="1514">
        <f t="shared" si="17"/>
        <v>0</v>
      </c>
      <c r="F128" s="1903">
        <f t="shared" si="6"/>
        <v>0</v>
      </c>
      <c r="G128" s="1767">
        <f t="shared" si="18"/>
        <v>0</v>
      </c>
    </row>
    <row r="129" spans="1:7" x14ac:dyDescent="0.25">
      <c r="A129" s="1627"/>
      <c r="B129" s="1641"/>
      <c r="C129" s="1628"/>
      <c r="D129" s="1818"/>
      <c r="E129" s="1514">
        <f t="shared" si="17"/>
        <v>0</v>
      </c>
      <c r="F129" s="1903">
        <f t="shared" si="6"/>
        <v>0</v>
      </c>
      <c r="G129" s="1767">
        <f t="shared" si="18"/>
        <v>0</v>
      </c>
    </row>
    <row r="130" spans="1:7" x14ac:dyDescent="0.25">
      <c r="A130" s="1627"/>
      <c r="B130" s="1641"/>
      <c r="C130" s="1628"/>
      <c r="D130" s="1818"/>
      <c r="E130" s="1514">
        <f t="shared" si="17"/>
        <v>0</v>
      </c>
      <c r="F130" s="1903">
        <f t="shared" si="6"/>
        <v>0</v>
      </c>
      <c r="G130" s="1767">
        <f t="shared" si="18"/>
        <v>0</v>
      </c>
    </row>
    <row r="131" spans="1:7" x14ac:dyDescent="0.25">
      <c r="A131" s="1627"/>
      <c r="B131" s="1811"/>
      <c r="C131" s="1628"/>
      <c r="D131" s="1818"/>
      <c r="E131" s="1514">
        <f t="shared" si="17"/>
        <v>0</v>
      </c>
      <c r="F131" s="1903">
        <f t="shared" si="6"/>
        <v>0</v>
      </c>
      <c r="G131" s="1767">
        <f t="shared" si="18"/>
        <v>0</v>
      </c>
    </row>
    <row r="132" spans="1:7" x14ac:dyDescent="0.25">
      <c r="A132" s="1627"/>
      <c r="B132" s="1811"/>
      <c r="C132" s="1628"/>
      <c r="D132" s="1818"/>
      <c r="E132" s="1514">
        <f t="shared" si="17"/>
        <v>0</v>
      </c>
      <c r="F132" s="1903">
        <f t="shared" si="6"/>
        <v>0</v>
      </c>
      <c r="G132" s="1767">
        <f t="shared" si="18"/>
        <v>0</v>
      </c>
    </row>
    <row r="133" spans="1:7" x14ac:dyDescent="0.25">
      <c r="A133" s="1627"/>
      <c r="B133" s="1641"/>
      <c r="C133" s="1628"/>
      <c r="D133" s="1818"/>
      <c r="E133" s="1514">
        <f t="shared" si="17"/>
        <v>0</v>
      </c>
      <c r="F133" s="1903">
        <f t="shared" si="6"/>
        <v>0</v>
      </c>
      <c r="G133" s="1767">
        <f t="shared" si="18"/>
        <v>0</v>
      </c>
    </row>
    <row r="134" spans="1:7" x14ac:dyDescent="0.25">
      <c r="A134" s="1627"/>
      <c r="B134" s="1641"/>
      <c r="C134" s="1628"/>
      <c r="D134" s="1818"/>
      <c r="E134" s="1514">
        <f t="shared" si="17"/>
        <v>0</v>
      </c>
      <c r="F134" s="1903">
        <f t="shared" si="6"/>
        <v>0</v>
      </c>
      <c r="G134" s="1767">
        <f t="shared" si="18"/>
        <v>0</v>
      </c>
    </row>
    <row r="135" spans="1:7" x14ac:dyDescent="0.25">
      <c r="A135" s="1627"/>
      <c r="B135" s="1641"/>
      <c r="C135" s="1628"/>
      <c r="D135" s="1818"/>
      <c r="E135" s="1514">
        <f t="shared" ref="E135:E139" si="19">IF(D135&lt;=25000,D135,IF(D135&gt;25000,25000,0))</f>
        <v>0</v>
      </c>
      <c r="F135" s="1903">
        <f t="shared" si="6"/>
        <v>0</v>
      </c>
      <c r="G135" s="1767">
        <f t="shared" ref="G135:G139" si="20">IF(F135=0,0,D135-F135)</f>
        <v>0</v>
      </c>
    </row>
    <row r="136" spans="1:7" x14ac:dyDescent="0.25">
      <c r="A136" s="1627"/>
      <c r="B136" s="1641"/>
      <c r="C136" s="1628"/>
      <c r="D136" s="1818"/>
      <c r="E136" s="1514">
        <f t="shared" si="19"/>
        <v>0</v>
      </c>
      <c r="F136" s="1903">
        <f t="shared" si="6"/>
        <v>0</v>
      </c>
      <c r="G136" s="1767">
        <f t="shared" si="20"/>
        <v>0</v>
      </c>
    </row>
    <row r="137" spans="1:7" x14ac:dyDescent="0.25">
      <c r="A137" s="1627"/>
      <c r="B137" s="1641"/>
      <c r="C137" s="1628"/>
      <c r="D137" s="1818"/>
      <c r="E137" s="1514">
        <f t="shared" si="19"/>
        <v>0</v>
      </c>
      <c r="F137" s="1903">
        <f t="shared" si="6"/>
        <v>0</v>
      </c>
      <c r="G137" s="1767">
        <f t="shared" si="20"/>
        <v>0</v>
      </c>
    </row>
    <row r="138" spans="1:7" x14ac:dyDescent="0.25">
      <c r="A138" s="1627"/>
      <c r="B138" s="1641"/>
      <c r="C138" s="1628"/>
      <c r="D138" s="1818"/>
      <c r="E138" s="1514">
        <f t="shared" si="19"/>
        <v>0</v>
      </c>
      <c r="F138" s="1903">
        <f t="shared" si="6"/>
        <v>0</v>
      </c>
      <c r="G138" s="1767">
        <f t="shared" si="20"/>
        <v>0</v>
      </c>
    </row>
    <row r="139" spans="1:7" x14ac:dyDescent="0.25">
      <c r="A139" s="1627"/>
      <c r="B139" s="1641"/>
      <c r="C139" s="1628"/>
      <c r="D139" s="1818"/>
      <c r="E139" s="1514">
        <f t="shared" si="19"/>
        <v>0</v>
      </c>
      <c r="F139" s="1903">
        <f t="shared" si="6"/>
        <v>0</v>
      </c>
      <c r="G139" s="1767">
        <f t="shared" si="20"/>
        <v>0</v>
      </c>
    </row>
    <row r="140" spans="1:7" x14ac:dyDescent="0.25">
      <c r="A140" s="1627"/>
      <c r="B140" s="1640"/>
      <c r="C140" s="1628"/>
      <c r="D140" s="1818"/>
      <c r="E140" s="1514">
        <f t="shared" si="2"/>
        <v>0</v>
      </c>
      <c r="F140" s="1903">
        <f t="shared" si="6"/>
        <v>0</v>
      </c>
      <c r="G140" s="1767">
        <f t="shared" si="3"/>
        <v>0</v>
      </c>
    </row>
    <row r="141" spans="1:7" x14ac:dyDescent="0.25">
      <c r="A141" s="1770" t="s">
        <v>156</v>
      </c>
      <c r="B141" s="1771"/>
      <c r="C141" s="1772"/>
      <c r="D141" s="1768">
        <f>SUM(D17:D140)</f>
        <v>0</v>
      </c>
      <c r="E141" s="1515">
        <f t="shared" si="0"/>
        <v>0</v>
      </c>
      <c r="F141" s="1904">
        <f>SUM(F17:F140)</f>
        <v>0</v>
      </c>
      <c r="G141" s="1769">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8" t="s">
        <v>1115</v>
      </c>
      <c r="B1" s="1609"/>
      <c r="C1" s="1610"/>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82" t="s">
        <v>1678</v>
      </c>
      <c r="B5" s="2483"/>
      <c r="C5" s="2483"/>
      <c r="D5" s="2483"/>
      <c r="E5" s="2483"/>
      <c r="F5" s="2483"/>
      <c r="G5" s="2484"/>
      <c r="H5" s="252"/>
      <c r="I5" s="606"/>
    </row>
    <row r="6" spans="1:9" s="665" customFormat="1" x14ac:dyDescent="0.2">
      <c r="A6" s="1611"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1926</v>
      </c>
      <c r="B10" s="968"/>
      <c r="C10" s="973"/>
      <c r="D10" s="969"/>
      <c r="E10" s="970">
        <v>111988</v>
      </c>
      <c r="F10" s="971"/>
      <c r="G10" s="972"/>
      <c r="H10" s="162"/>
      <c r="I10" s="162"/>
    </row>
    <row r="11" spans="1:9" s="665" customFormat="1" ht="22.5" customHeight="1" x14ac:dyDescent="0.2">
      <c r="A11" s="2487" t="s">
        <v>1970</v>
      </c>
      <c r="B11" s="2488"/>
      <c r="C11" s="2488"/>
      <c r="D11" s="2489"/>
      <c r="E11" s="974">
        <v>8164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12" t="s">
        <v>532</v>
      </c>
      <c r="E17" s="1613"/>
      <c r="F17" s="1612" t="s">
        <v>433</v>
      </c>
      <c r="G17" s="1614"/>
      <c r="H17" s="162"/>
      <c r="I17" s="162"/>
    </row>
    <row r="18" spans="1:9" s="259" customFormat="1" ht="11.25" x14ac:dyDescent="0.2">
      <c r="A18" s="985"/>
      <c r="C18" s="986" t="s">
        <v>434</v>
      </c>
      <c r="D18" s="1615" t="s">
        <v>435</v>
      </c>
      <c r="E18" s="1615" t="s">
        <v>53</v>
      </c>
      <c r="F18" s="1615" t="s">
        <v>435</v>
      </c>
      <c r="G18" s="1615" t="s">
        <v>53</v>
      </c>
      <c r="H18" s="178"/>
      <c r="I18" s="178"/>
    </row>
    <row r="19" spans="1:9" s="665" customFormat="1" ht="12" customHeight="1" x14ac:dyDescent="0.2">
      <c r="A19" s="987" t="s">
        <v>456</v>
      </c>
      <c r="B19" s="988"/>
      <c r="C19" s="989" t="s">
        <v>570</v>
      </c>
      <c r="D19" s="1773"/>
      <c r="E19" s="1774">
        <f>'Expenditures 15-22'!K33-SUM('Expenditures 15-22'!G33,'Expenditures 15-22'!I33)+'Expenditures 15-22'!D229</f>
        <v>4303287</v>
      </c>
      <c r="F19" s="1773"/>
      <c r="G19" s="1775">
        <f>'Expenditures 15-22'!K33-SUM('Expenditures 15-22'!G33,'Expenditures 15-22'!I33)+'Expenditures 15-22'!D229</f>
        <v>4303287</v>
      </c>
      <c r="H19" s="984"/>
      <c r="I19" s="162"/>
    </row>
    <row r="20" spans="1:9" s="665" customFormat="1" ht="12" customHeight="1" x14ac:dyDescent="0.2">
      <c r="A20" s="987" t="s">
        <v>54</v>
      </c>
      <c r="B20" s="988"/>
      <c r="C20" s="990"/>
      <c r="D20" s="1776"/>
      <c r="E20" s="1776"/>
      <c r="F20" s="1776"/>
      <c r="G20" s="1777"/>
      <c r="H20" s="984"/>
      <c r="I20" s="162"/>
    </row>
    <row r="21" spans="1:9" s="665" customFormat="1" ht="12" customHeight="1" x14ac:dyDescent="0.2">
      <c r="A21" s="991" t="s">
        <v>401</v>
      </c>
      <c r="B21" s="992"/>
      <c r="C21" s="990">
        <v>2100</v>
      </c>
      <c r="D21" s="1776"/>
      <c r="E21" s="1778">
        <f>'Expenditures 15-22'!K42-SUM('Expenditures 15-22'!G42,'Expenditures 15-22'!I42)+'Expenditures 15-22'!K120-SUM('Expenditures 15-22'!G120,'Expenditures 15-22'!I120)+'Expenditures 15-22'!K180-SUM('Expenditures 15-22'!G180,'Expenditures 15-22'!I180)+'Expenditures 15-22'!D238</f>
        <v>3543965</v>
      </c>
      <c r="F21" s="1776"/>
      <c r="G21" s="1779">
        <f>'Expenditures 15-22'!K42-SUM('Expenditures 15-22'!G42,'Expenditures 15-22'!I42)+'Expenditures 15-22'!K120-SUM('Expenditures 15-22'!G120,'Expenditures 15-22'!I120)+'Expenditures 15-22'!K180-SUM('Expenditures 15-22'!G180,'Expenditures 15-22'!I180)+'Expenditures 15-22'!D238</f>
        <v>3543965</v>
      </c>
      <c r="H21" s="984"/>
      <c r="I21" s="162"/>
    </row>
    <row r="22" spans="1:9" s="665" customFormat="1" ht="12" customHeight="1" x14ac:dyDescent="0.2">
      <c r="A22" s="991" t="s">
        <v>564</v>
      </c>
      <c r="B22" s="992"/>
      <c r="C22" s="990">
        <v>2200</v>
      </c>
      <c r="D22" s="1776"/>
      <c r="E22" s="1778">
        <f>'Expenditures 15-22'!K47-SUM('Expenditures 15-22'!G47,'Expenditures 15-22'!I47)+'Expenditures 15-22'!D243</f>
        <v>450830</v>
      </c>
      <c r="F22" s="1776"/>
      <c r="G22" s="1779">
        <f>'Expenditures 15-22'!K47-SUM('Expenditures 15-22'!G47,'Expenditures 15-22'!I47)+'Expenditures 15-22'!D243</f>
        <v>450830</v>
      </c>
      <c r="H22" s="984"/>
      <c r="I22" s="162"/>
    </row>
    <row r="23" spans="1:9" s="665" customFormat="1" ht="12" customHeight="1" x14ac:dyDescent="0.2">
      <c r="A23" s="991" t="s">
        <v>565</v>
      </c>
      <c r="B23" s="992"/>
      <c r="C23" s="990">
        <v>2300</v>
      </c>
      <c r="D23" s="1776"/>
      <c r="E23" s="1778">
        <f>'Expenditures 15-22'!K53-SUM('Expenditures 15-22'!G53,'Expenditures 15-22'!I53)+'Expenditures 15-22'!D257+'Expenditures 15-22'!K330-SUM('Expenditures 15-22'!G330,'Expenditures 15-22'!I330)</f>
        <v>442891</v>
      </c>
      <c r="F23" s="1776"/>
      <c r="G23" s="1778">
        <f>'Expenditures 15-22'!K53-SUM('Expenditures 15-22'!G53,'Expenditures 15-22'!I53)+'Expenditures 15-22'!D257+'Expenditures 15-22'!K330-SUM('Expenditures 15-22'!G330,'Expenditures 15-22'!I330)</f>
        <v>442891</v>
      </c>
      <c r="H23" s="984"/>
      <c r="I23" s="162"/>
    </row>
    <row r="24" spans="1:9" s="665" customFormat="1" ht="12" customHeight="1" x14ac:dyDescent="0.2">
      <c r="A24" s="991" t="s">
        <v>566</v>
      </c>
      <c r="B24" s="992"/>
      <c r="C24" s="990">
        <v>2400</v>
      </c>
      <c r="D24" s="1776"/>
      <c r="E24" s="1778">
        <f>'Expenditures 15-22'!K57-SUM('Expenditures 15-22'!G57,'Expenditures 15-22'!I57)+'Expenditures 15-22'!D261</f>
        <v>416104</v>
      </c>
      <c r="F24" s="1776"/>
      <c r="G24" s="1779">
        <f>'Expenditures 15-22'!K57-SUM('Expenditures 15-22'!G57,'Expenditures 15-22'!I57)+'Expenditures 15-22'!D261</f>
        <v>416104</v>
      </c>
      <c r="H24" s="984"/>
      <c r="I24" s="162"/>
    </row>
    <row r="25" spans="1:9" s="665" customFormat="1" ht="12" customHeight="1" x14ac:dyDescent="0.2">
      <c r="A25" s="987" t="s">
        <v>567</v>
      </c>
      <c r="B25" s="993"/>
      <c r="C25" s="990"/>
      <c r="D25" s="1776"/>
      <c r="E25" s="1778"/>
      <c r="F25" s="1776"/>
      <c r="G25" s="1779"/>
      <c r="H25" s="984"/>
      <c r="I25" s="162"/>
    </row>
    <row r="26" spans="1:9" s="665" customFormat="1" ht="12" customHeight="1" x14ac:dyDescent="0.2">
      <c r="A26" s="991" t="s">
        <v>515</v>
      </c>
      <c r="B26" s="994"/>
      <c r="C26" s="990">
        <v>2510</v>
      </c>
      <c r="D26" s="1778">
        <f>'Expenditures 15-22'!K59-SUM('Expenditures 15-22'!G59,'Expenditures 15-22'!I59)+'Expenditures 15-22'!D263-E7</f>
        <v>118320</v>
      </c>
      <c r="E26" s="1778">
        <f>'Expenditures 15-22'!K122-SUM('Expenditures 15-22'!G122,'Expenditures 15-22'!I122)+E7</f>
        <v>0</v>
      </c>
      <c r="F26" s="1778">
        <f>'Expenditures 15-22'!K59-SUM('Expenditures 15-22'!G59,'Expenditures 15-22'!I59)+'Expenditures 15-22'!D263-E7</f>
        <v>118320</v>
      </c>
      <c r="G26" s="1779">
        <f>'Expenditures 15-22'!K122-SUM('Expenditures 15-22'!G122,'Expenditures 15-22'!I122)+E7</f>
        <v>0</v>
      </c>
      <c r="H26" s="984"/>
      <c r="I26" s="162"/>
    </row>
    <row r="27" spans="1:9" s="665" customFormat="1" ht="12" customHeight="1" x14ac:dyDescent="0.2">
      <c r="A27" s="991" t="s">
        <v>463</v>
      </c>
      <c r="B27" s="994"/>
      <c r="C27" s="990">
        <v>2520</v>
      </c>
      <c r="D27" s="1778">
        <f>'Expenditures 15-22'!K60-SUM('Expenditures 15-22'!G60,'Expenditures 15-22'!I60)+'Expenditures 15-22'!D264-E8</f>
        <v>132981</v>
      </c>
      <c r="E27" s="1778">
        <f>E8</f>
        <v>0</v>
      </c>
      <c r="F27" s="1778">
        <f>'Expenditures 15-22'!K60-SUM('Expenditures 15-22'!G60,'Expenditures 15-22'!I60)+'Expenditures 15-22'!D264-E8</f>
        <v>132981</v>
      </c>
      <c r="G27" s="1779">
        <f>E8</f>
        <v>0</v>
      </c>
      <c r="H27" s="984"/>
      <c r="I27" s="162"/>
    </row>
    <row r="28" spans="1:9" s="665" customFormat="1" ht="12" customHeight="1" x14ac:dyDescent="0.2">
      <c r="A28" s="991" t="s">
        <v>516</v>
      </c>
      <c r="B28" s="994"/>
      <c r="C28" s="990">
        <v>2540</v>
      </c>
      <c r="D28" s="1780"/>
      <c r="E28" s="1778">
        <f>'Expenditures 15-22'!K61-SUM('Expenditures 15-22'!G61,'Expenditures 15-22'!I61)+'Expenditures 15-22'!K124-SUM('Expenditures 15-22'!G124,'Expenditures 15-22'!I124)+'Expenditures 15-22'!D266</f>
        <v>383764</v>
      </c>
      <c r="F28" s="1780">
        <f>'Expenditures 15-22'!K61-SUM('Expenditures 15-22'!G61,'Expenditures 15-22'!I61)+'Expenditures 15-22'!K124-SUM('Expenditures 15-22'!G124,'Expenditures 15-22'!I124)+'Expenditures 15-22'!D266-E9</f>
        <v>383764</v>
      </c>
      <c r="G28" s="1779">
        <f>E9</f>
        <v>0</v>
      </c>
      <c r="H28" s="984"/>
      <c r="I28" s="162"/>
    </row>
    <row r="29" spans="1:9" ht="12" customHeight="1" x14ac:dyDescent="0.2">
      <c r="A29" s="991" t="s">
        <v>517</v>
      </c>
      <c r="B29" s="994"/>
      <c r="C29" s="990">
        <v>2550</v>
      </c>
      <c r="D29" s="1776"/>
      <c r="E29" s="1778">
        <f>'Expenditures 15-22'!K62-SUM('Expenditures 15-22'!G62,'Expenditures 15-22'!I62)+'Expenditures 15-22'!K125-SUM('Expenditures 15-22'!G125,'Expenditures 15-22'!I125)+'Expenditures 15-22'!K182-SUM('Expenditures 15-22'!G182,'Expenditures 15-22'!I182)+'Expenditures 15-22'!D267</f>
        <v>64400</v>
      </c>
      <c r="F29" s="1776"/>
      <c r="G29" s="1779">
        <f>'Expenditures 15-22'!K62-SUM('Expenditures 15-22'!G62,'Expenditures 15-22'!I62)+'Expenditures 15-22'!K125-SUM('Expenditures 15-22'!G125,'Expenditures 15-22'!I125)+'Expenditures 15-22'!K182-SUM('Expenditures 15-22'!G182,'Expenditures 15-22'!I182)+'Expenditures 15-22'!D267</f>
        <v>64400</v>
      </c>
      <c r="H29" s="982"/>
    </row>
    <row r="30" spans="1:9" ht="12" customHeight="1" x14ac:dyDescent="0.2">
      <c r="A30" s="991" t="s">
        <v>100</v>
      </c>
      <c r="B30" s="994"/>
      <c r="C30" s="990">
        <v>2560</v>
      </c>
      <c r="D30" s="1776"/>
      <c r="E30" s="1778">
        <f>'Expenditures 15-22'!K63-SUM('Expenditures 15-22'!G63,'Expenditures 15-22'!I63)+'Expenditures 15-22'!D268-E10</f>
        <v>70688</v>
      </c>
      <c r="F30" s="1776"/>
      <c r="G30" s="1778">
        <f>'Expenditures 15-22'!K63-SUM('Expenditures 15-22'!G63,'Expenditures 15-22'!I63)+'Expenditures 15-22'!D268-E10</f>
        <v>70688</v>
      </c>
    </row>
    <row r="31" spans="1:9" ht="12" customHeight="1" x14ac:dyDescent="0.2">
      <c r="A31" s="991" t="s">
        <v>101</v>
      </c>
      <c r="B31" s="994"/>
      <c r="C31" s="990">
        <v>2570</v>
      </c>
      <c r="D31" s="1778">
        <f>'Expenditures 15-22'!K64-SUM('Expenditures 15-22'!G64,'Expenditures 15-22'!I64)+'Expenditures 15-22'!D269-E12</f>
        <v>31325</v>
      </c>
      <c r="E31" s="1778">
        <f>E12</f>
        <v>0</v>
      </c>
      <c r="F31" s="1778">
        <f>'Expenditures 15-22'!K64-SUM('Expenditures 15-22'!G64,'Expenditures 15-22'!I64)+'Expenditures 15-22'!D269-E12</f>
        <v>31325</v>
      </c>
      <c r="G31" s="1778">
        <f>E12</f>
        <v>0</v>
      </c>
    </row>
    <row r="32" spans="1:9" ht="12" customHeight="1" x14ac:dyDescent="0.2">
      <c r="A32" s="987" t="s">
        <v>518</v>
      </c>
      <c r="B32" s="993"/>
      <c r="C32" s="990"/>
      <c r="D32" s="1776"/>
      <c r="E32" s="1776"/>
      <c r="F32" s="1776"/>
      <c r="G32" s="1776"/>
    </row>
    <row r="33" spans="1:7" ht="12" customHeight="1" x14ac:dyDescent="0.2">
      <c r="A33" s="991" t="s">
        <v>519</v>
      </c>
      <c r="B33" s="994"/>
      <c r="C33" s="990">
        <v>2610</v>
      </c>
      <c r="D33" s="1776"/>
      <c r="E33" s="1778">
        <f>'Expenditures 15-22'!K67-SUM('Expenditures 15-22'!G67,'Expenditures 15-22'!I67)+'Expenditures 15-22'!D272</f>
        <v>0</v>
      </c>
      <c r="F33" s="1776"/>
      <c r="G33" s="1778">
        <f>'Expenditures 15-22'!K67-SUM('Expenditures 15-22'!G67,'Expenditures 15-22'!I67)+'Expenditures 15-22'!D272</f>
        <v>0</v>
      </c>
    </row>
    <row r="34" spans="1:7" ht="12" customHeight="1" x14ac:dyDescent="0.2">
      <c r="A34" s="991" t="s">
        <v>520</v>
      </c>
      <c r="B34" s="994"/>
      <c r="C34" s="990">
        <v>2620</v>
      </c>
      <c r="D34" s="1776"/>
      <c r="E34" s="1778">
        <f>'Expenditures 15-22'!K68-SUM('Expenditures 15-22'!G68,'Expenditures 15-22'!I68)+'Expenditures 15-22'!D273</f>
        <v>0</v>
      </c>
      <c r="F34" s="1776"/>
      <c r="G34" s="1778">
        <f>'Expenditures 15-22'!K68-SUM('Expenditures 15-22'!G68,'Expenditures 15-22'!I68)+'Expenditures 15-22'!D273</f>
        <v>0</v>
      </c>
    </row>
    <row r="35" spans="1:7" ht="12" customHeight="1" x14ac:dyDescent="0.2">
      <c r="A35" s="991" t="s">
        <v>1061</v>
      </c>
      <c r="B35" s="994"/>
      <c r="C35" s="990">
        <v>2630</v>
      </c>
      <c r="D35" s="1776"/>
      <c r="E35" s="1778">
        <f>'Expenditures 15-22'!K69-SUM('Expenditures 15-22'!G69,'Expenditures 15-22'!I69)+'Expenditures 15-22'!D274</f>
        <v>0</v>
      </c>
      <c r="F35" s="1776"/>
      <c r="G35" s="1778">
        <f>'Expenditures 15-22'!K69-SUM('Expenditures 15-22'!G69,'Expenditures 15-22'!I69)+'Expenditures 15-22'!D274</f>
        <v>0</v>
      </c>
    </row>
    <row r="36" spans="1:7" ht="12" customHeight="1" x14ac:dyDescent="0.2">
      <c r="A36" s="991" t="s">
        <v>403</v>
      </c>
      <c r="B36" s="994"/>
      <c r="C36" s="990">
        <v>2640</v>
      </c>
      <c r="D36" s="1778">
        <f>'Expenditures 15-22'!K70-SUM('Expenditures 15-22'!G70,'Expenditures 15-22'!I70)+'Expenditures 15-22'!D275-E13</f>
        <v>5077</v>
      </c>
      <c r="E36" s="1778">
        <f>E13</f>
        <v>0</v>
      </c>
      <c r="F36" s="1778">
        <f>'Expenditures 15-22'!K70-SUM('Expenditures 15-22'!G70,'Expenditures 15-22'!I70)+'Expenditures 15-22'!D275-E13</f>
        <v>5077</v>
      </c>
      <c r="G36" s="1778">
        <f>E13</f>
        <v>0</v>
      </c>
    </row>
    <row r="37" spans="1:7" ht="12" customHeight="1" x14ac:dyDescent="0.2">
      <c r="A37" s="991" t="s">
        <v>404</v>
      </c>
      <c r="B37" s="994"/>
      <c r="C37" s="990">
        <v>2660</v>
      </c>
      <c r="D37" s="1778">
        <f>'Expenditures 15-22'!K71-SUM('Expenditures 15-22'!G71,'Expenditures 15-22'!I71)+'Expenditures 15-22'!D276-E14</f>
        <v>81178</v>
      </c>
      <c r="E37" s="1778">
        <f>E14</f>
        <v>0</v>
      </c>
      <c r="F37" s="1778">
        <f>'Expenditures 15-22'!K71-SUM('Expenditures 15-22'!G71,'Expenditures 15-22'!I71)+'Expenditures 15-22'!D276-E14</f>
        <v>81178</v>
      </c>
      <c r="G37" s="1778">
        <f>E14</f>
        <v>0</v>
      </c>
    </row>
    <row r="38" spans="1:7" ht="12" customHeight="1" x14ac:dyDescent="0.2">
      <c r="A38" s="987" t="s">
        <v>521</v>
      </c>
      <c r="B38" s="988"/>
      <c r="C38" s="990">
        <v>2900</v>
      </c>
      <c r="D38" s="1776"/>
      <c r="E38" s="1778">
        <f>'Expenditures 15-22'!K73-SUM('Expenditures 15-22'!G73,'Expenditures 15-22'!I73)+'Expenditures 15-22'!K128-SUM('Expenditures 15-22'!G128,'Expenditures 15-22'!I128)+'Expenditures 15-22'!K183-SUM('Expenditures 15-22'!G183,'Expenditures 15-22'!I183)+'Expenditures 15-22'!D278</f>
        <v>16133</v>
      </c>
      <c r="F38" s="1776"/>
      <c r="G38" s="1778">
        <f>'Expenditures 15-22'!K73-SUM('Expenditures 15-22'!G73,'Expenditures 15-22'!I73)+'Expenditures 15-22'!K128-SUM('Expenditures 15-22'!G128,'Expenditures 15-22'!I128)+'Expenditures 15-22'!K183-SUM('Expenditures 15-22'!G183,'Expenditures 15-22'!I183)+'Expenditures 15-22'!D278</f>
        <v>16133</v>
      </c>
    </row>
    <row r="39" spans="1:7" ht="12" customHeight="1" x14ac:dyDescent="0.2">
      <c r="A39" s="987" t="s">
        <v>449</v>
      </c>
      <c r="B39" s="988"/>
      <c r="C39" s="990">
        <v>3000</v>
      </c>
      <c r="D39" s="1776"/>
      <c r="E39" s="1778">
        <f>'Expenditures 15-22'!K75-SUM('Expenditures 15-22'!G75,'Expenditures 15-22'!I75)+'Expenditures 15-22'!K130-SUM('Expenditures 15-22'!G130,'Expenditures 15-22'!I130)+'Expenditures 15-22'!K185-SUM('Expenditures 15-22'!G185,'Expenditures 15-22'!I185)+'Expenditures 15-22'!D280</f>
        <v>0</v>
      </c>
      <c r="F39" s="1776"/>
      <c r="G39" s="177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1817</v>
      </c>
      <c r="B40" s="988"/>
      <c r="C40" s="990"/>
      <c r="D40" s="1776"/>
      <c r="E40" s="1780">
        <f>-'Contracts Paid in CY 29'!G141</f>
        <v>0</v>
      </c>
      <c r="F40" s="1776"/>
      <c r="G40" s="1780">
        <f>-'Contracts Paid in CY 29'!G141</f>
        <v>0</v>
      </c>
    </row>
    <row r="41" spans="1:7" ht="12" customHeight="1" x14ac:dyDescent="0.2">
      <c r="A41" s="995" t="s">
        <v>156</v>
      </c>
      <c r="B41" s="996"/>
      <c r="C41" s="997"/>
      <c r="D41" s="1780">
        <f>SUM(D19:D39)</f>
        <v>368881</v>
      </c>
      <c r="E41" s="1780">
        <f>SUM(E19:E40)</f>
        <v>9692062</v>
      </c>
      <c r="F41" s="1780">
        <f>SUM(F19:F39)</f>
        <v>752645</v>
      </c>
      <c r="G41" s="1780">
        <f>SUM(G19:G40)</f>
        <v>9308298</v>
      </c>
    </row>
    <row r="42" spans="1:7" x14ac:dyDescent="0.2">
      <c r="A42" s="984"/>
      <c r="B42" s="162"/>
      <c r="C42" s="998"/>
      <c r="D42" s="2485" t="s">
        <v>522</v>
      </c>
      <c r="E42" s="2486"/>
      <c r="F42" s="999" t="s">
        <v>523</v>
      </c>
      <c r="G42" s="1000"/>
    </row>
    <row r="43" spans="1:7" ht="12" customHeight="1" x14ac:dyDescent="0.2">
      <c r="A43" s="984"/>
      <c r="B43" s="162"/>
      <c r="C43" s="998"/>
      <c r="D43" s="1781" t="s">
        <v>473</v>
      </c>
      <c r="E43" s="1782">
        <f>D41</f>
        <v>368881</v>
      </c>
      <c r="F43" s="1781" t="s">
        <v>473</v>
      </c>
      <c r="G43" s="1782">
        <f>F41</f>
        <v>752645</v>
      </c>
    </row>
    <row r="44" spans="1:7" ht="12" customHeight="1" x14ac:dyDescent="0.2">
      <c r="A44" s="984"/>
      <c r="B44" s="162"/>
      <c r="C44" s="998"/>
      <c r="D44" s="1781" t="s">
        <v>474</v>
      </c>
      <c r="E44" s="1782">
        <f>E41</f>
        <v>9692062</v>
      </c>
      <c r="F44" s="1781" t="s">
        <v>474</v>
      </c>
      <c r="G44" s="1782">
        <f>G41</f>
        <v>9308298</v>
      </c>
    </row>
    <row r="45" spans="1:7" ht="12" customHeight="1" x14ac:dyDescent="0.2">
      <c r="A45" s="984"/>
      <c r="B45" s="162"/>
      <c r="C45" s="162"/>
      <c r="D45" s="1783" t="s">
        <v>1006</v>
      </c>
      <c r="E45" s="1784">
        <f>(E43/E44)</f>
        <v>3.8060115587374495E-2</v>
      </c>
      <c r="F45" s="1783" t="s">
        <v>1006</v>
      </c>
      <c r="G45" s="1784">
        <f>(G43/G44)</f>
        <v>8.0857424203651412E-2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29" sqref="F29"/>
      <selection pane="bottomLeft" activeCell="L40" sqref="L40"/>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504" t="s">
        <v>1379</v>
      </c>
      <c r="B1" s="2504"/>
      <c r="C1" s="2504"/>
      <c r="D1" s="2504"/>
      <c r="E1" s="2504"/>
      <c r="F1" s="2504"/>
    </row>
    <row r="2" spans="1:10" x14ac:dyDescent="0.2">
      <c r="A2" s="1859" t="s">
        <v>1905</v>
      </c>
      <c r="B2" s="1820"/>
      <c r="C2" s="1859"/>
      <c r="D2" s="1820"/>
      <c r="E2" s="1820"/>
      <c r="F2" s="1821"/>
    </row>
    <row r="3" spans="1:10" x14ac:dyDescent="0.2">
      <c r="A3" s="1859" t="s">
        <v>1971</v>
      </c>
      <c r="B3" s="1820"/>
      <c r="C3" s="1859"/>
      <c r="D3" s="1820"/>
      <c r="E3" s="1820"/>
      <c r="F3" s="1821"/>
    </row>
    <row r="4" spans="1:10" ht="3.75" customHeight="1" x14ac:dyDescent="0.2">
      <c r="A4" s="1820"/>
      <c r="B4" s="1820"/>
      <c r="C4" s="1820"/>
      <c r="D4" s="1820"/>
      <c r="E4" s="1820"/>
      <c r="F4" s="1821"/>
    </row>
    <row r="5" spans="1:10" ht="15" x14ac:dyDescent="0.25">
      <c r="A5" s="2505" t="s">
        <v>1545</v>
      </c>
      <c r="B5" s="2506"/>
      <c r="C5" s="2507"/>
      <c r="D5" s="2507"/>
      <c r="E5" s="2507"/>
      <c r="F5" s="2507"/>
    </row>
    <row r="6" spans="1:10" ht="12" customHeight="1" x14ac:dyDescent="0.25">
      <c r="A6" s="1822"/>
      <c r="B6" s="1823"/>
      <c r="C6" s="2508" t="str">
        <f>COVER!A17</f>
        <v xml:space="preserve">Black Hawk Area Sp Ed District </v>
      </c>
      <c r="D6" s="2508"/>
      <c r="E6" s="2508"/>
      <c r="F6" s="1824"/>
    </row>
    <row r="7" spans="1:10" ht="11.25" customHeight="1" thickBot="1" x14ac:dyDescent="0.3">
      <c r="A7" s="1822"/>
      <c r="B7" s="1823"/>
      <c r="C7" s="2509">
        <f>COVER!A13</f>
        <v>49081865060</v>
      </c>
      <c r="D7" s="2509"/>
      <c r="E7" s="2509"/>
      <c r="F7" s="1824"/>
    </row>
    <row r="8" spans="1:10" ht="25.5" customHeight="1" thickBot="1" x14ac:dyDescent="0.25">
      <c r="A8" s="1865" t="s">
        <v>1901</v>
      </c>
      <c r="B8" s="1825"/>
      <c r="C8" s="1861" t="s">
        <v>1680</v>
      </c>
      <c r="D8" s="1860" t="s">
        <v>1681</v>
      </c>
      <c r="E8" s="1862" t="s">
        <v>1380</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1381</v>
      </c>
      <c r="F10" s="1864" t="s">
        <v>1382</v>
      </c>
    </row>
    <row r="11" spans="1:10" ht="12" customHeight="1" x14ac:dyDescent="0.2">
      <c r="A11" s="1835" t="s">
        <v>1383</v>
      </c>
      <c r="B11" s="1836"/>
      <c r="C11" s="1837"/>
      <c r="D11" s="1837"/>
      <c r="E11" s="1838"/>
      <c r="F11" s="1839"/>
      <c r="H11" s="1850">
        <f>IF(C11="X",5,0)</f>
        <v>0</v>
      </c>
      <c r="I11" s="1850">
        <f>IF(D11="X",5,0)</f>
        <v>0</v>
      </c>
      <c r="J11" s="1850">
        <f>IF(E11="X",5,0)</f>
        <v>0</v>
      </c>
    </row>
    <row r="12" spans="1:10" ht="12" customHeight="1" x14ac:dyDescent="0.2">
      <c r="A12" s="1835" t="s">
        <v>1384</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1385</v>
      </c>
      <c r="B13" s="1836"/>
      <c r="C13" s="1837" t="s">
        <v>2063</v>
      </c>
      <c r="D13" s="1837" t="s">
        <v>2063</v>
      </c>
      <c r="E13" s="1840"/>
      <c r="F13" s="1839" t="s">
        <v>2077</v>
      </c>
      <c r="H13" s="1850">
        <f t="shared" si="0"/>
        <v>5</v>
      </c>
      <c r="I13" s="1850">
        <f t="shared" si="1"/>
        <v>5</v>
      </c>
      <c r="J13" s="1850">
        <f t="shared" si="2"/>
        <v>0</v>
      </c>
    </row>
    <row r="14" spans="1:10" ht="12" customHeight="1" x14ac:dyDescent="0.2">
      <c r="A14" s="1835" t="s">
        <v>1386</v>
      </c>
      <c r="B14" s="1836"/>
      <c r="C14" s="1837" t="s">
        <v>2063</v>
      </c>
      <c r="D14" s="1837" t="s">
        <v>2063</v>
      </c>
      <c r="E14" s="1840"/>
      <c r="F14" s="1839" t="s">
        <v>2078</v>
      </c>
      <c r="H14" s="1850">
        <f t="shared" si="0"/>
        <v>5</v>
      </c>
      <c r="I14" s="1850">
        <f t="shared" si="1"/>
        <v>5</v>
      </c>
      <c r="J14" s="1850">
        <f t="shared" si="2"/>
        <v>0</v>
      </c>
    </row>
    <row r="15" spans="1:10" ht="12" customHeight="1" x14ac:dyDescent="0.2">
      <c r="A15" s="1835" t="s">
        <v>1387</v>
      </c>
      <c r="B15" s="1836"/>
      <c r="C15" s="1837" t="s">
        <v>2063</v>
      </c>
      <c r="D15" s="1837" t="s">
        <v>2063</v>
      </c>
      <c r="E15" s="1840"/>
      <c r="F15" s="1839" t="s">
        <v>2079</v>
      </c>
      <c r="H15" s="1850">
        <f t="shared" si="0"/>
        <v>5</v>
      </c>
      <c r="I15" s="1850">
        <f t="shared" si="1"/>
        <v>5</v>
      </c>
      <c r="J15" s="1850">
        <f t="shared" si="2"/>
        <v>0</v>
      </c>
    </row>
    <row r="16" spans="1:10" ht="12" customHeight="1" x14ac:dyDescent="0.2">
      <c r="A16" s="1835" t="s">
        <v>1388</v>
      </c>
      <c r="B16" s="1836"/>
      <c r="C16" s="1837" t="s">
        <v>2063</v>
      </c>
      <c r="D16" s="1837" t="s">
        <v>2063</v>
      </c>
      <c r="E16" s="1840"/>
      <c r="F16" s="1839" t="s">
        <v>2080</v>
      </c>
      <c r="H16" s="1850">
        <f t="shared" si="0"/>
        <v>5</v>
      </c>
      <c r="I16" s="1850">
        <f t="shared" si="1"/>
        <v>5</v>
      </c>
      <c r="J16" s="1850">
        <f t="shared" si="2"/>
        <v>0</v>
      </c>
    </row>
    <row r="17" spans="1:12" ht="12" customHeight="1" x14ac:dyDescent="0.2">
      <c r="A17" s="1835" t="s">
        <v>1389</v>
      </c>
      <c r="B17" s="1836"/>
      <c r="C17" s="1837"/>
      <c r="D17" s="1837"/>
      <c r="E17" s="1840"/>
      <c r="F17" s="1839"/>
      <c r="H17" s="1850">
        <f t="shared" si="0"/>
        <v>0</v>
      </c>
      <c r="I17" s="1850">
        <f t="shared" si="1"/>
        <v>0</v>
      </c>
      <c r="J17" s="1850">
        <f t="shared" si="2"/>
        <v>0</v>
      </c>
    </row>
    <row r="18" spans="1:12" ht="12" customHeight="1" x14ac:dyDescent="0.2">
      <c r="A18" s="1835" t="s">
        <v>1390</v>
      </c>
      <c r="B18" s="1836"/>
      <c r="C18" s="1837" t="s">
        <v>2063</v>
      </c>
      <c r="D18" s="1837" t="s">
        <v>2063</v>
      </c>
      <c r="E18" s="1840"/>
      <c r="F18" s="1839" t="s">
        <v>2081</v>
      </c>
      <c r="H18" s="1850">
        <f t="shared" si="0"/>
        <v>5</v>
      </c>
      <c r="I18" s="1850">
        <f t="shared" si="1"/>
        <v>5</v>
      </c>
      <c r="J18" s="1850">
        <f t="shared" si="2"/>
        <v>0</v>
      </c>
    </row>
    <row r="19" spans="1:12" ht="12" customHeight="1" x14ac:dyDescent="0.2">
      <c r="A19" s="1835" t="s">
        <v>1526</v>
      </c>
      <c r="B19" s="1836"/>
      <c r="C19" s="1837" t="s">
        <v>2063</v>
      </c>
      <c r="D19" s="1837" t="s">
        <v>2063</v>
      </c>
      <c r="E19" s="1840"/>
      <c r="F19" s="1839" t="s">
        <v>2082</v>
      </c>
      <c r="H19" s="1850">
        <f t="shared" si="0"/>
        <v>5</v>
      </c>
      <c r="I19" s="1850">
        <f t="shared" si="1"/>
        <v>5</v>
      </c>
      <c r="J19" s="1850">
        <f t="shared" si="2"/>
        <v>0</v>
      </c>
    </row>
    <row r="20" spans="1:12" ht="12" customHeight="1" x14ac:dyDescent="0.2">
      <c r="A20" s="1835" t="s">
        <v>1527</v>
      </c>
      <c r="B20" s="1836"/>
      <c r="C20" s="1837" t="s">
        <v>2063</v>
      </c>
      <c r="D20" s="1837" t="s">
        <v>2063</v>
      </c>
      <c r="E20" s="1840"/>
      <c r="F20" s="1839" t="s">
        <v>2083</v>
      </c>
      <c r="H20" s="1850">
        <f t="shared" si="0"/>
        <v>5</v>
      </c>
      <c r="I20" s="1850">
        <f t="shared" si="1"/>
        <v>5</v>
      </c>
      <c r="J20" s="1850">
        <f t="shared" si="2"/>
        <v>0</v>
      </c>
    </row>
    <row r="21" spans="1:12" ht="12" customHeight="1" x14ac:dyDescent="0.2">
      <c r="A21" s="1835" t="s">
        <v>1528</v>
      </c>
      <c r="B21" s="1836"/>
      <c r="C21" s="1837" t="s">
        <v>2063</v>
      </c>
      <c r="D21" s="1837" t="s">
        <v>2063</v>
      </c>
      <c r="E21" s="1840"/>
      <c r="F21" s="1839" t="s">
        <v>2084</v>
      </c>
      <c r="H21" s="1850">
        <f t="shared" si="0"/>
        <v>5</v>
      </c>
      <c r="I21" s="1850">
        <f t="shared" si="1"/>
        <v>5</v>
      </c>
      <c r="J21" s="1850">
        <f t="shared" si="2"/>
        <v>0</v>
      </c>
    </row>
    <row r="22" spans="1:12" ht="12" customHeight="1" x14ac:dyDescent="0.2">
      <c r="A22" s="1835" t="s">
        <v>1529</v>
      </c>
      <c r="B22" s="1836"/>
      <c r="C22" s="1837" t="s">
        <v>2063</v>
      </c>
      <c r="D22" s="1837" t="s">
        <v>2063</v>
      </c>
      <c r="E22" s="1840"/>
      <c r="F22" s="1839" t="s">
        <v>2100</v>
      </c>
      <c r="H22" s="1850">
        <f t="shared" si="0"/>
        <v>5</v>
      </c>
      <c r="I22" s="1850">
        <f t="shared" si="1"/>
        <v>5</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t="s">
        <v>2063</v>
      </c>
      <c r="D24" s="1837" t="s">
        <v>2063</v>
      </c>
      <c r="E24" s="1840"/>
      <c r="F24" s="1839" t="s">
        <v>2085</v>
      </c>
      <c r="H24" s="1850">
        <f t="shared" si="0"/>
        <v>5</v>
      </c>
      <c r="I24" s="1850">
        <f t="shared" si="1"/>
        <v>5</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2063</v>
      </c>
      <c r="D26" s="1837" t="s">
        <v>2063</v>
      </c>
      <c r="E26" s="1840"/>
      <c r="F26" s="1839" t="s">
        <v>2077</v>
      </c>
      <c r="H26" s="1850">
        <f t="shared" si="0"/>
        <v>5</v>
      </c>
      <c r="I26" s="1850">
        <f t="shared" si="1"/>
        <v>5</v>
      </c>
      <c r="J26" s="1850">
        <f t="shared" si="2"/>
        <v>0</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t="s">
        <v>2063</v>
      </c>
      <c r="D28" s="1837" t="s">
        <v>2063</v>
      </c>
      <c r="E28" s="1840"/>
      <c r="F28" s="1839" t="s">
        <v>2085</v>
      </c>
      <c r="H28" s="1850">
        <f t="shared" si="0"/>
        <v>5</v>
      </c>
      <c r="I28" s="1850">
        <f t="shared" si="1"/>
        <v>5</v>
      </c>
      <c r="J28" s="1850">
        <f t="shared" si="2"/>
        <v>0</v>
      </c>
    </row>
    <row r="29" spans="1:12" ht="12" customHeight="1" x14ac:dyDescent="0.2">
      <c r="A29" s="1835" t="s">
        <v>1536</v>
      </c>
      <c r="B29" s="1836"/>
      <c r="C29" s="1837" t="s">
        <v>2063</v>
      </c>
      <c r="D29" s="1837" t="s">
        <v>2063</v>
      </c>
      <c r="E29" s="1840"/>
      <c r="F29" s="1839" t="s">
        <v>2086</v>
      </c>
      <c r="H29" s="1850">
        <f t="shared" si="0"/>
        <v>5</v>
      </c>
      <c r="I29" s="1850">
        <f t="shared" si="1"/>
        <v>5</v>
      </c>
      <c r="J29" s="1850">
        <f t="shared" si="2"/>
        <v>0</v>
      </c>
    </row>
    <row r="30" spans="1:12" ht="12" customHeight="1" x14ac:dyDescent="0.2">
      <c r="A30" s="1835" t="s">
        <v>1537</v>
      </c>
      <c r="B30" s="1836"/>
      <c r="C30" s="1837" t="s">
        <v>2063</v>
      </c>
      <c r="D30" s="1837" t="s">
        <v>2063</v>
      </c>
      <c r="E30" s="1840"/>
      <c r="F30" s="1839" t="s">
        <v>2087</v>
      </c>
      <c r="H30" s="1850">
        <f t="shared" si="0"/>
        <v>5</v>
      </c>
      <c r="I30" s="1850">
        <f t="shared" si="1"/>
        <v>5</v>
      </c>
      <c r="J30" s="1850">
        <f t="shared" si="2"/>
        <v>0</v>
      </c>
    </row>
    <row r="31" spans="1:12" ht="12" customHeight="1" x14ac:dyDescent="0.2">
      <c r="A31" s="1835" t="s">
        <v>1538</v>
      </c>
      <c r="B31" s="1836"/>
      <c r="C31" s="1837" t="s">
        <v>2063</v>
      </c>
      <c r="D31" s="1837" t="s">
        <v>2063</v>
      </c>
      <c r="E31" s="1840"/>
      <c r="F31" s="1839" t="s">
        <v>2080</v>
      </c>
      <c r="H31" s="1850">
        <f t="shared" si="0"/>
        <v>5</v>
      </c>
      <c r="I31" s="1850">
        <f t="shared" si="1"/>
        <v>5</v>
      </c>
      <c r="J31" s="1850">
        <f t="shared" si="2"/>
        <v>0</v>
      </c>
      <c r="L31" s="1841"/>
    </row>
    <row r="32" spans="1:12" ht="12" customHeight="1" x14ac:dyDescent="0.2">
      <c r="A32" s="1835" t="s">
        <v>1539</v>
      </c>
      <c r="B32" s="1836"/>
      <c r="C32" s="1837"/>
      <c r="D32" s="1837"/>
      <c r="E32" s="1840"/>
      <c r="F32" s="1839"/>
      <c r="H32" s="1850">
        <f t="shared" si="0"/>
        <v>0</v>
      </c>
      <c r="I32" s="1850">
        <f t="shared" si="1"/>
        <v>0</v>
      </c>
      <c r="J32" s="1850">
        <f t="shared" si="2"/>
        <v>0</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75</v>
      </c>
      <c r="I34" s="1850">
        <f>SUM(I11:I32)</f>
        <v>75</v>
      </c>
      <c r="J34" s="1850">
        <f>SUM(J11:J32)</f>
        <v>0</v>
      </c>
      <c r="K34" s="1850">
        <f>SUM(H34:J34)</f>
        <v>150</v>
      </c>
    </row>
    <row r="35" spans="1:11" ht="12" customHeight="1" x14ac:dyDescent="0.2">
      <c r="A35" s="1843" t="s">
        <v>1392</v>
      </c>
      <c r="B35" s="1844"/>
      <c r="C35" s="2510"/>
      <c r="D35" s="2510"/>
      <c r="E35" s="2510"/>
      <c r="F35" s="2511"/>
    </row>
    <row r="36" spans="1:11" ht="12" customHeight="1" x14ac:dyDescent="0.2">
      <c r="A36" s="2493"/>
      <c r="B36" s="2494"/>
      <c r="C36" s="2494"/>
      <c r="D36" s="2494"/>
      <c r="E36" s="2494"/>
      <c r="F36" s="2495"/>
    </row>
    <row r="37" spans="1:11" ht="12" customHeight="1" x14ac:dyDescent="0.2">
      <c r="A37" s="2493"/>
      <c r="B37" s="2494"/>
      <c r="C37" s="2494"/>
      <c r="D37" s="2494"/>
      <c r="E37" s="2494"/>
      <c r="F37" s="2495"/>
    </row>
    <row r="38" spans="1:11" ht="12" customHeight="1" x14ac:dyDescent="0.2">
      <c r="A38" s="2496"/>
      <c r="B38" s="2497"/>
      <c r="C38" s="2497"/>
      <c r="D38" s="2497"/>
      <c r="E38" s="2497"/>
      <c r="F38" s="2498"/>
    </row>
    <row r="39" spans="1:11" ht="4.5" hidden="1" customHeight="1" x14ac:dyDescent="0.2">
      <c r="A39" s="1845"/>
      <c r="B39" s="1845"/>
      <c r="C39" s="1845"/>
      <c r="D39" s="1845"/>
      <c r="E39" s="1845"/>
      <c r="F39" s="1845"/>
    </row>
    <row r="40" spans="1:11" s="1842" customFormat="1" ht="12" customHeight="1" x14ac:dyDescent="0.25">
      <c r="A40" s="1846" t="s">
        <v>1391</v>
      </c>
      <c r="B40" s="1847"/>
      <c r="C40" s="2499"/>
      <c r="D40" s="2499"/>
      <c r="E40" s="2499"/>
      <c r="F40" s="2500"/>
      <c r="H40" s="1851"/>
      <c r="I40" s="1851"/>
      <c r="J40" s="1851"/>
      <c r="K40" s="1851"/>
    </row>
    <row r="41" spans="1:11" s="1842" customFormat="1" ht="12" customHeight="1" x14ac:dyDescent="0.25">
      <c r="A41" s="2501"/>
      <c r="B41" s="2502"/>
      <c r="C41" s="2502"/>
      <c r="D41" s="2502"/>
      <c r="E41" s="2502"/>
      <c r="F41" s="2503"/>
      <c r="H41" s="1851"/>
      <c r="I41" s="1851"/>
      <c r="J41" s="1851"/>
      <c r="K41" s="1851"/>
    </row>
    <row r="42" spans="1:11" s="1842" customFormat="1" ht="12" customHeight="1" x14ac:dyDescent="0.25">
      <c r="A42" s="2501"/>
      <c r="B42" s="2502"/>
      <c r="C42" s="2502"/>
      <c r="D42" s="2502"/>
      <c r="E42" s="2502"/>
      <c r="F42" s="2503"/>
      <c r="H42" s="1851"/>
      <c r="I42" s="1851"/>
      <c r="J42" s="1851"/>
      <c r="K42" s="1851"/>
    </row>
    <row r="43" spans="1:11" s="1842" customFormat="1" ht="15" x14ac:dyDescent="0.25">
      <c r="A43" s="2490"/>
      <c r="B43" s="2491"/>
      <c r="C43" s="2491"/>
      <c r="D43" s="2491"/>
      <c r="E43" s="2491"/>
      <c r="F43" s="2492"/>
      <c r="H43" s="1851"/>
      <c r="I43" s="1851"/>
      <c r="J43" s="1851"/>
      <c r="K43" s="1851"/>
    </row>
    <row r="44" spans="1:11" s="1842" customFormat="1" ht="12" hidden="1" customHeight="1" x14ac:dyDescent="0.25">
      <c r="A44" s="2490"/>
      <c r="B44" s="2491"/>
      <c r="C44" s="2491"/>
      <c r="D44" s="2491"/>
      <c r="E44" s="2491"/>
      <c r="F44" s="2492"/>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66" t="s">
        <v>672</v>
      </c>
      <c r="B6" s="1616"/>
      <c r="C6" s="1616"/>
      <c r="D6" s="1616"/>
      <c r="E6" s="1617"/>
      <c r="F6" s="1012"/>
      <c r="G6" s="1006"/>
      <c r="H6" s="1013" t="s">
        <v>1028</v>
      </c>
      <c r="I6" s="2517" t="str">
        <f>COVER!A17</f>
        <v xml:space="preserve">Black Hawk Area Sp Ed District </v>
      </c>
      <c r="J6" s="2518"/>
      <c r="Q6" s="1638"/>
    </row>
    <row r="7" spans="1:17" x14ac:dyDescent="0.2">
      <c r="A7" s="2519" t="s">
        <v>869</v>
      </c>
      <c r="B7" s="2520"/>
      <c r="C7" s="2520"/>
      <c r="D7" s="2520"/>
      <c r="E7" s="2521"/>
      <c r="F7" s="1014"/>
      <c r="G7" s="1006"/>
      <c r="H7" s="1013" t="s">
        <v>372</v>
      </c>
      <c r="I7" s="2522">
        <f>COVER!A13</f>
        <v>49081865060</v>
      </c>
      <c r="J7" s="2522"/>
    </row>
    <row r="8" spans="1:17" ht="8.25" customHeight="1" x14ac:dyDescent="0.2">
      <c r="A8" s="1618"/>
      <c r="B8" s="1619"/>
      <c r="C8" s="1619"/>
      <c r="D8" s="1619"/>
      <c r="E8" s="1620"/>
      <c r="F8" s="1015"/>
      <c r="G8" s="1016"/>
      <c r="H8" s="1016"/>
      <c r="I8" s="1016"/>
      <c r="J8" s="1016"/>
    </row>
    <row r="9" spans="1:17" ht="13.5" customHeight="1" x14ac:dyDescent="0.2">
      <c r="A9" s="1017"/>
      <c r="B9" s="1018"/>
      <c r="C9" s="1018"/>
      <c r="D9" s="1019"/>
      <c r="E9" s="1867" t="s">
        <v>1972</v>
      </c>
      <c r="F9" s="1020"/>
      <c r="G9" s="1020"/>
      <c r="H9" s="1868" t="s">
        <v>1973</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523" t="s">
        <v>481</v>
      </c>
      <c r="B11" s="2524"/>
      <c r="C11" s="252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85">
        <f>'Expenditures 15-22'!K50</f>
        <v>428488</v>
      </c>
      <c r="F12" s="1036"/>
      <c r="G12" s="1785">
        <f t="shared" ref="G12:G18" si="0">SUM(E12:F12)</f>
        <v>428488</v>
      </c>
      <c r="H12" s="1037"/>
      <c r="I12" s="1036"/>
      <c r="J12" s="1785">
        <f t="shared" ref="J12:J18" si="1">SUM(H12:I12)</f>
        <v>0</v>
      </c>
    </row>
    <row r="13" spans="1:17" ht="15" customHeight="1" x14ac:dyDescent="0.2">
      <c r="A13" s="1032">
        <v>2</v>
      </c>
      <c r="B13" s="1033" t="s">
        <v>42</v>
      </c>
      <c r="C13" s="1034"/>
      <c r="D13" s="1035">
        <v>2330</v>
      </c>
      <c r="E13" s="1785">
        <f>'Expenditures 15-22'!K51</f>
        <v>0</v>
      </c>
      <c r="F13" s="1036"/>
      <c r="G13" s="1785">
        <f t="shared" si="0"/>
        <v>0</v>
      </c>
      <c r="H13" s="1037"/>
      <c r="I13" s="1036"/>
      <c r="J13" s="1785">
        <f t="shared" si="1"/>
        <v>0</v>
      </c>
    </row>
    <row r="14" spans="1:17" ht="15" customHeight="1" x14ac:dyDescent="0.2">
      <c r="A14" s="1032">
        <v>3</v>
      </c>
      <c r="B14" s="1033" t="s">
        <v>43</v>
      </c>
      <c r="C14" s="1034"/>
      <c r="D14" s="1038">
        <v>2490</v>
      </c>
      <c r="E14" s="1785">
        <f>'Expenditures 15-22'!K56</f>
        <v>0</v>
      </c>
      <c r="F14" s="1036"/>
      <c r="G14" s="1785">
        <f t="shared" si="0"/>
        <v>0</v>
      </c>
      <c r="H14" s="1037"/>
      <c r="I14" s="1036"/>
      <c r="J14" s="1785">
        <f t="shared" si="1"/>
        <v>0</v>
      </c>
    </row>
    <row r="15" spans="1:17" ht="15" customHeight="1" x14ac:dyDescent="0.2">
      <c r="A15" s="1032">
        <v>4</v>
      </c>
      <c r="B15" s="1033" t="s">
        <v>1068</v>
      </c>
      <c r="C15" s="1034"/>
      <c r="D15" s="1035">
        <v>2510</v>
      </c>
      <c r="E15" s="1785">
        <f>'Expenditures 15-22'!K59</f>
        <v>118320</v>
      </c>
      <c r="F15" s="1785">
        <f>'Expenditures 15-22'!K122</f>
        <v>0</v>
      </c>
      <c r="G15" s="1785">
        <f t="shared" si="0"/>
        <v>118320</v>
      </c>
      <c r="H15" s="1037"/>
      <c r="I15" s="1037"/>
      <c r="J15" s="1785">
        <f t="shared" si="1"/>
        <v>0</v>
      </c>
    </row>
    <row r="16" spans="1:17" ht="15" customHeight="1" x14ac:dyDescent="0.2">
      <c r="A16" s="1032">
        <v>5</v>
      </c>
      <c r="B16" s="1033" t="s">
        <v>101</v>
      </c>
      <c r="C16" s="1034"/>
      <c r="D16" s="1035">
        <v>2570</v>
      </c>
      <c r="E16" s="1785">
        <f>'Expenditures 15-22'!K64</f>
        <v>31325</v>
      </c>
      <c r="F16" s="1036"/>
      <c r="G16" s="1785">
        <f t="shared" si="0"/>
        <v>31325</v>
      </c>
      <c r="H16" s="1037"/>
      <c r="I16" s="1036"/>
      <c r="J16" s="1785">
        <f t="shared" si="1"/>
        <v>0</v>
      </c>
    </row>
    <row r="17" spans="1:10" ht="15" customHeight="1" x14ac:dyDescent="0.2">
      <c r="A17" s="1032">
        <v>6</v>
      </c>
      <c r="B17" s="1033" t="s">
        <v>1060</v>
      </c>
      <c r="C17" s="1034"/>
      <c r="D17" s="1035">
        <v>2610</v>
      </c>
      <c r="E17" s="1785">
        <f>'Expenditures 15-22'!K67</f>
        <v>0</v>
      </c>
      <c r="F17" s="1036"/>
      <c r="G17" s="1785">
        <f t="shared" si="0"/>
        <v>0</v>
      </c>
      <c r="H17" s="1037"/>
      <c r="I17" s="1036"/>
      <c r="J17" s="1785">
        <f t="shared" si="1"/>
        <v>0</v>
      </c>
    </row>
    <row r="18" spans="1:10" ht="22.5" customHeight="1" x14ac:dyDescent="0.2">
      <c r="A18" s="1039">
        <v>7</v>
      </c>
      <c r="B18" s="2526" t="s">
        <v>7</v>
      </c>
      <c r="C18" s="2527"/>
      <c r="D18" s="2528"/>
      <c r="E18" s="1040"/>
      <c r="F18" s="1040"/>
      <c r="G18" s="1786">
        <f t="shared" si="0"/>
        <v>0</v>
      </c>
      <c r="H18" s="1037"/>
      <c r="I18" s="1037"/>
      <c r="J18" s="1785">
        <f t="shared" si="1"/>
        <v>0</v>
      </c>
    </row>
    <row r="19" spans="1:10" ht="12.75" customHeight="1" thickBot="1" x14ac:dyDescent="0.25">
      <c r="A19" s="1032">
        <v>8</v>
      </c>
      <c r="B19" s="1041" t="s">
        <v>1161</v>
      </c>
      <c r="D19" s="1042"/>
      <c r="E19" s="1787">
        <f t="shared" ref="E19:J19" si="2">SUM(E12:E17)-E18</f>
        <v>578133</v>
      </c>
      <c r="F19" s="1787">
        <f t="shared" si="2"/>
        <v>0</v>
      </c>
      <c r="G19" s="1787">
        <f t="shared" si="2"/>
        <v>578133</v>
      </c>
      <c r="H19" s="1787">
        <f t="shared" si="2"/>
        <v>0</v>
      </c>
      <c r="I19" s="1787">
        <f t="shared" si="2"/>
        <v>0</v>
      </c>
      <c r="J19" s="1787">
        <f t="shared" si="2"/>
        <v>0</v>
      </c>
    </row>
    <row r="20" spans="1:10" ht="13.5" thickTop="1" x14ac:dyDescent="0.2">
      <c r="A20" s="1032">
        <v>9</v>
      </c>
      <c r="B20" s="2529" t="s">
        <v>1974</v>
      </c>
      <c r="C20" s="2529"/>
      <c r="D20" s="2530"/>
      <c r="E20" s="1043"/>
      <c r="F20" s="1043"/>
      <c r="G20" s="1043"/>
      <c r="H20" s="1043"/>
      <c r="I20" s="1043"/>
      <c r="J20" s="1788" t="str">
        <f>IF(AND(G19&gt;0,J19&gt;0),(((J19-G19)/G19)),"Enter Budget Data")</f>
        <v>Enter Budget Data</v>
      </c>
    </row>
    <row r="21" spans="1:10" ht="9" customHeight="1" x14ac:dyDescent="0.2">
      <c r="B21" s="1044"/>
    </row>
    <row r="22" spans="1:10" x14ac:dyDescent="0.2">
      <c r="A22" s="1045" t="s">
        <v>133</v>
      </c>
      <c r="B22" s="1044"/>
    </row>
    <row r="23" spans="1:10" x14ac:dyDescent="0.2">
      <c r="A23" s="1008" t="s">
        <v>1975</v>
      </c>
      <c r="B23" s="1044"/>
    </row>
    <row r="24" spans="1:10" x14ac:dyDescent="0.2">
      <c r="A24" s="1008" t="s">
        <v>1988</v>
      </c>
      <c r="B24" s="1044"/>
    </row>
    <row r="25" spans="1:10" x14ac:dyDescent="0.2">
      <c r="A25" s="1046"/>
      <c r="B25" s="1044"/>
    </row>
    <row r="26" spans="1:10" ht="20.100000000000001" customHeight="1" x14ac:dyDescent="0.2">
      <c r="B26" s="1044"/>
      <c r="C26" s="2535"/>
      <c r="D26" s="2535"/>
      <c r="E26" s="1047"/>
      <c r="F26" s="2534"/>
      <c r="G26" s="2534"/>
    </row>
    <row r="27" spans="1:10" x14ac:dyDescent="0.2">
      <c r="B27" s="1044"/>
      <c r="C27" s="1048" t="s">
        <v>1033</v>
      </c>
      <c r="D27" s="1049"/>
      <c r="E27" s="1050"/>
      <c r="F27" s="2531" t="s">
        <v>1508</v>
      </c>
      <c r="G27" s="2531"/>
    </row>
    <row r="28" spans="1:10" ht="28.5" customHeight="1" x14ac:dyDescent="0.2">
      <c r="B28" s="1044"/>
      <c r="C28" s="2533"/>
      <c r="D28" s="2533"/>
      <c r="E28" s="1051"/>
      <c r="F28" s="2533"/>
      <c r="G28" s="2533"/>
    </row>
    <row r="29" spans="1:10" x14ac:dyDescent="0.2">
      <c r="B29" s="1044"/>
      <c r="C29" s="1052" t="s">
        <v>1560</v>
      </c>
      <c r="E29" s="1053"/>
      <c r="F29" s="2532" t="s">
        <v>1509</v>
      </c>
      <c r="G29" s="253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514" t="s">
        <v>132</v>
      </c>
      <c r="D33" s="2515"/>
      <c r="E33" s="2515"/>
      <c r="F33" s="2515"/>
      <c r="G33" s="2515"/>
      <c r="H33" s="2515"/>
      <c r="I33" s="2515"/>
    </row>
    <row r="34" spans="1:10" ht="10.35" customHeight="1" x14ac:dyDescent="0.2">
      <c r="C34" s="2515"/>
      <c r="D34" s="2515"/>
      <c r="E34" s="2515"/>
      <c r="F34" s="2515"/>
      <c r="G34" s="2515"/>
      <c r="H34" s="2515"/>
      <c r="I34" s="2515"/>
    </row>
    <row r="35" spans="1:10" ht="7.5" customHeight="1" x14ac:dyDescent="0.2">
      <c r="C35" s="1059"/>
    </row>
    <row r="36" spans="1:10" ht="13.5" customHeight="1" x14ac:dyDescent="0.2">
      <c r="B36" s="1058"/>
      <c r="C36" s="2516" t="s">
        <v>1976</v>
      </c>
      <c r="D36" s="2515"/>
      <c r="E36" s="2515"/>
      <c r="F36" s="2515"/>
      <c r="G36" s="2515"/>
      <c r="H36" s="2515"/>
      <c r="I36" s="2515"/>
      <c r="J36" s="1060"/>
    </row>
    <row r="37" spans="1:10" ht="22.5" customHeight="1" x14ac:dyDescent="0.2">
      <c r="C37" s="2515"/>
      <c r="D37" s="2515"/>
      <c r="E37" s="2515"/>
      <c r="F37" s="2515"/>
      <c r="G37" s="2515"/>
      <c r="H37" s="2515"/>
      <c r="I37" s="2515"/>
      <c r="J37" s="1060"/>
    </row>
    <row r="38" spans="1:10" ht="7.5" customHeight="1" x14ac:dyDescent="0.2">
      <c r="C38" s="1059"/>
      <c r="D38" s="1061"/>
      <c r="E38" s="1062"/>
      <c r="F38" s="1063"/>
      <c r="G38" s="1062"/>
    </row>
    <row r="39" spans="1:10" ht="13.5" customHeight="1" x14ac:dyDescent="0.2">
      <c r="B39" s="1058"/>
      <c r="C39" s="2512" t="s">
        <v>882</v>
      </c>
      <c r="D39" s="2513"/>
      <c r="E39" s="2513"/>
      <c r="F39" s="2513"/>
      <c r="G39" s="2513"/>
      <c r="H39" s="2513"/>
      <c r="I39" s="251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2344</v>
      </c>
    </row>
    <row r="6" spans="1:2" x14ac:dyDescent="0.2">
      <c r="A6" s="1065">
        <v>2</v>
      </c>
      <c r="B6" s="329" t="s">
        <v>2345</v>
      </c>
    </row>
    <row r="7" spans="1:2" x14ac:dyDescent="0.2">
      <c r="A7" s="1065">
        <v>3</v>
      </c>
      <c r="B7" s="329" t="s">
        <v>2346</v>
      </c>
    </row>
    <row r="8" spans="1:2" x14ac:dyDescent="0.2">
      <c r="A8" s="1065">
        <v>4</v>
      </c>
      <c r="B8" s="329" t="s">
        <v>2347</v>
      </c>
    </row>
    <row r="9" spans="1:2" x14ac:dyDescent="0.2">
      <c r="A9" s="1065">
        <v>5</v>
      </c>
      <c r="B9" s="329" t="s">
        <v>2348</v>
      </c>
    </row>
    <row r="10" spans="1:2" x14ac:dyDescent="0.2">
      <c r="A10" s="1065">
        <v>6</v>
      </c>
      <c r="B10" s="329" t="s">
        <v>2349</v>
      </c>
    </row>
    <row r="11" spans="1:2" x14ac:dyDescent="0.2">
      <c r="A11" s="1065">
        <v>7</v>
      </c>
      <c r="B11" s="329" t="s">
        <v>2350</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 xml:space="preserve">Black Hawk Area Sp Ed District </v>
      </c>
    </row>
    <row r="65" spans="2:2" x14ac:dyDescent="0.2">
      <c r="B65" s="1067">
        <f>COVER!A13</f>
        <v>49081865060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1852</v>
      </c>
      <c r="C4" s="162" t="s">
        <v>1169</v>
      </c>
      <c r="D4" s="169" t="s">
        <v>10</v>
      </c>
      <c r="E4" s="170" t="s">
        <v>22</v>
      </c>
    </row>
    <row r="5" spans="1:5" x14ac:dyDescent="0.2">
      <c r="A5" s="168" t="s">
        <v>1854</v>
      </c>
      <c r="C5" s="162" t="s">
        <v>1169</v>
      </c>
      <c r="D5" s="169" t="s">
        <v>10</v>
      </c>
      <c r="E5" s="170" t="s">
        <v>22</v>
      </c>
    </row>
    <row r="6" spans="1:5" x14ac:dyDescent="0.2">
      <c r="A6" s="168" t="s">
        <v>1853</v>
      </c>
      <c r="C6" s="162" t="s">
        <v>1169</v>
      </c>
      <c r="D6" s="167" t="s">
        <v>11</v>
      </c>
      <c r="E6" s="170" t="s">
        <v>941</v>
      </c>
    </row>
    <row r="7" spans="1:5" x14ac:dyDescent="0.2">
      <c r="A7" s="168" t="s">
        <v>1855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1856</v>
      </c>
      <c r="C11" s="162" t="s">
        <v>1169</v>
      </c>
      <c r="D11" s="169" t="s">
        <v>14</v>
      </c>
      <c r="E11" s="170" t="s">
        <v>1156</v>
      </c>
    </row>
    <row r="12" spans="1:5" x14ac:dyDescent="0.2">
      <c r="B12" s="169" t="s">
        <v>1857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1858</v>
      </c>
      <c r="C15" s="162" t="s">
        <v>1169</v>
      </c>
      <c r="D15" s="169" t="s">
        <v>17</v>
      </c>
      <c r="E15" s="170" t="s">
        <v>636</v>
      </c>
    </row>
    <row r="16" spans="1:5" x14ac:dyDescent="0.2">
      <c r="A16" s="172"/>
      <c r="B16" s="162" t="s">
        <v>1859</v>
      </c>
      <c r="C16" s="162" t="s">
        <v>1169</v>
      </c>
      <c r="D16" s="169" t="s">
        <v>681</v>
      </c>
      <c r="E16" s="170" t="s">
        <v>1040</v>
      </c>
    </row>
    <row r="17" spans="1:5" x14ac:dyDescent="0.2">
      <c r="B17" s="167" t="s">
        <v>988</v>
      </c>
      <c r="C17" s="162" t="s">
        <v>1169</v>
      </c>
    </row>
    <row r="18" spans="1:5" x14ac:dyDescent="0.2">
      <c r="B18" s="167" t="s">
        <v>1865</v>
      </c>
      <c r="D18" s="169" t="s">
        <v>18</v>
      </c>
      <c r="E18" s="170" t="s">
        <v>1041</v>
      </c>
    </row>
    <row r="19" spans="1:5" x14ac:dyDescent="0.2">
      <c r="A19" s="168" t="s">
        <v>1099</v>
      </c>
      <c r="C19" s="162" t="s">
        <v>1169</v>
      </c>
      <c r="D19" s="169"/>
      <c r="E19" s="171"/>
    </row>
    <row r="20" spans="1:5" x14ac:dyDescent="0.2">
      <c r="B20" s="167" t="s">
        <v>1860</v>
      </c>
      <c r="C20" s="162" t="s">
        <v>1169</v>
      </c>
      <c r="D20" s="169" t="s">
        <v>19</v>
      </c>
      <c r="E20" s="170" t="s">
        <v>51</v>
      </c>
    </row>
    <row r="21" spans="1:5" x14ac:dyDescent="0.2">
      <c r="B21" s="167" t="s">
        <v>1861</v>
      </c>
      <c r="C21" s="162" t="s">
        <v>1169</v>
      </c>
      <c r="D21" s="169" t="s">
        <v>20</v>
      </c>
      <c r="E21" s="170" t="s">
        <v>1609</v>
      </c>
    </row>
    <row r="22" spans="1:5" x14ac:dyDescent="0.2">
      <c r="A22" s="168"/>
      <c r="B22" s="162" t="s">
        <v>1849</v>
      </c>
      <c r="C22" s="162" t="s">
        <v>1169</v>
      </c>
      <c r="D22" s="167" t="s">
        <v>1851</v>
      </c>
      <c r="E22" s="1810" t="s">
        <v>1610</v>
      </c>
    </row>
    <row r="23" spans="1:5" x14ac:dyDescent="0.2">
      <c r="A23" s="168"/>
      <c r="B23" s="162" t="s">
        <v>1850</v>
      </c>
      <c r="D23" s="167" t="s">
        <v>637</v>
      </c>
      <c r="E23" s="1810" t="s">
        <v>959</v>
      </c>
    </row>
    <row r="24" spans="1:5" x14ac:dyDescent="0.2">
      <c r="A24" s="168" t="s">
        <v>1608</v>
      </c>
      <c r="C24" s="162" t="s">
        <v>1169</v>
      </c>
      <c r="D24" s="167" t="s">
        <v>1393</v>
      </c>
      <c r="E24" s="170" t="s">
        <v>960</v>
      </c>
    </row>
    <row r="25" spans="1:5" x14ac:dyDescent="0.2">
      <c r="A25" s="168" t="s">
        <v>1862</v>
      </c>
      <c r="C25" s="162" t="s">
        <v>1169</v>
      </c>
      <c r="D25" s="169" t="s">
        <v>21</v>
      </c>
      <c r="E25" s="170" t="s">
        <v>1042</v>
      </c>
    </row>
    <row r="26" spans="1:5" x14ac:dyDescent="0.2">
      <c r="A26" s="168" t="s">
        <v>1863</v>
      </c>
      <c r="C26" s="162" t="s">
        <v>1169</v>
      </c>
      <c r="D26" s="169" t="s">
        <v>563</v>
      </c>
      <c r="E26" s="170" t="s">
        <v>1043</v>
      </c>
    </row>
    <row r="27" spans="1:5" x14ac:dyDescent="0.2">
      <c r="A27" s="168" t="s">
        <v>1864</v>
      </c>
      <c r="C27" s="162" t="s">
        <v>1169</v>
      </c>
      <c r="D27" s="169" t="s">
        <v>557</v>
      </c>
      <c r="E27" s="170" t="s">
        <v>683</v>
      </c>
    </row>
    <row r="28" spans="1:5" x14ac:dyDescent="0.2">
      <c r="A28" s="168" t="s">
        <v>1866</v>
      </c>
      <c r="D28" s="169" t="s">
        <v>684</v>
      </c>
      <c r="E28" s="170" t="s">
        <v>1366</v>
      </c>
    </row>
    <row r="29" spans="1:5" x14ac:dyDescent="0.2">
      <c r="A29" s="168" t="s">
        <v>1867</v>
      </c>
      <c r="D29" s="169" t="s">
        <v>1394</v>
      </c>
      <c r="E29" s="170" t="s">
        <v>1375</v>
      </c>
    </row>
    <row r="30" spans="1:5" x14ac:dyDescent="0.2">
      <c r="A30" s="173" t="s">
        <v>1868</v>
      </c>
      <c r="C30" s="162" t="s">
        <v>1169</v>
      </c>
      <c r="D30" s="169" t="s">
        <v>40</v>
      </c>
      <c r="E30" s="170" t="s">
        <v>982</v>
      </c>
    </row>
    <row r="31" spans="1:5" x14ac:dyDescent="0.2">
      <c r="A31" s="168" t="s">
        <v>1520</v>
      </c>
      <c r="C31" s="162" t="s">
        <v>1169</v>
      </c>
      <c r="D31" s="167"/>
      <c r="E31" s="171"/>
    </row>
    <row r="32" spans="1:5" x14ac:dyDescent="0.2">
      <c r="B32" s="167" t="s">
        <v>1869</v>
      </c>
      <c r="C32" s="162" t="s">
        <v>1169</v>
      </c>
      <c r="D32" s="169" t="s">
        <v>1521</v>
      </c>
      <c r="E32" s="170" t="s">
        <v>1395</v>
      </c>
    </row>
    <row r="33" spans="1:5" x14ac:dyDescent="0.2">
      <c r="A33" s="172"/>
      <c r="D33" s="169"/>
      <c r="E33" s="171"/>
    </row>
    <row r="34" spans="1:5" x14ac:dyDescent="0.2">
      <c r="A34" s="172"/>
      <c r="D34" s="169"/>
      <c r="E34" s="171"/>
    </row>
    <row r="35" spans="1:5" ht="15.75" customHeight="1" thickBot="1" x14ac:dyDescent="0.25">
      <c r="A35" s="2253" t="s">
        <v>1065</v>
      </c>
      <c r="B35" s="2253"/>
      <c r="C35" s="2253"/>
      <c r="D35" s="2253"/>
      <c r="E35" s="22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50" t="s">
        <v>691</v>
      </c>
      <c r="B40" s="2250"/>
      <c r="C40" s="2250"/>
      <c r="D40" s="2250"/>
      <c r="E40" s="2250"/>
    </row>
    <row r="41" spans="1:5" x14ac:dyDescent="0.2">
      <c r="A41" s="2251" t="s">
        <v>1607</v>
      </c>
      <c r="B41" s="2251"/>
      <c r="C41" s="2251"/>
      <c r="D41" s="2251"/>
      <c r="E41" s="2251"/>
    </row>
    <row r="42" spans="1:5" ht="12.75" customHeight="1" x14ac:dyDescent="0.2">
      <c r="A42" s="2252" t="s">
        <v>1022</v>
      </c>
      <c r="B42" s="2252"/>
      <c r="C42" s="2252"/>
      <c r="D42" s="2252"/>
      <c r="E42" s="2252"/>
    </row>
    <row r="43" spans="1:5" ht="6.75" customHeight="1" x14ac:dyDescent="0.2">
      <c r="A43" s="167"/>
      <c r="B43" s="176"/>
    </row>
    <row r="44" spans="1:5" x14ac:dyDescent="0.2">
      <c r="A44" s="185" t="s">
        <v>983</v>
      </c>
      <c r="B44" s="186" t="s">
        <v>1895</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59" t="s">
        <v>1770</v>
      </c>
    </row>
    <row r="60" spans="1:3" x14ac:dyDescent="0.2">
      <c r="A60" s="196"/>
      <c r="B60" s="1459" t="s">
        <v>1771</v>
      </c>
    </row>
    <row r="61" spans="1:3" ht="6" customHeight="1" x14ac:dyDescent="0.2">
      <c r="A61" s="197"/>
      <c r="B61" s="189"/>
    </row>
    <row r="62" spans="1:3" x14ac:dyDescent="0.2">
      <c r="A62" s="169" t="s">
        <v>1615</v>
      </c>
      <c r="B62" s="198" t="s">
        <v>1767</v>
      </c>
    </row>
    <row r="63" spans="1:3" x14ac:dyDescent="0.2">
      <c r="A63" s="188"/>
      <c r="B63" s="169" t="s">
        <v>1782</v>
      </c>
    </row>
    <row r="64" spans="1:3" x14ac:dyDescent="0.2">
      <c r="A64" s="195"/>
      <c r="B64" s="1461"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60" t="s">
        <v>1618</v>
      </c>
    </row>
    <row r="72" spans="1:9" ht="9" customHeight="1" x14ac:dyDescent="0.2">
      <c r="A72" s="192"/>
      <c r="B72" s="199"/>
    </row>
    <row r="73" spans="1:9" x14ac:dyDescent="0.2">
      <c r="A73" s="189" t="s">
        <v>1619</v>
      </c>
      <c r="B73" s="169" t="s">
        <v>1778</v>
      </c>
    </row>
    <row r="74" spans="1:9" x14ac:dyDescent="0.2">
      <c r="A74" s="189"/>
      <c r="B74" s="169" t="s">
        <v>1777</v>
      </c>
    </row>
    <row r="75" spans="1:9" ht="8.25" customHeight="1" x14ac:dyDescent="0.2">
      <c r="A75" s="189"/>
      <c r="B75" s="189"/>
    </row>
    <row r="76" spans="1:9" ht="12.2" customHeight="1" x14ac:dyDescent="0.2">
      <c r="A76" s="189" t="s">
        <v>1620</v>
      </c>
      <c r="B76" s="198" t="s">
        <v>1779</v>
      </c>
    </row>
    <row r="77" spans="1:9" ht="12.2" customHeight="1" x14ac:dyDescent="0.2">
      <c r="A77" s="190"/>
      <c r="B77" s="169" t="s">
        <v>1621</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857</v>
      </c>
    </row>
    <row r="16" spans="1:6" s="1068" customFormat="1" ht="45" customHeight="1" x14ac:dyDescent="0.2">
      <c r="A16" s="1070"/>
      <c r="B16" s="1070" t="s">
        <v>1683</v>
      </c>
    </row>
    <row r="17" spans="1:2" ht="6" customHeight="1" x14ac:dyDescent="0.2"/>
    <row r="18" spans="1:2" ht="24.75" customHeight="1" x14ac:dyDescent="0.2">
      <c r="A18" s="2536" t="s">
        <v>1684</v>
      </c>
      <c r="B18" s="25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8129" r:id="rId4"/>
      </mc:Fallback>
    </mc:AlternateContent>
    <mc:AlternateContent xmlns:mc="http://schemas.openxmlformats.org/markup-compatibility/2006">
      <mc:Choice Requires="x14">
        <oleObject progId="Acrobat Document" dvAspect="DVASPECT_ICON" shapeId="48130" r:id="rId6">
          <objectPr defaultSize="0" r:id="rId7">
            <anchor moveWithCells="1">
              <from>
                <xdr:col>1</xdr:col>
                <xdr:colOff>1085850</xdr:colOff>
                <xdr:row>1</xdr:row>
                <xdr:rowOff>0</xdr:rowOff>
              </from>
              <to>
                <xdr:col>1</xdr:col>
                <xdr:colOff>1990725</xdr:colOff>
                <xdr:row>5</xdr:row>
                <xdr:rowOff>38100</xdr:rowOff>
              </to>
            </anchor>
          </objectPr>
        </oleObject>
      </mc:Choice>
      <mc:Fallback>
        <oleObject progId="Acrobat Document" dvAspect="DVASPECT_ICON" shapeId="4813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37" t="s">
        <v>1689</v>
      </c>
      <c r="B1" s="2538"/>
      <c r="C1" s="2538"/>
      <c r="D1" s="2538"/>
      <c r="E1" s="2538"/>
      <c r="F1" s="2539"/>
    </row>
    <row r="2" spans="1:8" ht="45" customHeight="1" x14ac:dyDescent="0.2">
      <c r="A2" s="2547" t="s">
        <v>1980</v>
      </c>
      <c r="B2" s="2548"/>
      <c r="C2" s="2548"/>
      <c r="D2" s="2548"/>
      <c r="E2" s="2548"/>
      <c r="F2" s="2549"/>
      <c r="G2" s="1071"/>
      <c r="H2" s="1071"/>
    </row>
    <row r="3" spans="1:8" ht="57" customHeight="1" x14ac:dyDescent="0.2">
      <c r="A3" s="2550" t="s">
        <v>1685</v>
      </c>
      <c r="B3" s="2551"/>
      <c r="C3" s="2551"/>
      <c r="D3" s="2551"/>
      <c r="E3" s="2551"/>
      <c r="F3" s="2552"/>
      <c r="G3" s="1071"/>
      <c r="H3" s="1071"/>
    </row>
    <row r="4" spans="1:8" ht="14.25" customHeight="1" x14ac:dyDescent="0.2">
      <c r="A4" s="2556" t="s">
        <v>1981</v>
      </c>
      <c r="B4" s="2557"/>
      <c r="C4" s="2557"/>
      <c r="D4" s="2557"/>
      <c r="E4" s="2557"/>
      <c r="F4" s="2558"/>
      <c r="G4" s="1071"/>
      <c r="H4" s="1071"/>
    </row>
    <row r="5" spans="1:8" ht="14.25" customHeight="1" x14ac:dyDescent="0.2">
      <c r="A5" s="2559" t="s">
        <v>1977</v>
      </c>
      <c r="B5" s="2560"/>
      <c r="C5" s="2560"/>
      <c r="D5" s="2560"/>
      <c r="E5" s="2560"/>
      <c r="F5" s="2561"/>
      <c r="G5" s="1071"/>
      <c r="H5" s="1071"/>
    </row>
    <row r="6" spans="1:8" s="1072" customFormat="1" ht="41.25" customHeight="1" x14ac:dyDescent="0.2">
      <c r="A6" s="2553" t="s">
        <v>1690</v>
      </c>
      <c r="B6" s="2554"/>
      <c r="C6" s="2554"/>
      <c r="D6" s="2554"/>
      <c r="E6" s="2554"/>
      <c r="F6" s="2555"/>
    </row>
    <row r="7" spans="1:8" ht="42" customHeight="1" x14ac:dyDescent="0.2">
      <c r="A7" s="1073" t="s">
        <v>481</v>
      </c>
      <c r="B7" s="1074" t="s">
        <v>1495</v>
      </c>
      <c r="C7" s="1074" t="s">
        <v>1496</v>
      </c>
      <c r="D7" s="1074" t="s">
        <v>1494</v>
      </c>
      <c r="E7" s="1074" t="s">
        <v>1497</v>
      </c>
      <c r="F7" s="1074" t="s">
        <v>1367</v>
      </c>
    </row>
    <row r="8" spans="1:8" s="1076" customFormat="1" ht="14.25" customHeight="1" x14ac:dyDescent="0.2">
      <c r="A8" s="1075" t="s">
        <v>1368</v>
      </c>
      <c r="B8" s="1789">
        <f>'Acct Summary 7-8'!C8</f>
        <v>17062070</v>
      </c>
      <c r="C8" s="1789">
        <f>'Acct Summary 7-8'!D8</f>
        <v>0</v>
      </c>
      <c r="D8" s="1789">
        <f>'Acct Summary 7-8'!F8</f>
        <v>43618</v>
      </c>
      <c r="E8" s="1789">
        <f>'Acct Summary 7-8'!I8</f>
        <v>0</v>
      </c>
      <c r="F8" s="1789">
        <f>SUM(B8:E8)</f>
        <v>17105688</v>
      </c>
    </row>
    <row r="9" spans="1:8" s="1076" customFormat="1" ht="14.25" customHeight="1" thickBot="1" x14ac:dyDescent="0.25">
      <c r="A9" s="1075" t="s">
        <v>1369</v>
      </c>
      <c r="B9" s="1790">
        <f>'Acct Summary 7-8'!C17</f>
        <v>16902768</v>
      </c>
      <c r="C9" s="1790">
        <f>'Acct Summary 7-8'!D17</f>
        <v>49054</v>
      </c>
      <c r="D9" s="1790">
        <f>'Acct Summary 7-8'!F17</f>
        <v>64400</v>
      </c>
      <c r="E9" s="1789"/>
      <c r="F9" s="1789">
        <f>SUM(B9:E9)</f>
        <v>17016222</v>
      </c>
    </row>
    <row r="10" spans="1:8" s="1076" customFormat="1" ht="14.25" thickTop="1" thickBot="1" x14ac:dyDescent="0.25">
      <c r="A10" s="1077" t="s">
        <v>1370</v>
      </c>
      <c r="B10" s="1791">
        <f>(B8-B9)</f>
        <v>159302</v>
      </c>
      <c r="C10" s="1791">
        <f>(C8-C9)</f>
        <v>-49054</v>
      </c>
      <c r="D10" s="1791">
        <f>(D8-D9)</f>
        <v>-20782</v>
      </c>
      <c r="E10" s="1790">
        <f>(E8-E9)</f>
        <v>0</v>
      </c>
      <c r="F10" s="1792">
        <f>SUM(F8-F9)</f>
        <v>89466</v>
      </c>
    </row>
    <row r="11" spans="1:8" s="1076" customFormat="1" ht="14.25" thickTop="1" thickBot="1" x14ac:dyDescent="0.25">
      <c r="A11" s="1078" t="s">
        <v>1978</v>
      </c>
      <c r="B11" s="1793">
        <f>'Acct Summary 7-8'!C81</f>
        <v>2401934</v>
      </c>
      <c r="C11" s="1793">
        <f>'Acct Summary 7-8'!D81</f>
        <v>62965</v>
      </c>
      <c r="D11" s="1793">
        <f>'Acct Summary 7-8'!F81</f>
        <v>18376</v>
      </c>
      <c r="E11" s="1793">
        <f>'Acct Summary 7-8'!I81</f>
        <v>0</v>
      </c>
      <c r="F11" s="1794">
        <f>SUM(B11:E11)</f>
        <v>2483275</v>
      </c>
    </row>
    <row r="12" spans="1:8" ht="16.5" customHeight="1" thickTop="1" x14ac:dyDescent="0.2">
      <c r="A12" s="1079"/>
      <c r="B12" s="1080"/>
      <c r="C12" s="2541" t="str">
        <f>IF(AND(F10&lt;0,F11&gt;=0,ABS(F10*3)&gt;ABS(F11)),A16,IF(AND(F10&lt;0,F11&gt;0,ABS(F10*3)&lt;=ABS(F11)),A17,IF(AND(F10&lt;0,F11&lt;0),A16,IF(F11=0,A19,A18))))</f>
        <v>Balanced - no deficit reduction plan is required.</v>
      </c>
      <c r="D12" s="2542"/>
      <c r="E12" s="2542"/>
      <c r="F12" s="2543"/>
    </row>
    <row r="13" spans="1:8" ht="19.5" customHeight="1" x14ac:dyDescent="0.2">
      <c r="A13" s="1081"/>
      <c r="B13" s="1082"/>
      <c r="C13" s="2541"/>
      <c r="D13" s="2542"/>
      <c r="E13" s="2542"/>
      <c r="F13" s="2543"/>
      <c r="H13" s="1071"/>
    </row>
    <row r="14" spans="1:8" ht="19.5" customHeight="1" x14ac:dyDescent="0.2">
      <c r="A14" s="1081"/>
      <c r="B14" s="1082"/>
      <c r="C14" s="2541"/>
      <c r="D14" s="2542"/>
      <c r="E14" s="2542"/>
      <c r="F14" s="2543"/>
      <c r="H14" s="1071"/>
    </row>
    <row r="15" spans="1:8" ht="17.25" customHeight="1" x14ac:dyDescent="0.2">
      <c r="A15" s="1081"/>
      <c r="B15" s="1082"/>
      <c r="C15" s="2544"/>
      <c r="D15" s="2545"/>
      <c r="E15" s="2545"/>
      <c r="F15" s="2546"/>
      <c r="H15" s="1071"/>
    </row>
    <row r="16" spans="1:8" s="310" customFormat="1" ht="51.75" hidden="1" customHeight="1" x14ac:dyDescent="0.2">
      <c r="A16" s="2540" t="s">
        <v>1686</v>
      </c>
      <c r="B16" s="2540"/>
      <c r="C16" s="2540"/>
      <c r="D16" s="2540"/>
      <c r="E16" s="2540"/>
      <c r="F16" s="310" t="s">
        <v>1371</v>
      </c>
    </row>
    <row r="17" spans="1:6" hidden="1" x14ac:dyDescent="0.2">
      <c r="A17" s="316" t="s">
        <v>1687</v>
      </c>
      <c r="F17" s="1083"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69"/>
      <c r="B2" s="1870"/>
      <c r="C2" s="1871"/>
      <c r="D2" s="1872"/>
    </row>
    <row r="3" spans="1:4" ht="36" customHeight="1" x14ac:dyDescent="0.2">
      <c r="A3" s="2562" t="s">
        <v>665</v>
      </c>
      <c r="B3" s="2563"/>
      <c r="C3" s="2563"/>
      <c r="D3" s="2564"/>
    </row>
    <row r="4" spans="1:4" x14ac:dyDescent="0.2">
      <c r="A4" s="1149" t="s">
        <v>1691</v>
      </c>
      <c r="B4" s="1150"/>
      <c r="C4" s="1151"/>
      <c r="D4" s="1152"/>
    </row>
    <row r="5" spans="1:4" ht="21" customHeight="1" x14ac:dyDescent="0.2">
      <c r="A5" s="1145"/>
      <c r="B5" s="1146">
        <v>1</v>
      </c>
      <c r="C5" s="1147" t="s">
        <v>1829</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73" t="s">
        <v>1503</v>
      </c>
      <c r="D7" s="2574"/>
    </row>
    <row r="8" spans="1:4" s="665" customFormat="1" ht="12.75" x14ac:dyDescent="0.2">
      <c r="A8" s="1135"/>
      <c r="B8" s="1090"/>
      <c r="C8" s="1093" t="s">
        <v>1502</v>
      </c>
      <c r="D8" s="1094"/>
    </row>
    <row r="9" spans="1:4" s="665" customFormat="1" ht="14.25" customHeight="1" x14ac:dyDescent="0.2">
      <c r="A9" s="1135"/>
      <c r="B9" s="1090">
        <f>B7+1</f>
        <v>4</v>
      </c>
      <c r="C9" s="1091" t="s">
        <v>1906</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1504</v>
      </c>
      <c r="D14" s="1134"/>
    </row>
    <row r="15" spans="1:4" s="665" customFormat="1" ht="21.75" customHeight="1" x14ac:dyDescent="0.2">
      <c r="A15" s="2565" t="s">
        <v>1008</v>
      </c>
      <c r="B15" s="2566"/>
      <c r="C15" s="2566"/>
      <c r="D15" s="2567"/>
    </row>
    <row r="16" spans="1:4" s="665" customFormat="1" ht="24" customHeight="1" x14ac:dyDescent="0.2">
      <c r="A16" s="2568" t="s">
        <v>663</v>
      </c>
      <c r="B16" s="2569"/>
      <c r="C16" s="2569"/>
      <c r="D16" s="2570"/>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710</v>
      </c>
    </row>
    <row r="21" spans="1:10" x14ac:dyDescent="0.2">
      <c r="A21" s="1095"/>
      <c r="B21" s="1096">
        <v>1</v>
      </c>
      <c r="C21" s="2577" t="s">
        <v>314</v>
      </c>
      <c r="D21" s="2578"/>
    </row>
    <row r="22" spans="1:10" ht="12.75" x14ac:dyDescent="0.2">
      <c r="A22" s="1136"/>
      <c r="B22" s="1137">
        <v>2</v>
      </c>
      <c r="C22" s="2575" t="s">
        <v>1523</v>
      </c>
      <c r="D22" s="2576"/>
    </row>
    <row r="23" spans="1:10" ht="12.2" customHeight="1" x14ac:dyDescent="0.2">
      <c r="A23" s="1136"/>
      <c r="B23" s="1137"/>
      <c r="C23" s="1138" t="s">
        <v>954</v>
      </c>
      <c r="D23" s="1139" t="str">
        <f>IF(COVER!O11="X","CASH",IF(COVER!O12="X","ACCRUAL ","PLEASE CHECK AN ACCOUNTING BASIS."))</f>
        <v xml:space="preserve">ACCRUAL </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79" t="s">
        <v>536</v>
      </c>
      <c r="D43" s="258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71" t="s">
        <v>784</v>
      </c>
      <c r="D56" s="257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1907</v>
      </c>
      <c r="D66" s="1122"/>
    </row>
    <row r="67" spans="1:4" x14ac:dyDescent="0.2">
      <c r="A67" s="1116"/>
      <c r="B67" s="1137"/>
      <c r="C67" s="1144" t="s">
        <v>1021</v>
      </c>
      <c r="D67" s="1122"/>
    </row>
    <row r="68" spans="1:4" x14ac:dyDescent="0.2">
      <c r="A68" s="1097"/>
      <c r="B68" s="1107"/>
      <c r="C68" s="1099" t="s">
        <v>1908</v>
      </c>
      <c r="D68" s="1121" t="str">
        <f>IF('Short-Term Long-Term Debt 24'!F49=SUM(,'Acct Summary 7-8'!C33:K33),"OK","ERROR!")</f>
        <v>OK</v>
      </c>
    </row>
    <row r="69" spans="1:4" x14ac:dyDescent="0.2">
      <c r="A69" s="1097"/>
      <c r="B69" s="1107"/>
      <c r="C69" s="1099" t="s">
        <v>1909</v>
      </c>
      <c r="D69" s="1121" t="str">
        <f>IF('Expenditures 15-22'!H170&lt;&gt;'Short-Term Long-Term Debt 24'!H49,"ERROR!","OK")</f>
        <v>OK</v>
      </c>
    </row>
    <row r="70" spans="1:4" x14ac:dyDescent="0.2">
      <c r="A70" s="1095"/>
      <c r="B70" s="1117">
        <f>B66+1</f>
        <v>9</v>
      </c>
      <c r="C70" s="2571" t="s">
        <v>1695</v>
      </c>
      <c r="D70" s="257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1910</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1911</v>
      </c>
      <c r="D78" s="1121" t="str">
        <f>IF(ISNUMBER('Acct Summary 7-8'!C9),"OK","ENTRY IS REQUIRED!")</f>
        <v>OK</v>
      </c>
    </row>
    <row r="79" spans="1:4" x14ac:dyDescent="0.2">
      <c r="A79" s="1116"/>
      <c r="B79" s="1117">
        <f>B74+1+1</f>
        <v>12</v>
      </c>
      <c r="C79" s="1127" t="s">
        <v>1896</v>
      </c>
      <c r="D79" s="1128" t="str">
        <f>IF(OR(COVER!$B$6="X",'PCTC-OEPP 27-28'!F78&gt;0),"OK","PLEASE ENTER 9 MO ADA.")</f>
        <v>OK</v>
      </c>
    </row>
    <row r="80" spans="1:4" x14ac:dyDescent="0.2">
      <c r="A80" s="1095"/>
      <c r="B80" s="1117">
        <v>13</v>
      </c>
      <c r="C80" s="1127" t="s">
        <v>1912</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49081865060</v>
      </c>
    </row>
    <row r="3" spans="1:2" x14ac:dyDescent="0.2">
      <c r="A3" t="s">
        <v>956</v>
      </c>
      <c r="B3" s="138" t="str">
        <f>COVER!A15</f>
        <v>Rock Island</v>
      </c>
    </row>
    <row r="4" spans="1:2" x14ac:dyDescent="0.2">
      <c r="A4" t="s">
        <v>1007</v>
      </c>
      <c r="B4" s="138" t="str">
        <f>COVER!A17</f>
        <v xml:space="preserve">Black Hawk Area Sp Ed District </v>
      </c>
    </row>
    <row r="5" spans="1:2" x14ac:dyDescent="0.2">
      <c r="A5" t="s">
        <v>704</v>
      </c>
      <c r="B5" s="138" t="str">
        <f>COVER!A38</f>
        <v>Christan Schrader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4650823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40890</v>
      </c>
      <c r="D86" s="2" t="str">
        <f t="shared" si="0"/>
        <v>Error?</v>
      </c>
    </row>
    <row r="87" spans="1:4" x14ac:dyDescent="0.2">
      <c r="A87" s="10">
        <v>26</v>
      </c>
      <c r="D87" s="2" t="str">
        <f t="shared" si="0"/>
        <v>OK</v>
      </c>
    </row>
    <row r="88" spans="1:4" x14ac:dyDescent="0.2">
      <c r="A88" s="5">
        <v>27</v>
      </c>
      <c r="B88" s="138">
        <f>'Assets-Liab 5-6'!C32</f>
        <v>25397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2248889</v>
      </c>
      <c r="C91" s="2" t="s">
        <v>573</v>
      </c>
      <c r="D91" s="2" t="str">
        <f t="shared" si="0"/>
        <v>Error?</v>
      </c>
    </row>
    <row r="92" spans="1:4" x14ac:dyDescent="0.2">
      <c r="A92" s="5">
        <v>31</v>
      </c>
      <c r="B92" s="138">
        <f>'Assets-Liab 5-6'!C39</f>
        <v>2401934</v>
      </c>
      <c r="D92" s="2" t="str">
        <f t="shared" si="0"/>
        <v>Error?</v>
      </c>
    </row>
    <row r="93" spans="1:4" x14ac:dyDescent="0.2">
      <c r="A93" s="5">
        <v>32</v>
      </c>
      <c r="B93" s="138">
        <f>'Assets-Liab 5-6'!C41</f>
        <v>4650823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72914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9949</v>
      </c>
      <c r="C122" s="2" t="s">
        <v>573</v>
      </c>
      <c r="D122" s="2" t="str">
        <f t="shared" si="0"/>
        <v>Error?</v>
      </c>
    </row>
    <row r="123" spans="1:4" x14ac:dyDescent="0.2">
      <c r="A123" s="5">
        <v>62</v>
      </c>
      <c r="B123" s="138">
        <f>'Assets-Liab 5-6'!D39</f>
        <v>62965</v>
      </c>
      <c r="D123" s="2" t="str">
        <f t="shared" si="0"/>
        <v>Error?</v>
      </c>
    </row>
    <row r="124" spans="1:4" x14ac:dyDescent="0.2">
      <c r="A124" s="5">
        <v>63</v>
      </c>
      <c r="B124" s="138">
        <f>'Assets-Liab 5-6'!D41</f>
        <v>72914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21078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2702</v>
      </c>
      <c r="C169" s="2" t="s">
        <v>573</v>
      </c>
      <c r="D169" s="2" t="str">
        <f t="shared" si="1"/>
        <v>Error?</v>
      </c>
    </row>
    <row r="170" spans="1:4" x14ac:dyDescent="0.2">
      <c r="A170" s="5">
        <v>109</v>
      </c>
      <c r="B170" s="138">
        <f>'Assets-Liab 5-6'!F39</f>
        <v>18376</v>
      </c>
      <c r="D170" s="2" t="str">
        <f t="shared" si="1"/>
        <v>Error?</v>
      </c>
    </row>
    <row r="171" spans="1:4" x14ac:dyDescent="0.2">
      <c r="A171" s="5">
        <v>110</v>
      </c>
      <c r="B171" s="138">
        <f>'Assets-Liab 5-6'!F41</f>
        <v>21078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26901</v>
      </c>
      <c r="D273" s="2" t="str">
        <f t="shared" si="3"/>
        <v>Error?</v>
      </c>
    </row>
    <row r="274" spans="1:4" x14ac:dyDescent="0.2">
      <c r="A274" s="5">
        <v>213</v>
      </c>
      <c r="B274" s="138">
        <f>'Assets-Liab 5-6'!M17</f>
        <v>3077120</v>
      </c>
      <c r="D274" s="2" t="str">
        <f t="shared" si="3"/>
        <v>Error?</v>
      </c>
    </row>
    <row r="275" spans="1:4" x14ac:dyDescent="0.2">
      <c r="A275" s="5">
        <v>214</v>
      </c>
      <c r="B275" s="138">
        <f>'Assets-Liab 5-6'!M18</f>
        <v>1202186</v>
      </c>
      <c r="D275" s="2" t="str">
        <f t="shared" si="3"/>
        <v>Error?</v>
      </c>
    </row>
    <row r="276" spans="1:4" x14ac:dyDescent="0.2">
      <c r="A276" s="5">
        <v>215</v>
      </c>
      <c r="B276" s="138">
        <f>'Assets-Liab 5-6'!M19</f>
        <v>923534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5239690</v>
      </c>
      <c r="C279" s="2" t="s">
        <v>573</v>
      </c>
      <c r="D279" s="2" t="str">
        <f t="shared" si="3"/>
        <v>Error?</v>
      </c>
    </row>
    <row r="280" spans="1:4" x14ac:dyDescent="0.2">
      <c r="A280" s="5">
        <v>219</v>
      </c>
      <c r="B280" s="138">
        <f>'Assets-Liab 5-6'!M40</f>
        <v>5239690</v>
      </c>
      <c r="D280" s="2" t="str">
        <f t="shared" si="3"/>
        <v>Error?</v>
      </c>
    </row>
    <row r="281" spans="1:4" x14ac:dyDescent="0.2">
      <c r="A281" s="5">
        <v>220</v>
      </c>
      <c r="B281" s="138">
        <f>'Assets-Liab 5-6'!M41</f>
        <v>5239690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104140</v>
      </c>
      <c r="D719" s="2" t="str">
        <f t="shared" si="10"/>
        <v>Error?</v>
      </c>
    </row>
    <row r="720" spans="1:4" x14ac:dyDescent="0.2">
      <c r="A720" s="5">
        <v>659</v>
      </c>
      <c r="B720" s="138">
        <f>'Expenditures 15-22'!C33</f>
        <v>3346434</v>
      </c>
      <c r="C720" s="2" t="s">
        <v>573</v>
      </c>
      <c r="D720" s="2" t="str">
        <f t="shared" si="10"/>
        <v>Error?</v>
      </c>
    </row>
    <row r="721" spans="1:4" x14ac:dyDescent="0.2">
      <c r="A721" s="5">
        <v>660</v>
      </c>
      <c r="B721" s="138">
        <f>'Expenditures 15-22'!C36</f>
        <v>610104</v>
      </c>
      <c r="D721" s="2" t="str">
        <f t="shared" si="10"/>
        <v>Error?</v>
      </c>
    </row>
    <row r="722" spans="1:4" x14ac:dyDescent="0.2">
      <c r="A722" s="5">
        <v>661</v>
      </c>
      <c r="B722" s="138">
        <f>'Expenditures 15-22'!C37</f>
        <v>118048</v>
      </c>
      <c r="D722" s="2" t="str">
        <f t="shared" si="10"/>
        <v>Error?</v>
      </c>
    </row>
    <row r="723" spans="1:4" x14ac:dyDescent="0.2">
      <c r="A723" s="5">
        <v>662</v>
      </c>
      <c r="B723" s="138">
        <f>'Expenditures 15-22'!C38</f>
        <v>876980</v>
      </c>
      <c r="D723" s="2" t="str">
        <f t="shared" si="10"/>
        <v>Error?</v>
      </c>
    </row>
    <row r="724" spans="1:4" x14ac:dyDescent="0.2">
      <c r="A724" s="5">
        <v>663</v>
      </c>
      <c r="B724" s="138">
        <f>'Expenditures 15-22'!C39</f>
        <v>622678</v>
      </c>
      <c r="D724" s="2" t="str">
        <f t="shared" si="10"/>
        <v>Error?</v>
      </c>
    </row>
    <row r="725" spans="1:4" x14ac:dyDescent="0.2">
      <c r="A725" s="5">
        <v>664</v>
      </c>
      <c r="B725" s="138">
        <f>'Expenditures 15-22'!C40</f>
        <v>498348</v>
      </c>
      <c r="D725" s="2" t="str">
        <f t="shared" si="10"/>
        <v>Error?</v>
      </c>
    </row>
    <row r="726" spans="1:4" x14ac:dyDescent="0.2">
      <c r="A726" s="5">
        <v>665</v>
      </c>
      <c r="B726" s="138">
        <f>'Expenditures 15-22'!C41</f>
        <v>229370</v>
      </c>
      <c r="D726" s="2" t="str">
        <f t="shared" si="10"/>
        <v>Error?</v>
      </c>
    </row>
    <row r="727" spans="1:4" x14ac:dyDescent="0.2">
      <c r="A727" s="5">
        <v>666</v>
      </c>
      <c r="B727" s="138">
        <f>'Expenditures 15-22'!C42</f>
        <v>2955528</v>
      </c>
      <c r="C727" s="2" t="s">
        <v>573</v>
      </c>
      <c r="D727" s="2" t="str">
        <f t="shared" si="10"/>
        <v>Error?</v>
      </c>
    </row>
    <row r="728" spans="1:4" x14ac:dyDescent="0.2">
      <c r="A728" s="5">
        <v>667</v>
      </c>
      <c r="B728" s="138">
        <f>'Expenditures 15-22'!C44</f>
        <v>294229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294229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253812</v>
      </c>
      <c r="D733" s="2" t="str">
        <f t="shared" si="10"/>
        <v>Error?</v>
      </c>
    </row>
    <row r="734" spans="1:4" x14ac:dyDescent="0.2">
      <c r="A734" s="5">
        <v>673</v>
      </c>
      <c r="B734" s="138">
        <f>'Expenditures 15-22'!C53</f>
        <v>253812</v>
      </c>
      <c r="C734" s="2" t="s">
        <v>573</v>
      </c>
      <c r="D734" s="2" t="str">
        <f t="shared" si="10"/>
        <v>Error?</v>
      </c>
    </row>
    <row r="735" spans="1:4" x14ac:dyDescent="0.2">
      <c r="A735" s="5">
        <v>674</v>
      </c>
      <c r="B735" s="138">
        <f>'Expenditures 15-22'!C55</f>
        <v>344484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344484</v>
      </c>
      <c r="C737" s="2" t="s">
        <v>573</v>
      </c>
      <c r="D737" s="2" t="str">
        <f t="shared" si="10"/>
        <v>Error?</v>
      </c>
    </row>
    <row r="738" spans="1:4" x14ac:dyDescent="0.2">
      <c r="A738" s="5">
        <v>677</v>
      </c>
      <c r="B738" s="138">
        <f>'Expenditures 15-22'!C59</f>
        <v>98800</v>
      </c>
      <c r="D738" s="2" t="str">
        <f t="shared" si="10"/>
        <v>Error?</v>
      </c>
    </row>
    <row r="739" spans="1:4" x14ac:dyDescent="0.2">
      <c r="A739" s="5">
        <v>678</v>
      </c>
      <c r="B739" s="138">
        <f>'Expenditures 15-22'!C60</f>
        <v>69861</v>
      </c>
      <c r="D739" s="2" t="str">
        <f t="shared" si="10"/>
        <v>Error?</v>
      </c>
    </row>
    <row r="740" spans="1:4" x14ac:dyDescent="0.2">
      <c r="A740" s="5">
        <v>679</v>
      </c>
      <c r="B740" s="138">
        <f>'Expenditures 15-22'!C61</f>
        <v>134549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54275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357485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4205538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7551972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8648</v>
      </c>
      <c r="D777" s="2" t="str">
        <f t="shared" si="11"/>
        <v>Error?</v>
      </c>
    </row>
    <row r="778" spans="1:4" x14ac:dyDescent="0.2">
      <c r="A778" s="5">
        <v>717</v>
      </c>
      <c r="B778" s="138">
        <f>'Expenditures 15-22'!D33</f>
        <v>547809</v>
      </c>
      <c r="C778" s="2" t="s">
        <v>573</v>
      </c>
      <c r="D778" s="2" t="str">
        <f t="shared" si="11"/>
        <v>Error?</v>
      </c>
    </row>
    <row r="779" spans="1:4" x14ac:dyDescent="0.2">
      <c r="A779" s="5">
        <v>718</v>
      </c>
      <c r="B779" s="138">
        <f>'Expenditures 15-22'!D36</f>
        <v>43559</v>
      </c>
      <c r="D779" s="2" t="str">
        <f t="shared" si="11"/>
        <v>Error?</v>
      </c>
    </row>
    <row r="780" spans="1:4" x14ac:dyDescent="0.2">
      <c r="A780" s="5">
        <v>719</v>
      </c>
      <c r="B780" s="138">
        <f>'Expenditures 15-22'!D37</f>
        <v>20204</v>
      </c>
      <c r="D780" s="2" t="str">
        <f t="shared" si="11"/>
        <v>Error?</v>
      </c>
    </row>
    <row r="781" spans="1:4" x14ac:dyDescent="0.2">
      <c r="A781" s="5">
        <v>720</v>
      </c>
      <c r="B781" s="138">
        <f>'Expenditures 15-22'!D38</f>
        <v>194309</v>
      </c>
      <c r="D781" s="2" t="str">
        <f t="shared" si="11"/>
        <v>Error?</v>
      </c>
    </row>
    <row r="782" spans="1:4" x14ac:dyDescent="0.2">
      <c r="A782" s="5">
        <v>721</v>
      </c>
      <c r="B782" s="138">
        <f>'Expenditures 15-22'!D39</f>
        <v>64390</v>
      </c>
      <c r="D782" s="2" t="str">
        <f t="shared" si="11"/>
        <v>Error?</v>
      </c>
    </row>
    <row r="783" spans="1:4" x14ac:dyDescent="0.2">
      <c r="A783" s="5">
        <v>722</v>
      </c>
      <c r="B783" s="138">
        <f>'Expenditures 15-22'!D40</f>
        <v>62873</v>
      </c>
      <c r="D783" s="2" t="str">
        <f t="shared" si="11"/>
        <v>Error?</v>
      </c>
    </row>
    <row r="784" spans="1:4" x14ac:dyDescent="0.2">
      <c r="A784" s="5">
        <v>723</v>
      </c>
      <c r="B784" s="138">
        <f>'Expenditures 15-22'!D41</f>
        <v>48272</v>
      </c>
      <c r="D784" s="2" t="str">
        <f t="shared" si="11"/>
        <v>Error?</v>
      </c>
    </row>
    <row r="785" spans="1:4" x14ac:dyDescent="0.2">
      <c r="A785" s="5">
        <v>724</v>
      </c>
      <c r="B785" s="138">
        <f>'Expenditures 15-22'!D42</f>
        <v>433607</v>
      </c>
      <c r="C785" s="2" t="s">
        <v>573</v>
      </c>
      <c r="D785" s="2" t="str">
        <f t="shared" si="11"/>
        <v>Error?</v>
      </c>
    </row>
    <row r="786" spans="1:4" x14ac:dyDescent="0.2">
      <c r="A786" s="5">
        <v>725</v>
      </c>
      <c r="B786" s="138">
        <f>'Expenditures 15-22'!D44</f>
        <v>26354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26354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73335</v>
      </c>
      <c r="D791" s="2" t="str">
        <f t="shared" si="11"/>
        <v>Error?</v>
      </c>
    </row>
    <row r="792" spans="1:4" x14ac:dyDescent="0.2">
      <c r="A792" s="5">
        <v>731</v>
      </c>
      <c r="B792" s="138">
        <f>'Expenditures 15-22'!D53</f>
        <v>83948</v>
      </c>
      <c r="C792" s="2" t="s">
        <v>573</v>
      </c>
      <c r="D792" s="2" t="str">
        <f t="shared" si="11"/>
        <v>Error?</v>
      </c>
    </row>
    <row r="793" spans="1:4" x14ac:dyDescent="0.2">
      <c r="A793" s="5">
        <v>732</v>
      </c>
      <c r="B793" s="138">
        <f>'Expenditures 15-22'!D55</f>
        <v>52727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52727</v>
      </c>
      <c r="C795" s="2" t="s">
        <v>573</v>
      </c>
      <c r="D795" s="2" t="str">
        <f t="shared" si="11"/>
        <v>Error?</v>
      </c>
    </row>
    <row r="796" spans="1:4" x14ac:dyDescent="0.2">
      <c r="A796" s="5">
        <v>735</v>
      </c>
      <c r="B796" s="138">
        <f>'Expenditures 15-22'!D59</f>
        <v>18584</v>
      </c>
      <c r="D796" s="2" t="str">
        <f t="shared" si="11"/>
        <v>Error?</v>
      </c>
    </row>
    <row r="797" spans="1:4" x14ac:dyDescent="0.2">
      <c r="A797" s="5">
        <v>736</v>
      </c>
      <c r="B797" s="138">
        <f>'Expenditures 15-22'!D60</f>
        <v>19171</v>
      </c>
      <c r="D797" s="2" t="str">
        <f t="shared" si="11"/>
        <v>Error?</v>
      </c>
    </row>
    <row r="798" spans="1:4" x14ac:dyDescent="0.2">
      <c r="A798" s="5">
        <v>737</v>
      </c>
      <c r="B798" s="138">
        <f>'Expenditures 15-22'!D61</f>
        <v>36867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9968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84590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681226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1229035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298</v>
      </c>
      <c r="D835" s="2" t="str">
        <f t="shared" si="12"/>
        <v>Error?</v>
      </c>
    </row>
    <row r="836" spans="1:4" x14ac:dyDescent="0.2">
      <c r="A836" s="5">
        <v>775</v>
      </c>
      <c r="B836" s="138">
        <f>'Expenditures 15-22'!E33</f>
        <v>359906</v>
      </c>
      <c r="C836" s="2" t="s">
        <v>573</v>
      </c>
      <c r="D836" s="2" t="str">
        <f t="shared" si="12"/>
        <v>Error?</v>
      </c>
    </row>
    <row r="837" spans="1:4" x14ac:dyDescent="0.2">
      <c r="A837" s="5">
        <v>776</v>
      </c>
      <c r="B837" s="138">
        <f>'Expenditures 15-22'!E36</f>
        <v>38530</v>
      </c>
      <c r="D837" s="2" t="str">
        <f t="shared" si="12"/>
        <v>Error?</v>
      </c>
    </row>
    <row r="838" spans="1:4" x14ac:dyDescent="0.2">
      <c r="A838" s="5">
        <v>777</v>
      </c>
      <c r="B838" s="138">
        <f>'Expenditures 15-22'!E37</f>
        <v>3093</v>
      </c>
      <c r="D838" s="2" t="str">
        <f t="shared" si="12"/>
        <v>Error?</v>
      </c>
    </row>
    <row r="839" spans="1:4" x14ac:dyDescent="0.2">
      <c r="A839" s="5">
        <v>778</v>
      </c>
      <c r="B839" s="138">
        <f>'Expenditures 15-22'!E38</f>
        <v>9712</v>
      </c>
      <c r="D839" s="2" t="str">
        <f t="shared" si="12"/>
        <v>Error?</v>
      </c>
    </row>
    <row r="840" spans="1:4" x14ac:dyDescent="0.2">
      <c r="A840" s="5">
        <v>779</v>
      </c>
      <c r="B840" s="138">
        <f>'Expenditures 15-22'!E39</f>
        <v>5223</v>
      </c>
      <c r="D840" s="2" t="str">
        <f t="shared" si="12"/>
        <v>Error?</v>
      </c>
    </row>
    <row r="841" spans="1:4" x14ac:dyDescent="0.2">
      <c r="A841" s="5">
        <v>780</v>
      </c>
      <c r="B841" s="138">
        <f>'Expenditures 15-22'!E40</f>
        <v>6899</v>
      </c>
      <c r="D841" s="2" t="str">
        <f t="shared" si="12"/>
        <v>Error?</v>
      </c>
    </row>
    <row r="842" spans="1:4" x14ac:dyDescent="0.2">
      <c r="A842" s="5">
        <v>781</v>
      </c>
      <c r="B842" s="138">
        <f>'Expenditures 15-22'!E41</f>
        <v>45368</v>
      </c>
      <c r="D842" s="2" t="str">
        <f t="shared" si="12"/>
        <v>Error?</v>
      </c>
    </row>
    <row r="843" spans="1:4" x14ac:dyDescent="0.2">
      <c r="A843" s="5">
        <v>782</v>
      </c>
      <c r="B843" s="138">
        <f>'Expenditures 15-22'!E42</f>
        <v>108825</v>
      </c>
      <c r="C843" s="2" t="s">
        <v>573</v>
      </c>
      <c r="D843" s="2" t="str">
        <f t="shared" si="12"/>
        <v>Error?</v>
      </c>
    </row>
    <row r="844" spans="1:4" x14ac:dyDescent="0.2">
      <c r="A844" s="5">
        <v>783</v>
      </c>
      <c r="B844" s="138">
        <f>'Expenditures 15-22'!E44</f>
        <v>106739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106739</v>
      </c>
      <c r="C847" s="2" t="s">
        <v>573</v>
      </c>
      <c r="D847" s="2" t="str">
        <f t="shared" si="12"/>
        <v>Error?</v>
      </c>
    </row>
    <row r="848" spans="1:4" x14ac:dyDescent="0.2">
      <c r="A848" s="5">
        <v>787</v>
      </c>
      <c r="B848" s="138">
        <f>'Expenditures 15-22'!E49</f>
        <v>3790</v>
      </c>
      <c r="D848" s="2" t="str">
        <f t="shared" si="12"/>
        <v>Error?</v>
      </c>
    </row>
    <row r="849" spans="1:4" x14ac:dyDescent="0.2">
      <c r="A849" s="5">
        <v>788</v>
      </c>
      <c r="B849" s="138">
        <f>'Expenditures 15-22'!E50</f>
        <v>101081</v>
      </c>
      <c r="D849" s="2" t="str">
        <f t="shared" si="12"/>
        <v>Error?</v>
      </c>
    </row>
    <row r="850" spans="1:4" x14ac:dyDescent="0.2">
      <c r="A850" s="5">
        <v>789</v>
      </c>
      <c r="B850" s="138">
        <f>'Expenditures 15-22'!E53</f>
        <v>104871</v>
      </c>
      <c r="C850" s="2" t="s">
        <v>573</v>
      </c>
      <c r="D850" s="2" t="str">
        <f t="shared" si="12"/>
        <v>Error?</v>
      </c>
    </row>
    <row r="851" spans="1:4" x14ac:dyDescent="0.2">
      <c r="A851" s="5">
        <v>790</v>
      </c>
      <c r="B851" s="138">
        <f>'Expenditures 15-22'!E55</f>
        <v>3427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3427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37114</v>
      </c>
      <c r="D855" s="2" t="str">
        <f t="shared" si="12"/>
        <v>Error?</v>
      </c>
    </row>
    <row r="856" spans="1:4" x14ac:dyDescent="0.2">
      <c r="A856" s="5">
        <v>795</v>
      </c>
      <c r="B856" s="138">
        <f>'Expenditures 15-22'!E61</f>
        <v>133074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39084</v>
      </c>
      <c r="D858" s="2" t="str">
        <f t="shared" si="12"/>
        <v>Error?</v>
      </c>
    </row>
    <row r="859" spans="1:4" x14ac:dyDescent="0.2">
      <c r="A859" s="5">
        <v>798</v>
      </c>
      <c r="B859" s="138">
        <f>'Expenditures 15-22'!E64</f>
        <v>29865</v>
      </c>
      <c r="D859" s="2" t="str">
        <f t="shared" si="12"/>
        <v>Error?</v>
      </c>
    </row>
    <row r="860" spans="1:4" x14ac:dyDescent="0.2">
      <c r="A860" s="10">
        <v>799</v>
      </c>
      <c r="D860" s="2" t="str">
        <f t="shared" si="12"/>
        <v>OK</v>
      </c>
    </row>
    <row r="861" spans="1:4" x14ac:dyDescent="0.2">
      <c r="A861" s="5">
        <v>800</v>
      </c>
      <c r="B861" s="138">
        <f>'Expenditures 15-22'!E65</f>
        <v>239137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4073</v>
      </c>
      <c r="D865" s="2" t="str">
        <f t="shared" si="12"/>
        <v>Error?</v>
      </c>
    </row>
    <row r="866" spans="1:4" x14ac:dyDescent="0.2">
      <c r="A866" s="10">
        <v>805</v>
      </c>
      <c r="D866" s="2" t="str">
        <f t="shared" si="12"/>
        <v>OK</v>
      </c>
    </row>
    <row r="867" spans="1:4" x14ac:dyDescent="0.2">
      <c r="A867" s="5">
        <v>806</v>
      </c>
      <c r="B867" s="138">
        <f>'Expenditures 15-22'!E71</f>
        <v>80040</v>
      </c>
      <c r="D867" s="2" t="str">
        <f t="shared" si="12"/>
        <v>Error?</v>
      </c>
    </row>
    <row r="868" spans="1:4" x14ac:dyDescent="0.2">
      <c r="A868" s="10">
        <v>807</v>
      </c>
      <c r="D868" s="2" t="str">
        <f t="shared" si="12"/>
        <v>OK</v>
      </c>
    </row>
    <row r="869" spans="1:4" x14ac:dyDescent="0.2">
      <c r="A869" s="5">
        <v>808</v>
      </c>
      <c r="B869" s="138">
        <f>'Expenditures 15-22'!E72</f>
        <v>84113</v>
      </c>
      <c r="C869" s="2" t="s">
        <v>573</v>
      </c>
      <c r="D869" s="2" t="str">
        <f t="shared" si="12"/>
        <v>Error?</v>
      </c>
    </row>
    <row r="870" spans="1:4" x14ac:dyDescent="0.2">
      <c r="A870" s="5">
        <v>809</v>
      </c>
      <c r="B870" s="138">
        <f>'Expenditures 15-22'!E73</f>
        <v>16133</v>
      </c>
      <c r="D870" s="2" t="str">
        <f t="shared" si="12"/>
        <v>Error?</v>
      </c>
    </row>
    <row r="871" spans="1:4" x14ac:dyDescent="0.2">
      <c r="A871" s="5">
        <v>810</v>
      </c>
      <c r="B871" s="138">
        <f>'Expenditures 15-22'!E74</f>
        <v>663245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1023151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3360</v>
      </c>
      <c r="D893" s="2" t="str">
        <f t="shared" si="12"/>
        <v>Error?</v>
      </c>
    </row>
    <row r="894" spans="1:4" x14ac:dyDescent="0.2">
      <c r="A894" s="5">
        <v>833</v>
      </c>
      <c r="B894" s="138">
        <f>'Expenditures 15-22'!F33</f>
        <v>49138</v>
      </c>
      <c r="C894" s="2" t="s">
        <v>573</v>
      </c>
      <c r="D894" s="2" t="str">
        <f t="shared" si="12"/>
        <v>Error?</v>
      </c>
    </row>
    <row r="895" spans="1:4" x14ac:dyDescent="0.2">
      <c r="A895" s="5">
        <v>834</v>
      </c>
      <c r="B895" s="138">
        <f>'Expenditures 15-22'!F36</f>
        <v>6826</v>
      </c>
      <c r="D895" s="2" t="str">
        <f t="shared" ref="D895:D958" si="13">IF(ISBLANK(B895),"OK",IF(A895-B895=0,"OK","Error?"))</f>
        <v>Error?</v>
      </c>
    </row>
    <row r="896" spans="1:4" x14ac:dyDescent="0.2">
      <c r="A896" s="5">
        <v>835</v>
      </c>
      <c r="B896" s="138">
        <f>'Expenditures 15-22'!F37</f>
        <v>3974</v>
      </c>
      <c r="D896" s="2" t="str">
        <f t="shared" si="13"/>
        <v>Error?</v>
      </c>
    </row>
    <row r="897" spans="1:4" x14ac:dyDescent="0.2">
      <c r="A897" s="5">
        <v>836</v>
      </c>
      <c r="B897" s="138">
        <f>'Expenditures 15-22'!F38</f>
        <v>5217</v>
      </c>
      <c r="D897" s="2" t="str">
        <f t="shared" si="13"/>
        <v>Error?</v>
      </c>
    </row>
    <row r="898" spans="1:4" x14ac:dyDescent="0.2">
      <c r="A898" s="5">
        <v>837</v>
      </c>
      <c r="B898" s="138">
        <f>'Expenditures 15-22'!F39</f>
        <v>4512</v>
      </c>
      <c r="D898" s="2" t="str">
        <f t="shared" si="13"/>
        <v>Error?</v>
      </c>
    </row>
    <row r="899" spans="1:4" x14ac:dyDescent="0.2">
      <c r="A899" s="5">
        <v>838</v>
      </c>
      <c r="B899" s="138">
        <f>'Expenditures 15-22'!F40</f>
        <v>14181</v>
      </c>
      <c r="D899" s="2" t="str">
        <f t="shared" si="13"/>
        <v>Error?</v>
      </c>
    </row>
    <row r="900" spans="1:4" x14ac:dyDescent="0.2">
      <c r="A900" s="5">
        <v>839</v>
      </c>
      <c r="B900" s="138">
        <f>'Expenditures 15-22'!F41</f>
        <v>11130</v>
      </c>
      <c r="D900" s="2" t="str">
        <f t="shared" si="13"/>
        <v>Error?</v>
      </c>
    </row>
    <row r="901" spans="1:4" x14ac:dyDescent="0.2">
      <c r="A901" s="5">
        <v>840</v>
      </c>
      <c r="B901" s="138">
        <f>'Expenditures 15-22'!F42</f>
        <v>45840</v>
      </c>
      <c r="C901" s="2" t="s">
        <v>573</v>
      </c>
      <c r="D901" s="2" t="str">
        <f t="shared" si="13"/>
        <v>Error?</v>
      </c>
    </row>
    <row r="902" spans="1:4" x14ac:dyDescent="0.2">
      <c r="A902" s="5">
        <v>841</v>
      </c>
      <c r="B902" s="138">
        <f>'Expenditures 15-22'!F44</f>
        <v>19946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19946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5711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5711</v>
      </c>
      <c r="C911" s="2" t="s">
        <v>573</v>
      </c>
      <c r="D911" s="2" t="str">
        <f t="shared" si="13"/>
        <v>Error?</v>
      </c>
    </row>
    <row r="912" spans="1:4" x14ac:dyDescent="0.2">
      <c r="A912" s="5">
        <v>851</v>
      </c>
      <c r="B912" s="138">
        <f>'Expenditures 15-22'!F59</f>
        <v>936</v>
      </c>
      <c r="D912" s="2" t="str">
        <f t="shared" si="13"/>
        <v>Error?</v>
      </c>
    </row>
    <row r="913" spans="1:4" x14ac:dyDescent="0.2">
      <c r="A913" s="5">
        <v>852</v>
      </c>
      <c r="B913" s="138">
        <f>'Expenditures 15-22'!F60</f>
        <v>6835</v>
      </c>
      <c r="D913" s="2" t="str">
        <f t="shared" si="13"/>
        <v>Error?</v>
      </c>
    </row>
    <row r="914" spans="1:4" x14ac:dyDescent="0.2">
      <c r="A914" s="5">
        <v>853</v>
      </c>
      <c r="B914" s="138">
        <f>'Expenditures 15-22'!F61</f>
        <v>79274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79349</v>
      </c>
      <c r="D916" s="2" t="str">
        <f t="shared" si="13"/>
        <v>Error?</v>
      </c>
    </row>
    <row r="917" spans="1:4" x14ac:dyDescent="0.2">
      <c r="A917" s="5">
        <v>856</v>
      </c>
      <c r="B917" s="138">
        <f>'Expenditures 15-22'!F64</f>
        <v>1460</v>
      </c>
      <c r="D917" s="2" t="str">
        <f t="shared" si="13"/>
        <v>Error?</v>
      </c>
    </row>
    <row r="918" spans="1:4" x14ac:dyDescent="0.2">
      <c r="A918" s="10">
        <v>857</v>
      </c>
      <c r="D918" s="2" t="str">
        <f t="shared" si="13"/>
        <v>OK</v>
      </c>
    </row>
    <row r="919" spans="1:4" x14ac:dyDescent="0.2">
      <c r="A919" s="5">
        <v>858</v>
      </c>
      <c r="B919" s="138">
        <f>'Expenditures 15-22'!F65</f>
        <v>167854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1004</v>
      </c>
      <c r="D923" s="2" t="str">
        <f t="shared" si="13"/>
        <v>Error?</v>
      </c>
    </row>
    <row r="924" spans="1:4" x14ac:dyDescent="0.2">
      <c r="A924" s="10">
        <v>863</v>
      </c>
      <c r="D924" s="2" t="str">
        <f t="shared" si="13"/>
        <v>OK</v>
      </c>
    </row>
    <row r="925" spans="1:4" x14ac:dyDescent="0.2">
      <c r="A925" s="5">
        <v>864</v>
      </c>
      <c r="B925" s="138">
        <f>'Expenditures 15-22'!F71</f>
        <v>1138</v>
      </c>
      <c r="D925" s="2" t="str">
        <f t="shared" si="13"/>
        <v>Error?</v>
      </c>
    </row>
    <row r="926" spans="1:4" x14ac:dyDescent="0.2">
      <c r="A926" s="10">
        <v>865</v>
      </c>
      <c r="D926" s="2" t="str">
        <f t="shared" si="13"/>
        <v>OK</v>
      </c>
    </row>
    <row r="927" spans="1:4" x14ac:dyDescent="0.2">
      <c r="A927" s="5">
        <v>866</v>
      </c>
      <c r="B927" s="138">
        <f>'Expenditures 15-22'!F72</f>
        <v>2142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241493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290631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278565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6885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10323</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17208</v>
      </c>
      <c r="C959" s="2" t="s">
        <v>573</v>
      </c>
      <c r="D959" s="2" t="str">
        <f t="shared" ref="D959:D1022" si="14">IF(ISBLANK(B959),"OK",IF(A959-B959=0,"OK","Error?"))</f>
        <v>Error?</v>
      </c>
    </row>
    <row r="960" spans="1:4" x14ac:dyDescent="0.2">
      <c r="A960" s="5">
        <v>899</v>
      </c>
      <c r="B960" s="138">
        <f>'Expenditures 15-22'!G44</f>
        <v>3394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3394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899</v>
      </c>
      <c r="D971" s="2" t="str">
        <f t="shared" si="14"/>
        <v>Error?</v>
      </c>
    </row>
    <row r="972" spans="1:4" x14ac:dyDescent="0.2">
      <c r="A972" s="5">
        <v>911</v>
      </c>
      <c r="B972" s="138">
        <f>'Expenditures 15-22'!G61</f>
        <v>28351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47543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76793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97395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375960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165</v>
      </c>
      <c r="D1016" s="2" t="str">
        <f t="shared" si="14"/>
        <v>Error?</v>
      </c>
    </row>
    <row r="1017" spans="1:4" x14ac:dyDescent="0.2">
      <c r="A1017" s="5">
        <v>956</v>
      </c>
      <c r="B1017" s="138">
        <f>'Expenditures 15-22'!H42</f>
        <v>165</v>
      </c>
      <c r="C1017" s="2" t="s">
        <v>573</v>
      </c>
      <c r="D1017" s="2" t="str">
        <f t="shared" si="14"/>
        <v>Error?</v>
      </c>
    </row>
    <row r="1018" spans="1:4" x14ac:dyDescent="0.2">
      <c r="A1018" s="5">
        <v>957</v>
      </c>
      <c r="B1018" s="138">
        <f>'Expenditures 15-22'!H44</f>
        <v>3562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3562</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260</v>
      </c>
      <c r="D1023" s="2" t="str">
        <f t="shared" ref="D1023:D1086" si="15">IF(ISBLANK(B1023),"OK",IF(A1023-B1023=0,"OK","Error?"))</f>
        <v>Error?</v>
      </c>
    </row>
    <row r="1024" spans="1:4" x14ac:dyDescent="0.2">
      <c r="A1024" s="5">
        <v>963</v>
      </c>
      <c r="B1024" s="138">
        <f>'Expenditures 15-22'!H53</f>
        <v>260</v>
      </c>
      <c r="C1024" s="2" t="s">
        <v>573</v>
      </c>
      <c r="D1024" s="2" t="str">
        <f t="shared" si="15"/>
        <v>Error?</v>
      </c>
    </row>
    <row r="1025" spans="1:4" x14ac:dyDescent="0.2">
      <c r="A1025" s="5">
        <v>964</v>
      </c>
      <c r="B1025" s="138">
        <f>'Expenditures 15-22'!H55</f>
        <v>9755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9755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13742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6418277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6432019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116446</v>
      </c>
      <c r="C1107" s="2" t="s">
        <v>573</v>
      </c>
      <c r="D1107" s="2" t="str">
        <f t="shared" si="16"/>
        <v>Error?</v>
      </c>
    </row>
    <row r="1108" spans="1:4" x14ac:dyDescent="0.2">
      <c r="A1108" s="5">
        <v>1047</v>
      </c>
      <c r="B1108" s="138">
        <f>'Expenditures 15-22'!K33</f>
        <v>4581852</v>
      </c>
      <c r="C1108" s="2" t="s">
        <v>573</v>
      </c>
      <c r="D1108" s="2" t="str">
        <f t="shared" si="16"/>
        <v>Error?</v>
      </c>
    </row>
    <row r="1109" spans="1:4" x14ac:dyDescent="0.2">
      <c r="A1109" s="5">
        <v>1048</v>
      </c>
      <c r="B1109" s="138">
        <f>'Expenditures 15-22'!K36</f>
        <v>699019</v>
      </c>
      <c r="C1109" s="2" t="s">
        <v>573</v>
      </c>
      <c r="D1109" s="2" t="str">
        <f t="shared" si="16"/>
        <v>Error?</v>
      </c>
    </row>
    <row r="1110" spans="1:4" x14ac:dyDescent="0.2">
      <c r="A1110" s="5">
        <v>1049</v>
      </c>
      <c r="B1110" s="138">
        <f>'Expenditures 15-22'!K37</f>
        <v>145319</v>
      </c>
      <c r="C1110" s="2" t="s">
        <v>573</v>
      </c>
      <c r="D1110" s="2" t="str">
        <f t="shared" si="16"/>
        <v>Error?</v>
      </c>
    </row>
    <row r="1111" spans="1:4" x14ac:dyDescent="0.2">
      <c r="A1111" s="5">
        <v>1050</v>
      </c>
      <c r="B1111" s="138">
        <f>'Expenditures 15-22'!K38</f>
        <v>1093103</v>
      </c>
      <c r="C1111" s="2" t="s">
        <v>573</v>
      </c>
      <c r="D1111" s="2" t="str">
        <f t="shared" si="16"/>
        <v>Error?</v>
      </c>
    </row>
    <row r="1112" spans="1:4" x14ac:dyDescent="0.2">
      <c r="A1112" s="5">
        <v>1051</v>
      </c>
      <c r="B1112" s="138">
        <f>'Expenditures 15-22'!K39</f>
        <v>696803</v>
      </c>
      <c r="C1112" s="2" t="s">
        <v>573</v>
      </c>
      <c r="D1112" s="2" t="str">
        <f t="shared" si="16"/>
        <v>Error?</v>
      </c>
    </row>
    <row r="1113" spans="1:4" x14ac:dyDescent="0.2">
      <c r="A1113" s="5">
        <v>1052</v>
      </c>
      <c r="B1113" s="138">
        <f>'Expenditures 15-22'!K40</f>
        <v>592624</v>
      </c>
      <c r="C1113" s="2" t="s">
        <v>573</v>
      </c>
      <c r="D1113" s="2" t="str">
        <f t="shared" si="16"/>
        <v>Error?</v>
      </c>
    </row>
    <row r="1114" spans="1:4" x14ac:dyDescent="0.2">
      <c r="A1114" s="5">
        <v>1053</v>
      </c>
      <c r="B1114" s="138">
        <f>'Expenditures 15-22'!K41</f>
        <v>334305</v>
      </c>
      <c r="C1114" s="2" t="s">
        <v>573</v>
      </c>
      <c r="D1114" s="2" t="str">
        <f t="shared" si="16"/>
        <v>Error?</v>
      </c>
    </row>
    <row r="1115" spans="1:4" x14ac:dyDescent="0.2">
      <c r="A1115" s="5">
        <v>1054</v>
      </c>
      <c r="B1115" s="138">
        <f>'Expenditures 15-22'!K42</f>
        <v>3561173</v>
      </c>
      <c r="C1115" s="2" t="s">
        <v>573</v>
      </c>
      <c r="D1115" s="2" t="str">
        <f t="shared" si="16"/>
        <v>Error?</v>
      </c>
    </row>
    <row r="1116" spans="1:4" x14ac:dyDescent="0.2">
      <c r="A1116" s="5">
        <v>1055</v>
      </c>
      <c r="B1116" s="138">
        <f>'Expenditures 15-22'!K44</f>
        <v>454224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454224</v>
      </c>
      <c r="C1119" s="2" t="s">
        <v>573</v>
      </c>
      <c r="D1119" s="2" t="str">
        <f t="shared" si="16"/>
        <v>Error?</v>
      </c>
    </row>
    <row r="1120" spans="1:4" x14ac:dyDescent="0.2">
      <c r="A1120" s="5">
        <v>1059</v>
      </c>
      <c r="B1120" s="138">
        <f>'Expenditures 15-22'!K49</f>
        <v>3790</v>
      </c>
      <c r="C1120" s="2" t="s">
        <v>573</v>
      </c>
      <c r="D1120" s="2" t="str">
        <f t="shared" si="16"/>
        <v>Error?</v>
      </c>
    </row>
    <row r="1121" spans="1:4" x14ac:dyDescent="0.2">
      <c r="A1121" s="5">
        <v>1060</v>
      </c>
      <c r="B1121" s="138">
        <f>'Expenditures 15-22'!K50</f>
        <v>428488</v>
      </c>
      <c r="C1121" s="2" t="s">
        <v>573</v>
      </c>
      <c r="D1121" s="2" t="str">
        <f t="shared" si="16"/>
        <v>Error?</v>
      </c>
    </row>
    <row r="1122" spans="1:4" x14ac:dyDescent="0.2">
      <c r="A1122" s="5">
        <v>1061</v>
      </c>
      <c r="B1122" s="138">
        <f>'Expenditures 15-22'!K53</f>
        <v>442891</v>
      </c>
      <c r="C1122" s="2" t="s">
        <v>573</v>
      </c>
      <c r="D1122" s="2" t="str">
        <f t="shared" si="16"/>
        <v>Error?</v>
      </c>
    </row>
    <row r="1123" spans="1:4" x14ac:dyDescent="0.2">
      <c r="A1123" s="5">
        <v>1062</v>
      </c>
      <c r="B1123" s="138">
        <f>'Expenditures 15-22'!K55</f>
        <v>416104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416104</v>
      </c>
      <c r="C1125" s="2" t="s">
        <v>573</v>
      </c>
      <c r="D1125" s="2" t="str">
        <f t="shared" si="16"/>
        <v>Error?</v>
      </c>
    </row>
    <row r="1126" spans="1:4" x14ac:dyDescent="0.2">
      <c r="A1126" s="5">
        <v>1065</v>
      </c>
      <c r="B1126" s="138">
        <f>'Expenditures 15-22'!K59</f>
        <v>118320</v>
      </c>
      <c r="C1126" s="2" t="s">
        <v>573</v>
      </c>
      <c r="D1126" s="2" t="str">
        <f t="shared" si="16"/>
        <v>Error?</v>
      </c>
    </row>
    <row r="1127" spans="1:4" x14ac:dyDescent="0.2">
      <c r="A1127" s="5">
        <v>1066</v>
      </c>
      <c r="B1127" s="138">
        <f>'Expenditures 15-22'!K60</f>
        <v>133880</v>
      </c>
      <c r="C1127" s="2" t="s">
        <v>573</v>
      </c>
      <c r="D1127" s="2" t="str">
        <f t="shared" si="16"/>
        <v>Error?</v>
      </c>
    </row>
    <row r="1128" spans="1:4" x14ac:dyDescent="0.2">
      <c r="A1128" s="5">
        <v>1067</v>
      </c>
      <c r="B1128" s="138">
        <f>'Expenditures 15-22'!K61</f>
        <v>412115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230219</v>
      </c>
      <c r="C1130" s="2" t="s">
        <v>573</v>
      </c>
      <c r="D1130" s="2" t="str">
        <f t="shared" si="16"/>
        <v>Error?</v>
      </c>
    </row>
    <row r="1131" spans="1:4" x14ac:dyDescent="0.2">
      <c r="A1131" s="5">
        <v>1070</v>
      </c>
      <c r="B1131" s="138">
        <f>'Expenditures 15-22'!K64</f>
        <v>31325</v>
      </c>
      <c r="C1131" s="2" t="s">
        <v>573</v>
      </c>
      <c r="D1131" s="2" t="str">
        <f t="shared" si="16"/>
        <v>Error?</v>
      </c>
    </row>
    <row r="1132" spans="1:4" x14ac:dyDescent="0.2">
      <c r="A1132" s="10">
        <v>1071</v>
      </c>
      <c r="D1132" s="2" t="str">
        <f t="shared" si="16"/>
        <v>OK</v>
      </c>
    </row>
    <row r="1133" spans="1:4" x14ac:dyDescent="0.2">
      <c r="A1133" s="5">
        <v>1072</v>
      </c>
      <c r="B1133" s="138">
        <f>'Expenditures 15-22'!K65</f>
        <v>925859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5077</v>
      </c>
      <c r="C1137" s="2" t="s">
        <v>573</v>
      </c>
      <c r="D1137" s="2" t="str">
        <f t="shared" si="16"/>
        <v>Error?</v>
      </c>
    </row>
    <row r="1138" spans="1:4" x14ac:dyDescent="0.2">
      <c r="A1138" s="10">
        <v>1077</v>
      </c>
      <c r="D1138" s="2" t="str">
        <f t="shared" si="16"/>
        <v>OK</v>
      </c>
    </row>
    <row r="1139" spans="1:4" x14ac:dyDescent="0.2">
      <c r="A1139" s="5">
        <v>1078</v>
      </c>
      <c r="B1139" s="138">
        <f>'Expenditures 15-22'!K71</f>
        <v>81178</v>
      </c>
      <c r="C1139" s="2" t="s">
        <v>573</v>
      </c>
      <c r="D1139" s="2" t="str">
        <f t="shared" si="16"/>
        <v>Error?</v>
      </c>
    </row>
    <row r="1140" spans="1:4" x14ac:dyDescent="0.2">
      <c r="A1140" s="10">
        <v>1079</v>
      </c>
      <c r="D1140" s="2" t="str">
        <f t="shared" si="16"/>
        <v>OK</v>
      </c>
    </row>
    <row r="1141" spans="1:4" x14ac:dyDescent="0.2">
      <c r="A1141" s="5">
        <v>1080</v>
      </c>
      <c r="B1141" s="138">
        <f>'Expenditures 15-22'!K72</f>
        <v>86255</v>
      </c>
      <c r="C1141" s="2" t="s">
        <v>573</v>
      </c>
      <c r="D1141" s="2" t="str">
        <f t="shared" si="16"/>
        <v>Error?</v>
      </c>
    </row>
    <row r="1142" spans="1:4" x14ac:dyDescent="0.2">
      <c r="A1142" s="5">
        <v>1081</v>
      </c>
      <c r="B1142" s="138">
        <f>'Expenditures 15-22'!K73</f>
        <v>16133</v>
      </c>
      <c r="C1142" s="2" t="s">
        <v>573</v>
      </c>
      <c r="D1142" s="2" t="str">
        <f t="shared" si="16"/>
        <v>Error?</v>
      </c>
    </row>
    <row r="1143" spans="1:4" x14ac:dyDescent="0.2">
      <c r="A1143" s="5">
        <v>1082</v>
      </c>
      <c r="B1143" s="138">
        <f>'Expenditures 15-22'!K74</f>
        <v>5902639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6418277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16902768</v>
      </c>
      <c r="C1152" s="2" t="s">
        <v>573</v>
      </c>
      <c r="D1152" s="2" t="str">
        <f t="shared" si="17"/>
        <v>Error?</v>
      </c>
    </row>
    <row r="1153" spans="1:4" x14ac:dyDescent="0.2">
      <c r="A1153" s="5">
        <v>1092</v>
      </c>
      <c r="B1153" s="138">
        <f>'Expenditures 15-22'!K115</f>
        <v>159302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49054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49054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49054</v>
      </c>
      <c r="C1258" s="2" t="s">
        <v>573</v>
      </c>
      <c r="D1258" s="2" t="str">
        <f t="shared" si="18"/>
        <v>Error?</v>
      </c>
    </row>
    <row r="1259" spans="1:4" x14ac:dyDescent="0.2">
      <c r="A1259" s="5">
        <v>1198</v>
      </c>
      <c r="B1259" s="138">
        <f>'Expenditures 15-22'!G151</f>
        <v>49054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49054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49054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49054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49054</v>
      </c>
      <c r="C1288" s="2" t="s">
        <v>573</v>
      </c>
      <c r="D1288" s="2" t="str">
        <f t="shared" si="19"/>
        <v>Error?</v>
      </c>
    </row>
    <row r="1289" spans="1:4" x14ac:dyDescent="0.2">
      <c r="A1289" s="5">
        <v>1228</v>
      </c>
      <c r="B1289" s="138">
        <f>'Expenditures 15-22'!K152</f>
        <v>-49054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63499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63499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63499</v>
      </c>
      <c r="C1353" s="2" t="s">
        <v>573</v>
      </c>
      <c r="D1353" s="2" t="str">
        <f t="shared" si="20"/>
        <v>Error?</v>
      </c>
    </row>
    <row r="1354" spans="1:4" x14ac:dyDescent="0.2">
      <c r="A1354" s="5">
        <v>1293</v>
      </c>
      <c r="B1354" s="138">
        <f>'Expenditures 15-22'!F182</f>
        <v>901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901</v>
      </c>
      <c r="C1358" s="2" t="s">
        <v>573</v>
      </c>
      <c r="D1358" s="2" t="str">
        <f t="shared" si="20"/>
        <v>Error?</v>
      </c>
    </row>
    <row r="1359" spans="1:4" x14ac:dyDescent="0.2">
      <c r="A1359" s="5">
        <v>1298</v>
      </c>
      <c r="B1359" s="138">
        <f>'Expenditures 15-22'!F210</f>
        <v>901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64400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64400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64400</v>
      </c>
      <c r="C1388" s="2" t="s">
        <v>573</v>
      </c>
      <c r="D1388" s="2" t="str">
        <f t="shared" si="20"/>
        <v>Error?</v>
      </c>
    </row>
    <row r="1389" spans="1:4" x14ac:dyDescent="0.2">
      <c r="A1389" s="5">
        <v>1328</v>
      </c>
      <c r="B1389" s="138">
        <f>'Expenditures 15-22'!K211</f>
        <v>-20782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2272632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2401934</v>
      </c>
      <c r="C1630" s="2" t="s">
        <v>573</v>
      </c>
      <c r="D1630" s="2" t="str">
        <f t="shared" si="24"/>
        <v>Error?</v>
      </c>
    </row>
    <row r="1631" spans="1:4" x14ac:dyDescent="0.2">
      <c r="A1631" s="5">
        <v>1570</v>
      </c>
      <c r="B1631" s="138">
        <f>'Acct Summary 7-8'!D79</f>
        <v>112019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62965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9158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18376</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26901</v>
      </c>
      <c r="D2008" s="2" t="str">
        <f t="shared" si="30"/>
        <v>Error?</v>
      </c>
    </row>
    <row r="2009" spans="1:4" x14ac:dyDescent="0.2">
      <c r="A2009" s="5">
        <v>1948</v>
      </c>
      <c r="B2009" s="138">
        <f>'Cap Outlay Deprec 26'!C8</f>
        <v>3024672</v>
      </c>
      <c r="D2009" s="2" t="str">
        <f t="shared" si="30"/>
        <v>Error?</v>
      </c>
    </row>
    <row r="2010" spans="1:4" x14ac:dyDescent="0.2">
      <c r="A2010" s="5">
        <v>1949</v>
      </c>
      <c r="B2010" s="138">
        <f>'Cap Outlay Deprec 26'!C10</f>
        <v>931633</v>
      </c>
      <c r="D2010" s="2" t="str">
        <f t="shared" si="30"/>
        <v>Error?</v>
      </c>
    </row>
    <row r="2011" spans="1:4" x14ac:dyDescent="0.2">
      <c r="A2011" s="5">
        <v>1950</v>
      </c>
      <c r="B2011" s="138">
        <f>'Cap Outlay Deprec 26'!C12</f>
        <v>883317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4866523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52448</v>
      </c>
      <c r="D2015" s="2" t="str">
        <f t="shared" si="30"/>
        <v>Error?</v>
      </c>
    </row>
    <row r="2016" spans="1:4" x14ac:dyDescent="0.2">
      <c r="A2016" s="5">
        <v>1955</v>
      </c>
      <c r="B2016" s="138">
        <f>'Cap Outlay Deprec 26'!D10</f>
        <v>270553</v>
      </c>
      <c r="D2016" s="2" t="str">
        <f t="shared" si="30"/>
        <v>Error?</v>
      </c>
    </row>
    <row r="2017" spans="1:4" x14ac:dyDescent="0.2">
      <c r="A2017" s="5">
        <v>1956</v>
      </c>
      <c r="B2017" s="138">
        <f>'Cap Outlay Deprec 26'!D12</f>
        <v>92064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425014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51847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51847</v>
      </c>
      <c r="C2025" s="2" t="s">
        <v>573</v>
      </c>
      <c r="D2025" s="2" t="str">
        <f t="shared" si="30"/>
        <v>Error?</v>
      </c>
    </row>
    <row r="2026" spans="1:4" x14ac:dyDescent="0.2">
      <c r="A2026" s="5">
        <v>1965</v>
      </c>
      <c r="B2026" s="138">
        <f>'Cap Outlay Deprec 26'!F5</f>
        <v>26901</v>
      </c>
      <c r="C2026" s="2" t="s">
        <v>573</v>
      </c>
      <c r="D2026" s="2" t="str">
        <f t="shared" si="30"/>
        <v>Error?</v>
      </c>
    </row>
    <row r="2027" spans="1:4" x14ac:dyDescent="0.2">
      <c r="A2027" s="5">
        <v>1966</v>
      </c>
      <c r="B2027" s="138">
        <f>'Cap Outlay Deprec 26'!F8</f>
        <v>3077120</v>
      </c>
      <c r="C2027" s="2" t="s">
        <v>573</v>
      </c>
      <c r="D2027" s="2" t="str">
        <f t="shared" si="30"/>
        <v>Error?</v>
      </c>
    </row>
    <row r="2028" spans="1:4" x14ac:dyDescent="0.2">
      <c r="A2028" s="5">
        <v>1967</v>
      </c>
      <c r="B2028" s="138">
        <f>'Cap Outlay Deprec 26'!F10</f>
        <v>1202186</v>
      </c>
      <c r="C2028" s="2" t="s">
        <v>573</v>
      </c>
      <c r="D2028" s="2" t="str">
        <f t="shared" si="30"/>
        <v>Error?</v>
      </c>
    </row>
    <row r="2029" spans="1:4" x14ac:dyDescent="0.2">
      <c r="A2029" s="5">
        <v>1968</v>
      </c>
      <c r="B2029" s="138">
        <f>'Cap Outlay Deprec 26'!F12</f>
        <v>923534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5239690</v>
      </c>
      <c r="C2031" s="2" t="s">
        <v>573</v>
      </c>
      <c r="D2031" s="2" t="str">
        <f t="shared" si="30"/>
        <v>Error?</v>
      </c>
    </row>
    <row r="2032" spans="1:4" x14ac:dyDescent="0.2">
      <c r="A2032" s="10">
        <v>1971</v>
      </c>
      <c r="D2032" s="2" t="str">
        <f t="shared" si="30"/>
        <v>OK</v>
      </c>
    </row>
    <row r="2033" spans="1:4" x14ac:dyDescent="0.2">
      <c r="A2033" s="5">
        <v>1972</v>
      </c>
      <c r="B2033" s="138">
        <f>'Cap Outlay Deprec 26'!H8</f>
        <v>1837430</v>
      </c>
      <c r="D2033" s="2" t="str">
        <f t="shared" si="30"/>
        <v>Error?</v>
      </c>
    </row>
    <row r="2034" spans="1:4" x14ac:dyDescent="0.2">
      <c r="A2034" s="5">
        <v>1973</v>
      </c>
      <c r="B2034" s="138">
        <f>'Cap Outlay Deprec 26'!H10</f>
        <v>391424</v>
      </c>
      <c r="D2034" s="2" t="str">
        <f t="shared" si="30"/>
        <v>Error?</v>
      </c>
    </row>
    <row r="2035" spans="1:4" x14ac:dyDescent="0.2">
      <c r="A2035" s="5">
        <v>1974</v>
      </c>
      <c r="B2035" s="138">
        <f>'Cap Outlay Deprec 26'!H12</f>
        <v>500914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2729768</v>
      </c>
      <c r="C2037" s="2" t="s">
        <v>573</v>
      </c>
      <c r="D2037" s="2" t="str">
        <f t="shared" si="30"/>
        <v>Error?</v>
      </c>
    </row>
    <row r="2038" spans="1:4" x14ac:dyDescent="0.2">
      <c r="A2038" s="10">
        <v>1977</v>
      </c>
      <c r="D2038" s="2" t="str">
        <f t="shared" si="30"/>
        <v>OK</v>
      </c>
    </row>
    <row r="2039" spans="1:4" x14ac:dyDescent="0.2">
      <c r="A2039" s="5">
        <v>1978</v>
      </c>
      <c r="B2039" s="138">
        <f>'Cap Outlay Deprec 26'!I8</f>
        <v>61543</v>
      </c>
      <c r="D2039" s="2" t="str">
        <f t="shared" si="30"/>
        <v>Error?</v>
      </c>
    </row>
    <row r="2040" spans="1:4" x14ac:dyDescent="0.2">
      <c r="A2040" s="5">
        <v>1979</v>
      </c>
      <c r="B2040" s="138">
        <f>'Cap Outlay Deprec 26'!I10</f>
        <v>60111</v>
      </c>
      <c r="D2040" s="2" t="str">
        <f t="shared" si="30"/>
        <v>Error?</v>
      </c>
    </row>
    <row r="2041" spans="1:4" x14ac:dyDescent="0.2">
      <c r="A2041" s="5">
        <v>1980</v>
      </c>
      <c r="B2041" s="138">
        <f>'Cap Outlay Deprec 26'!I12</f>
        <v>92352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214006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51847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51847</v>
      </c>
      <c r="C2049" s="2" t="s">
        <v>573</v>
      </c>
      <c r="D2049" s="2" t="str">
        <f t="shared" si="31"/>
        <v>Error?</v>
      </c>
    </row>
    <row r="2050" spans="1:4" x14ac:dyDescent="0.2">
      <c r="A2050" s="10">
        <v>1989</v>
      </c>
      <c r="D2050" s="2" t="str">
        <f t="shared" si="31"/>
        <v>OK</v>
      </c>
    </row>
    <row r="2051" spans="1:4" x14ac:dyDescent="0.2">
      <c r="A2051" s="5">
        <v>1990</v>
      </c>
      <c r="B2051" s="138">
        <f>'Cap Outlay Deprec 26'!K8</f>
        <v>1898973</v>
      </c>
      <c r="C2051" s="2" t="s">
        <v>573</v>
      </c>
      <c r="D2051" s="2" t="str">
        <f t="shared" si="31"/>
        <v>Error?</v>
      </c>
    </row>
    <row r="2052" spans="1:4" x14ac:dyDescent="0.2">
      <c r="A2052" s="5">
        <v>1991</v>
      </c>
      <c r="B2052" s="138">
        <f>'Cap Outlay Deprec 26'!K10</f>
        <v>451535</v>
      </c>
      <c r="C2052" s="2" t="s">
        <v>573</v>
      </c>
      <c r="D2052" s="2" t="str">
        <f t="shared" si="31"/>
        <v>Error?</v>
      </c>
    </row>
    <row r="2053" spans="1:4" x14ac:dyDescent="0.2">
      <c r="A2053" s="5">
        <v>1992</v>
      </c>
      <c r="B2053" s="138">
        <f>'Cap Outlay Deprec 26'!K12</f>
        <v>541419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2891927</v>
      </c>
      <c r="C2055" s="2" t="s">
        <v>573</v>
      </c>
      <c r="D2055" s="2" t="str">
        <f t="shared" si="31"/>
        <v>Error?</v>
      </c>
    </row>
    <row r="2056" spans="1:4" x14ac:dyDescent="0.2">
      <c r="A2056" s="5">
        <v>1995</v>
      </c>
      <c r="B2056" s="138">
        <f>'Cap Outlay Deprec 26'!L5</f>
        <v>26901</v>
      </c>
      <c r="C2056" s="2" t="s">
        <v>573</v>
      </c>
      <c r="D2056" s="2" t="str">
        <f t="shared" si="31"/>
        <v>Error?</v>
      </c>
    </row>
    <row r="2057" spans="1:4" x14ac:dyDescent="0.2">
      <c r="A2057" s="5">
        <v>1996</v>
      </c>
      <c r="B2057" s="138">
        <f>'Cap Outlay Deprec 26'!L8</f>
        <v>1178147</v>
      </c>
      <c r="C2057" s="2" t="s">
        <v>573</v>
      </c>
      <c r="D2057" s="2" t="str">
        <f t="shared" si="31"/>
        <v>Error?</v>
      </c>
    </row>
    <row r="2058" spans="1:4" x14ac:dyDescent="0.2">
      <c r="A2058" s="5">
        <v>1997</v>
      </c>
      <c r="B2058" s="138">
        <f>'Cap Outlay Deprec 26'!L10</f>
        <v>750651</v>
      </c>
      <c r="C2058" s="2" t="s">
        <v>573</v>
      </c>
      <c r="D2058" s="2" t="str">
        <f t="shared" si="31"/>
        <v>Error?</v>
      </c>
    </row>
    <row r="2059" spans="1:4" x14ac:dyDescent="0.2">
      <c r="A2059" s="5">
        <v>1998</v>
      </c>
      <c r="B2059" s="138">
        <f>'Cap Outlay Deprec 26'!L12</f>
        <v>382115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2347763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77160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77160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7709948</v>
      </c>
      <c r="C2551" s="2" t="s">
        <v>573</v>
      </c>
      <c r="D2551" s="2" t="str">
        <f t="shared" si="38"/>
        <v>Error?</v>
      </c>
    </row>
    <row r="2552" spans="1:4" x14ac:dyDescent="0.2">
      <c r="A2552" s="10">
        <v>2491</v>
      </c>
      <c r="D2552" s="2" t="str">
        <f t="shared" si="38"/>
        <v>OK</v>
      </c>
    </row>
    <row r="2553" spans="1:4" x14ac:dyDescent="0.2">
      <c r="A2553" s="5">
        <v>2492</v>
      </c>
      <c r="B2553" s="138">
        <f>'Acct Summary 7-8'!C6</f>
        <v>1508874</v>
      </c>
      <c r="C2553" s="2" t="s">
        <v>573</v>
      </c>
      <c r="D2553" s="2" t="str">
        <f t="shared" si="38"/>
        <v>Error?</v>
      </c>
    </row>
    <row r="2554" spans="1:4" x14ac:dyDescent="0.2">
      <c r="A2554" s="5">
        <v>2493</v>
      </c>
      <c r="B2554" s="138">
        <f>'Acct Summary 7-8'!C7</f>
        <v>1502651</v>
      </c>
      <c r="C2554" s="2" t="s">
        <v>573</v>
      </c>
      <c r="D2554" s="2" t="str">
        <f t="shared" si="38"/>
        <v>Error?</v>
      </c>
    </row>
    <row r="2555" spans="1:4" x14ac:dyDescent="0.2">
      <c r="A2555" s="5">
        <v>2494</v>
      </c>
      <c r="B2555" s="138">
        <f>'Acct Summary 7-8'!C8</f>
        <v>17062070</v>
      </c>
      <c r="C2555" s="2" t="s">
        <v>573</v>
      </c>
      <c r="D2555" s="2" t="str">
        <f t="shared" si="38"/>
        <v>Error?</v>
      </c>
    </row>
    <row r="2556" spans="1:4" x14ac:dyDescent="0.2">
      <c r="A2556" s="5">
        <v>2495</v>
      </c>
      <c r="B2556" s="138">
        <f>'Acct Summary 7-8'!C12</f>
        <v>4581852</v>
      </c>
      <c r="C2556" s="2" t="s">
        <v>573</v>
      </c>
      <c r="D2556" s="2" t="str">
        <f t="shared" si="38"/>
        <v>Error?</v>
      </c>
    </row>
    <row r="2557" spans="1:4" x14ac:dyDescent="0.2">
      <c r="A2557" s="5">
        <v>2496</v>
      </c>
      <c r="B2557" s="138">
        <f>'Acct Summary 7-8'!C13</f>
        <v>5902639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6418277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16902768</v>
      </c>
      <c r="C2561" s="2" t="s">
        <v>573</v>
      </c>
      <c r="D2561" s="2" t="str">
        <f t="shared" si="39"/>
        <v>Error?</v>
      </c>
    </row>
    <row r="2562" spans="1:4" x14ac:dyDescent="0.2">
      <c r="A2562" s="5">
        <v>2501</v>
      </c>
      <c r="B2562" s="138">
        <f>'Acct Summary 7-8'!C20</f>
        <v>159302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49054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49054</v>
      </c>
      <c r="C2573" s="2" t="s">
        <v>573</v>
      </c>
      <c r="D2573" s="2" t="str">
        <f t="shared" si="39"/>
        <v>Error?</v>
      </c>
    </row>
    <row r="2574" spans="1:4" x14ac:dyDescent="0.2">
      <c r="A2574" s="5">
        <v>2513</v>
      </c>
      <c r="B2574" s="138">
        <f>'Acct Summary 7-8'!D20</f>
        <v>-49054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43618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43618</v>
      </c>
      <c r="C2595" s="2" t="s">
        <v>573</v>
      </c>
      <c r="D2595" s="2" t="str">
        <f t="shared" si="39"/>
        <v>Error?</v>
      </c>
    </row>
    <row r="2596" spans="1:4" x14ac:dyDescent="0.2">
      <c r="A2596" s="5">
        <v>2535</v>
      </c>
      <c r="B2596" s="138">
        <f>'Acct Summary 7-8'!F13</f>
        <v>64400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64400</v>
      </c>
      <c r="C2600" s="2" t="s">
        <v>573</v>
      </c>
      <c r="D2600" s="2" t="str">
        <f t="shared" si="39"/>
        <v>Error?</v>
      </c>
    </row>
    <row r="2601" spans="1:4" x14ac:dyDescent="0.2">
      <c r="A2601" s="5">
        <v>2540</v>
      </c>
      <c r="B2601" s="138">
        <f>'Acct Summary 7-8'!F20</f>
        <v>-20782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9949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47517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39694</v>
      </c>
      <c r="D2914" s="2" t="str">
        <f t="shared" si="44"/>
        <v>Error?</v>
      </c>
    </row>
    <row r="2915" spans="1:4" x14ac:dyDescent="0.2">
      <c r="A2915" s="10">
        <v>2854</v>
      </c>
      <c r="D2915" s="2" t="str">
        <f t="shared" si="44"/>
        <v>OK</v>
      </c>
    </row>
    <row r="2916" spans="1:4" x14ac:dyDescent="0.2">
      <c r="A2916" s="5">
        <v>2855</v>
      </c>
      <c r="B2916" s="138">
        <f>'Assets-Liab 5-6'!L34</f>
        <v>39694</v>
      </c>
      <c r="C2916" s="2" t="s">
        <v>573</v>
      </c>
      <c r="D2916" s="2" t="str">
        <f t="shared" si="44"/>
        <v>Error?</v>
      </c>
    </row>
    <row r="2917" spans="1:4" x14ac:dyDescent="0.2">
      <c r="A2917" s="5">
        <v>2856</v>
      </c>
      <c r="B2917" s="138">
        <f>'Assets-Liab 5-6'!L41</f>
        <v>47517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77160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77160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7823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30000</v>
      </c>
      <c r="C3231" s="2" t="s">
        <v>573</v>
      </c>
      <c r="D3231" s="2" t="str">
        <f t="shared" si="49"/>
        <v>Error?</v>
      </c>
    </row>
    <row r="3232" spans="1:4" x14ac:dyDescent="0.2">
      <c r="A3232" s="5">
        <v>3171</v>
      </c>
      <c r="B3232" s="138">
        <f>'Acct Summary 7-8'!C77</f>
        <v>-30000</v>
      </c>
      <c r="C3232" s="2" t="s">
        <v>573</v>
      </c>
      <c r="D3232" s="2" t="str">
        <f t="shared" si="49"/>
        <v>Error?</v>
      </c>
    </row>
    <row r="3233" spans="1:4" x14ac:dyDescent="0.2">
      <c r="A3233" s="5">
        <v>3172</v>
      </c>
      <c r="B3233" s="138">
        <f>'Acct Summary 7-8'!C78</f>
        <v>129302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-49054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30000</v>
      </c>
      <c r="C3255" s="2" t="s">
        <v>573</v>
      </c>
      <c r="D3255" s="2" t="str">
        <f t="shared" si="49"/>
        <v>Error?</v>
      </c>
    </row>
    <row r="3256" spans="1:4" x14ac:dyDescent="0.2">
      <c r="A3256" s="5">
        <v>3195</v>
      </c>
      <c r="B3256" s="138">
        <f>'Acct Summary 7-8'!F78</f>
        <v>9218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3040385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511204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359608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41206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277407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4229810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6340597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2753743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72914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11635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36904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9949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9949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9949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111988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2851151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19913221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43618</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2851151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19753919</v>
      </c>
      <c r="C4136" s="2" t="s">
        <v>573</v>
      </c>
      <c r="D4136" s="2" t="str">
        <f t="shared" si="63"/>
        <v>Error?</v>
      </c>
    </row>
    <row r="4137" spans="1:4" x14ac:dyDescent="0.2">
      <c r="A4137" s="5">
        <v>4076</v>
      </c>
      <c r="B4137" s="138">
        <f>'Acct Summary 7-8'!D19</f>
        <v>49054</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64400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2483275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47543</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90420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6924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505528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30000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30000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143372</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4578113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4721485</v>
      </c>
      <c r="C5087" s="2" t="s">
        <v>573</v>
      </c>
      <c r="D5087" s="2" t="str">
        <f t="shared" si="78"/>
        <v>Error?</v>
      </c>
    </row>
    <row r="5088" spans="1:4" x14ac:dyDescent="0.2">
      <c r="A5088" s="5">
        <v>5027</v>
      </c>
      <c r="B5088" s="138">
        <f>'Revenues 9-14'!C65</f>
        <v>17120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17120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4096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4096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97760</v>
      </c>
      <c r="D5113" s="2" t="str">
        <f t="shared" si="78"/>
        <v>Error?</v>
      </c>
    </row>
    <row r="5114" spans="1:4" x14ac:dyDescent="0.2">
      <c r="A5114" s="5">
        <v>5053</v>
      </c>
      <c r="B5114" s="138">
        <f>'Revenues 9-14'!C96</f>
        <v>34021</v>
      </c>
      <c r="D5114" s="2" t="str">
        <f t="shared" si="78"/>
        <v>Error?</v>
      </c>
    </row>
    <row r="5115" spans="1:4" x14ac:dyDescent="0.2">
      <c r="A5115" s="5">
        <v>5054</v>
      </c>
      <c r="B5115" s="138">
        <f>'Revenues 9-14'!C98</f>
        <v>2408028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1759</v>
      </c>
      <c r="D5117" s="2" t="str">
        <f t="shared" si="78"/>
        <v>Error?</v>
      </c>
    </row>
    <row r="5118" spans="1:4" x14ac:dyDescent="0.2">
      <c r="A5118" s="5">
        <v>5057</v>
      </c>
      <c r="B5118" s="138">
        <f>'Revenues 9-14'!C106</f>
        <v>400000</v>
      </c>
      <c r="D5118" s="2" t="str">
        <f t="shared" si="78"/>
        <v>Error?</v>
      </c>
    </row>
    <row r="5119" spans="1:4" x14ac:dyDescent="0.2">
      <c r="A5119" s="5">
        <v>5058</v>
      </c>
      <c r="B5119" s="138">
        <f>'Revenues 9-14'!C107</f>
        <v>25679</v>
      </c>
      <c r="D5119" s="2" t="str">
        <f t="shared" ref="D5119:D5182" si="79">IF(ISBLANK(B5119),"OK",IF(A5119-B5119=0,"OK","Error?"))</f>
        <v>Error?</v>
      </c>
    </row>
    <row r="5120" spans="1:4" x14ac:dyDescent="0.2">
      <c r="A5120" s="5">
        <v>5059</v>
      </c>
      <c r="B5120" s="138">
        <f>'Revenues 9-14'!C108</f>
        <v>2967247</v>
      </c>
      <c r="C5120" s="2" t="s">
        <v>573</v>
      </c>
      <c r="D5120" s="2" t="str">
        <f t="shared" si="79"/>
        <v>Error?</v>
      </c>
    </row>
    <row r="5121" spans="1:4" x14ac:dyDescent="0.2">
      <c r="A5121" s="5">
        <v>5060</v>
      </c>
      <c r="B5121" s="138">
        <f>'Revenues 9-14'!C109</f>
        <v>7709948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6340597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6340597</v>
      </c>
      <c r="C5125" s="2" t="s">
        <v>573</v>
      </c>
      <c r="D5125" s="2" t="str">
        <f t="shared" si="79"/>
        <v>Error?</v>
      </c>
    </row>
    <row r="5126" spans="1:4" x14ac:dyDescent="0.2">
      <c r="A5126" s="5">
        <v>5065</v>
      </c>
      <c r="B5126" s="138">
        <f>'Revenues 9-14'!C117</f>
        <v>967039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967039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2907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33400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541835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1508874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91564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55477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194584</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177571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1031402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1208973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1502651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1502651</v>
      </c>
      <c r="C5326" s="2" t="s">
        <v>573</v>
      </c>
      <c r="D5326" s="2" t="str">
        <f t="shared" si="82"/>
        <v>Error?</v>
      </c>
    </row>
    <row r="5327" spans="1:5" x14ac:dyDescent="0.2">
      <c r="A5327" s="5">
        <v>5266</v>
      </c>
      <c r="B5327" s="138">
        <f>'Revenues 9-14'!C268</f>
        <v>17062070</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37547</v>
      </c>
      <c r="D5615" s="2" t="str">
        <f t="shared" si="86"/>
        <v>Error?</v>
      </c>
    </row>
    <row r="5616" spans="1:4" x14ac:dyDescent="0.2">
      <c r="A5616" s="10">
        <v>5555</v>
      </c>
      <c r="D5616" s="2" t="str">
        <f t="shared" si="86"/>
        <v>OK</v>
      </c>
    </row>
    <row r="5617" spans="1:5" x14ac:dyDescent="0.2">
      <c r="A5617" s="5">
        <v>5556</v>
      </c>
      <c r="B5617" s="138">
        <f>'Revenues 9-14'!F153</f>
        <v>6071</v>
      </c>
      <c r="D5617" s="2" t="str">
        <f t="shared" si="86"/>
        <v>Error?</v>
      </c>
    </row>
    <row r="5618" spans="1:5" x14ac:dyDescent="0.2">
      <c r="A5618" s="5">
        <v>5557</v>
      </c>
      <c r="B5618" s="138">
        <f>'Revenues 9-14'!F155</f>
        <v>43618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43618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43618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43618</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8164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1475371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9393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421709</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50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10613</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1323719</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2442</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49224</v>
      </c>
      <c r="D6142" s="2" t="str">
        <f t="shared" si="94"/>
        <v>Error?</v>
      </c>
      <c r="E6142" s="2" t="s">
        <v>190</v>
      </c>
    </row>
    <row r="6143" spans="1:5" x14ac:dyDescent="0.2">
      <c r="A6143">
        <v>6082</v>
      </c>
      <c r="B6143" s="138">
        <f>'Assets-Liab 5-6'!D27</f>
        <v>9949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260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809659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129302</v>
      </c>
      <c r="D6267" s="2" t="str">
        <f t="shared" si="96"/>
        <v>Error?</v>
      </c>
      <c r="E6267" s="2" t="s">
        <v>190</v>
      </c>
    </row>
    <row r="6268" spans="1:5" x14ac:dyDescent="0.2">
      <c r="A6268">
        <v>6207</v>
      </c>
      <c r="B6268" s="138">
        <f>'Acct Summary 7-8'!D82</f>
        <v>-49054</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9218</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5.3832453348010394E-2</v>
      </c>
      <c r="D6276" s="2" t="str">
        <f t="shared" si="97"/>
        <v>Error?</v>
      </c>
      <c r="E6276" s="2" t="s">
        <v>190</v>
      </c>
    </row>
    <row r="6277" spans="1:5" x14ac:dyDescent="0.2">
      <c r="A6277">
        <v>6216</v>
      </c>
      <c r="B6277" s="138">
        <f>'Acct Summary 7-8'!D83</f>
        <v>-0.77906773604383384</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0.50163256421419244</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235596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10613</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10613</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5187642</v>
      </c>
      <c r="D6998" s="2" t="str">
        <f t="shared" si="108"/>
        <v>Error?</v>
      </c>
    </row>
    <row r="6999" spans="1:4" x14ac:dyDescent="0.2">
      <c r="A6999">
        <v>6938</v>
      </c>
      <c r="B6999" s="138">
        <f>'Expenditures 15-22'!K94</f>
        <v>5187642</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1153475</v>
      </c>
      <c r="D7009" s="2" t="str">
        <f t="shared" si="108"/>
        <v>Error?</v>
      </c>
    </row>
    <row r="7010" spans="1:4" x14ac:dyDescent="0.2">
      <c r="A7010">
        <v>6949</v>
      </c>
      <c r="B7010" s="138">
        <f>'Expenditures 15-22'!K99</f>
        <v>1153475</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6341117</v>
      </c>
      <c r="D7012" s="2" t="str">
        <f t="shared" si="108"/>
        <v>Error?</v>
      </c>
    </row>
    <row r="7013" spans="1:4" x14ac:dyDescent="0.2">
      <c r="A7013">
        <v>6952</v>
      </c>
      <c r="B7013" s="138">
        <f>'Expenditures 15-22'!K100</f>
        <v>6341117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201909</v>
      </c>
      <c r="D7251" s="2" t="str">
        <f t="shared" si="112"/>
        <v>Error?</v>
      </c>
    </row>
    <row r="7252" spans="1:4" x14ac:dyDescent="0.2">
      <c r="A7252">
        <f t="shared" si="113"/>
        <v>7191</v>
      </c>
      <c r="B7252" s="138">
        <f>'Expenditures 15-22'!D9</f>
        <v>27957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4572</v>
      </c>
      <c r="D7254" s="2" t="str">
        <f t="shared" si="112"/>
        <v>Error?</v>
      </c>
    </row>
    <row r="7255" spans="1:4" x14ac:dyDescent="0.2">
      <c r="A7255">
        <f t="shared" si="113"/>
        <v>7194</v>
      </c>
      <c r="B7255" s="138">
        <f>'Expenditures 15-22'!G9</f>
        <v>1158</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214006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1750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29'!D141</f>
        <v>0</v>
      </c>
      <c r="D7797" s="2" t="str">
        <f t="shared" si="127"/>
        <v>Error?</v>
      </c>
      <c r="E7797" s="4" t="s">
        <v>1897</v>
      </c>
    </row>
    <row r="7798" spans="1:5" x14ac:dyDescent="0.2">
      <c r="A7798">
        <v>7737</v>
      </c>
      <c r="B7798" s="138">
        <f>'Contracts Paid in CY 29'!F141</f>
        <v>0</v>
      </c>
      <c r="D7798" s="2" t="str">
        <f t="shared" si="127"/>
        <v>Error?</v>
      </c>
      <c r="E7798" s="4" t="s">
        <v>1897</v>
      </c>
    </row>
    <row r="7799" spans="1:5" x14ac:dyDescent="0.2">
      <c r="A7799">
        <v>7738</v>
      </c>
      <c r="B7799" s="138">
        <f>'Contracts Paid in CY 29'!G141</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604" t="s">
        <v>1191</v>
      </c>
      <c r="B2" s="2604"/>
      <c r="C2" s="2604"/>
      <c r="D2" s="2604"/>
      <c r="E2" s="2604"/>
      <c r="F2" s="2604"/>
      <c r="G2" s="2604"/>
      <c r="H2" s="2604"/>
      <c r="I2" s="2604"/>
      <c r="J2" s="2604"/>
      <c r="K2" s="2604"/>
      <c r="L2" s="2604"/>
    </row>
    <row r="3" spans="1:29" ht="13.5" customHeight="1" x14ac:dyDescent="0.2">
      <c r="A3" s="2590" t="s">
        <v>1190</v>
      </c>
      <c r="B3" s="2590"/>
      <c r="C3" s="2590"/>
      <c r="D3" s="2590"/>
      <c r="E3" s="2590"/>
      <c r="F3" s="2590"/>
      <c r="G3" s="2590"/>
      <c r="H3" s="2590"/>
      <c r="I3" s="2590"/>
      <c r="J3" s="2590"/>
      <c r="K3" s="2590"/>
      <c r="L3" s="2590"/>
    </row>
    <row r="4" spans="1:29" ht="13.5" customHeight="1" x14ac:dyDescent="0.2">
      <c r="A4" s="2604" t="s">
        <v>1982</v>
      </c>
      <c r="B4" s="2621"/>
      <c r="C4" s="2621"/>
      <c r="D4" s="2621"/>
      <c r="E4" s="2621"/>
      <c r="F4" s="2621"/>
      <c r="G4" s="2621"/>
      <c r="H4" s="2621"/>
      <c r="I4" s="2621"/>
      <c r="J4" s="2621"/>
      <c r="K4" s="2621"/>
      <c r="L4" s="262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84" t="str">
        <f>COVER!A17</f>
        <v xml:space="preserve">Black Hawk Area Sp Ed District </v>
      </c>
      <c r="B7" s="2585"/>
      <c r="C7" s="2585"/>
      <c r="D7" s="2622"/>
      <c r="E7" s="2623">
        <f>COVER!A13</f>
        <v>49081865060</v>
      </c>
      <c r="F7" s="2624"/>
      <c r="G7" s="2591" t="str">
        <f>COVER!T23</f>
        <v>066-005027</v>
      </c>
      <c r="H7" s="2592"/>
      <c r="I7" s="2592"/>
      <c r="J7" s="2592"/>
      <c r="K7" s="2592"/>
      <c r="L7" s="2593"/>
    </row>
    <row r="8" spans="1:29" ht="13.5" customHeight="1" x14ac:dyDescent="0.2">
      <c r="A8" s="1181" t="s">
        <v>1516</v>
      </c>
      <c r="B8" s="1182"/>
      <c r="C8" s="1183"/>
      <c r="D8" s="1183"/>
      <c r="E8" s="1188"/>
      <c r="F8" s="1187"/>
      <c r="G8" s="1189" t="s">
        <v>1186</v>
      </c>
      <c r="H8" s="1190"/>
      <c r="I8" s="1190"/>
      <c r="J8" s="1190"/>
      <c r="K8" s="1190"/>
      <c r="L8" s="1191"/>
    </row>
    <row r="9" spans="1:29" ht="13.5" customHeight="1" x14ac:dyDescent="0.2">
      <c r="A9" s="2594"/>
      <c r="B9" s="2595"/>
      <c r="C9" s="2595"/>
      <c r="D9" s="2595"/>
      <c r="E9" s="2595"/>
      <c r="F9" s="2596"/>
      <c r="G9" s="2597" t="str">
        <f>COVER!T13</f>
        <v>Gorenz and Associates, Ltd.</v>
      </c>
      <c r="H9" s="2598"/>
      <c r="I9" s="2598"/>
      <c r="J9" s="2598"/>
      <c r="K9" s="2598"/>
      <c r="L9" s="2599"/>
    </row>
    <row r="10" spans="1:29" ht="13.5" customHeight="1" x14ac:dyDescent="0.2">
      <c r="A10" s="2581" t="str">
        <f>COVER!A38</f>
        <v>Christan Schrader</v>
      </c>
      <c r="B10" s="2582"/>
      <c r="C10" s="2582"/>
      <c r="D10" s="2582"/>
      <c r="E10" s="2582"/>
      <c r="F10" s="2583"/>
      <c r="G10" s="2597" t="str">
        <f>COVER!T17</f>
        <v>4200 N Knoxville Ave</v>
      </c>
      <c r="H10" s="2610"/>
      <c r="I10" s="2610"/>
      <c r="J10" s="2610"/>
      <c r="K10" s="2610"/>
      <c r="L10" s="2611"/>
    </row>
    <row r="11" spans="1:29" ht="13.5" customHeight="1" x14ac:dyDescent="0.2">
      <c r="A11" s="1181" t="s">
        <v>1518</v>
      </c>
      <c r="B11" s="1182"/>
      <c r="C11" s="1183"/>
      <c r="D11" s="1188"/>
      <c r="E11" s="1183"/>
      <c r="F11" s="1187"/>
      <c r="G11" s="2597" t="str">
        <f>COVER!T19</f>
        <v>Peoria</v>
      </c>
      <c r="H11" s="2610"/>
      <c r="I11" s="2610"/>
      <c r="J11" s="2610"/>
      <c r="K11" s="2610"/>
      <c r="L11" s="2611"/>
    </row>
    <row r="12" spans="1:29" ht="13.5" customHeight="1" x14ac:dyDescent="0.2">
      <c r="A12" s="2615" t="s">
        <v>1517</v>
      </c>
      <c r="B12" s="2616"/>
      <c r="C12" s="2616"/>
      <c r="D12" s="2616"/>
      <c r="E12" s="2616"/>
      <c r="F12" s="2617"/>
      <c r="G12" s="2612"/>
      <c r="H12" s="2613"/>
      <c r="I12" s="2613"/>
      <c r="J12" s="2613"/>
      <c r="K12" s="2613"/>
      <c r="L12" s="2614"/>
    </row>
    <row r="13" spans="1:29" ht="13.5" customHeight="1" x14ac:dyDescent="0.2">
      <c r="A13" s="2597"/>
      <c r="B13" s="2610"/>
      <c r="C13" s="2610"/>
      <c r="D13" s="2610"/>
      <c r="E13" s="2610"/>
      <c r="F13" s="2611"/>
      <c r="G13" s="2605" t="s">
        <v>1519</v>
      </c>
      <c r="H13" s="2606"/>
      <c r="I13" s="2618" t="str">
        <f>COVER!T25</f>
        <v>rrumbold@gorenzcpa.com</v>
      </c>
      <c r="J13" s="2619"/>
      <c r="K13" s="2619"/>
      <c r="L13" s="2620"/>
    </row>
    <row r="14" spans="1:29" ht="13.5" customHeight="1" x14ac:dyDescent="0.2">
      <c r="A14" s="2597" t="str">
        <f>COVER!A19</f>
        <v>4670 11th Street</v>
      </c>
      <c r="B14" s="2610"/>
      <c r="C14" s="2610"/>
      <c r="D14" s="2610"/>
      <c r="E14" s="2610"/>
      <c r="F14" s="2611"/>
      <c r="G14" s="1192" t="s">
        <v>1185</v>
      </c>
      <c r="H14" s="1190"/>
      <c r="I14" s="1190"/>
      <c r="J14" s="1190"/>
      <c r="K14" s="1190"/>
      <c r="L14" s="1191"/>
    </row>
    <row r="15" spans="1:29" ht="13.5" customHeight="1" x14ac:dyDescent="0.2">
      <c r="A15" s="2597" t="str">
        <f>COVER!A21</f>
        <v>East Moline, Illinois</v>
      </c>
      <c r="B15" s="2610"/>
      <c r="C15" s="2610"/>
      <c r="D15" s="2610"/>
      <c r="E15" s="2610"/>
      <c r="F15" s="2611"/>
      <c r="G15" s="2607" t="str">
        <f>COVER!T15</f>
        <v>Russell J. Rumbold, CPA</v>
      </c>
      <c r="H15" s="2608"/>
      <c r="I15" s="2608"/>
      <c r="J15" s="2608"/>
      <c r="K15" s="2608"/>
      <c r="L15" s="2609"/>
    </row>
    <row r="16" spans="1:29" ht="12.2" customHeight="1" x14ac:dyDescent="0.2">
      <c r="A16" s="2587">
        <f>COVER!A25</f>
        <v>61244</v>
      </c>
      <c r="B16" s="2588"/>
      <c r="C16" s="2588"/>
      <c r="D16" s="2588"/>
      <c r="E16" s="2588"/>
      <c r="F16" s="2589"/>
      <c r="G16" s="2600"/>
      <c r="H16" s="2601"/>
      <c r="I16" s="2601"/>
      <c r="J16" s="2601"/>
      <c r="K16" s="2601"/>
      <c r="L16" s="2602"/>
    </row>
    <row r="17" spans="1:13" ht="12.2" customHeight="1" x14ac:dyDescent="0.2">
      <c r="A17" s="2603"/>
      <c r="B17" s="2588"/>
      <c r="C17" s="2588"/>
      <c r="D17" s="2588"/>
      <c r="E17" s="2588"/>
      <c r="F17" s="2589"/>
      <c r="G17" s="1192" t="s">
        <v>1184</v>
      </c>
      <c r="H17" s="1190"/>
      <c r="I17" s="1190"/>
      <c r="J17" s="1190"/>
      <c r="K17" s="1194" t="s">
        <v>1183</v>
      </c>
      <c r="L17" s="1187"/>
      <c r="M17" s="1180"/>
    </row>
    <row r="18" spans="1:13" ht="12.2" customHeight="1" x14ac:dyDescent="0.2">
      <c r="A18" s="2581"/>
      <c r="B18" s="2582"/>
      <c r="C18" s="2582"/>
      <c r="D18" s="2582"/>
      <c r="E18" s="2582"/>
      <c r="F18" s="2583"/>
      <c r="G18" s="2584" t="str">
        <f>COVER!T21</f>
        <v>309-685-7621</v>
      </c>
      <c r="H18" s="2585"/>
      <c r="I18" s="2585"/>
      <c r="J18" s="2585"/>
      <c r="K18" s="2584" t="str">
        <f>COVER!X21</f>
        <v>309-685-4758</v>
      </c>
      <c r="L18" s="258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1697</v>
      </c>
    </row>
    <row r="22" spans="1:13" ht="12.2" customHeight="1" x14ac:dyDescent="0.2">
      <c r="A22" s="1197"/>
    </row>
    <row r="23" spans="1:13" ht="12.2" customHeight="1" x14ac:dyDescent="0.2">
      <c r="A23" s="1197"/>
      <c r="B23" s="1198" t="s">
        <v>2063</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2063</v>
      </c>
      <c r="C26" s="1199" t="s">
        <v>1698</v>
      </c>
    </row>
    <row r="27" spans="1:13" s="1195" customFormat="1" ht="9" customHeight="1" x14ac:dyDescent="0.2">
      <c r="B27" s="1200"/>
      <c r="C27" s="1199"/>
    </row>
    <row r="28" spans="1:13" s="1195" customFormat="1" ht="12.2" customHeight="1" x14ac:dyDescent="0.2">
      <c r="A28" s="1202"/>
      <c r="B28" s="1198" t="s">
        <v>2063</v>
      </c>
      <c r="C28" s="1199" t="s">
        <v>1699</v>
      </c>
    </row>
    <row r="29" spans="1:13" s="1195" customFormat="1" ht="9" customHeight="1" x14ac:dyDescent="0.2">
      <c r="A29" s="1202"/>
      <c r="B29" s="1200"/>
      <c r="C29" s="1199"/>
    </row>
    <row r="30" spans="1:13" s="1195" customFormat="1" ht="12.2" customHeight="1" x14ac:dyDescent="0.2">
      <c r="B30" s="1198" t="s">
        <v>2063</v>
      </c>
      <c r="C30" s="1199" t="s">
        <v>1561</v>
      </c>
      <c r="D30" s="1193"/>
      <c r="E30" s="1193"/>
    </row>
    <row r="31" spans="1:13" s="1195" customFormat="1" ht="9" customHeight="1" x14ac:dyDescent="0.2">
      <c r="B31" s="1200"/>
      <c r="C31" s="1199"/>
      <c r="D31" s="1193"/>
      <c r="E31" s="1193"/>
    </row>
    <row r="32" spans="1:13" s="1195" customFormat="1" ht="12.2" customHeight="1" x14ac:dyDescent="0.2">
      <c r="B32" s="1198" t="s">
        <v>2063</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2063</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2063</v>
      </c>
      <c r="C38" s="1199" t="s">
        <v>1565</v>
      </c>
    </row>
    <row r="39" spans="1:8" ht="9" customHeight="1" x14ac:dyDescent="0.2">
      <c r="B39" s="1200"/>
      <c r="C39" s="1203"/>
    </row>
    <row r="40" spans="1:8" s="1195" customFormat="1" ht="13.5" customHeight="1" x14ac:dyDescent="0.2">
      <c r="B40" s="1198" t="s">
        <v>2063</v>
      </c>
      <c r="C40" s="1199" t="s">
        <v>1566</v>
      </c>
    </row>
    <row r="41" spans="1:8" ht="9" customHeight="1" x14ac:dyDescent="0.2">
      <c r="A41" s="1204"/>
      <c r="B41" s="1200"/>
      <c r="C41" s="1203"/>
    </row>
    <row r="42" spans="1:8" s="1195" customFormat="1" ht="13.5" customHeight="1" x14ac:dyDescent="0.2">
      <c r="B42" s="1198" t="s">
        <v>2063</v>
      </c>
      <c r="C42" s="1199" t="s">
        <v>1830</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07"/>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625" t="str">
        <f>'Single Audit Cover'!A7</f>
        <v xml:space="preserve">Black Hawk Area Sp Ed District </v>
      </c>
      <c r="B1" s="2621"/>
      <c r="C1" s="2621"/>
      <c r="D1" s="2621"/>
    </row>
    <row r="2" spans="1:11" s="1209" customFormat="1" ht="12.75" x14ac:dyDescent="0.2">
      <c r="A2" s="2626">
        <f>'Single Audit Cover'!E7</f>
        <v>49081865060</v>
      </c>
      <c r="B2" s="2627"/>
      <c r="C2" s="2627"/>
      <c r="D2" s="2627"/>
    </row>
    <row r="3" spans="1:11" s="1209" customFormat="1" ht="12.75" x14ac:dyDescent="0.2">
      <c r="A3" s="2625" t="s">
        <v>1512</v>
      </c>
      <c r="B3" s="2621"/>
      <c r="C3" s="2621"/>
      <c r="D3" s="2621"/>
    </row>
    <row r="4" spans="1:11" s="1209" customFormat="1" ht="4.5" customHeight="1" x14ac:dyDescent="0.2">
      <c r="A4" s="1210"/>
      <c r="B4" s="1211"/>
      <c r="C4" s="1211"/>
      <c r="D4" s="1211"/>
    </row>
    <row r="5" spans="1:11" x14ac:dyDescent="0.2">
      <c r="B5" s="1213" t="s">
        <v>1513</v>
      </c>
      <c r="C5" s="1214"/>
      <c r="D5" s="1215"/>
    </row>
    <row r="6" spans="1:11" x14ac:dyDescent="0.2">
      <c r="B6" s="1213" t="s">
        <v>1225</v>
      </c>
      <c r="C6" s="1214"/>
      <c r="D6" s="1215"/>
    </row>
    <row r="7" spans="1:11" x14ac:dyDescent="0.2">
      <c r="B7" s="1213" t="s">
        <v>1514</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1209</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1208</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1207</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1206</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1200</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1831</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629" t="str">
        <f>'Single Audit Cover'!A7</f>
        <v xml:space="preserve">Black Hawk Area Sp Ed District </v>
      </c>
      <c r="B1" s="2629"/>
      <c r="C1" s="2629"/>
      <c r="D1" s="2629"/>
      <c r="E1" s="2629"/>
    </row>
    <row r="2" spans="1:5" x14ac:dyDescent="0.2">
      <c r="A2" s="2630">
        <f>'Single Audit Cover'!E7</f>
        <v>49081865060</v>
      </c>
      <c r="B2" s="2630"/>
      <c r="C2" s="2630"/>
      <c r="D2" s="2630"/>
      <c r="E2" s="2630"/>
    </row>
    <row r="3" spans="1:5" ht="4.5" customHeight="1" x14ac:dyDescent="0.2"/>
    <row r="4" spans="1:5" x14ac:dyDescent="0.2">
      <c r="A4" s="2629" t="s">
        <v>1245</v>
      </c>
      <c r="B4" s="2629"/>
      <c r="C4" s="2629"/>
      <c r="D4" s="2629"/>
      <c r="E4" s="2629"/>
    </row>
    <row r="5" spans="1:5" x14ac:dyDescent="0.2">
      <c r="A5" s="2632" t="str">
        <f>'Single Audit Cover'!A4</f>
        <v>Year Ending June 30, 2019</v>
      </c>
      <c r="B5" s="2632"/>
      <c r="C5" s="2632"/>
      <c r="D5" s="2632"/>
      <c r="E5" s="2632"/>
    </row>
    <row r="6" spans="1:5" x14ac:dyDescent="0.2">
      <c r="A6" s="2629" t="s">
        <v>1244</v>
      </c>
      <c r="B6" s="2629"/>
      <c r="C6" s="2629"/>
      <c r="D6" s="2629"/>
      <c r="E6" s="2629"/>
    </row>
    <row r="8" spans="1:5" x14ac:dyDescent="0.2">
      <c r="A8" s="1254" t="s">
        <v>1243</v>
      </c>
    </row>
    <row r="10" spans="1:5" x14ac:dyDescent="0.2">
      <c r="A10" s="1255" t="s">
        <v>1242</v>
      </c>
      <c r="B10" s="1256" t="s">
        <v>1241</v>
      </c>
      <c r="C10" s="1256"/>
      <c r="D10" s="1257">
        <f>SUM('Acct Summary 7-8'!C7:K7)</f>
        <v>1502651</v>
      </c>
    </row>
    <row r="11" spans="1:5" ht="18" customHeight="1" x14ac:dyDescent="0.2">
      <c r="A11" s="1255" t="s">
        <v>1240</v>
      </c>
      <c r="B11" s="1256"/>
      <c r="C11" s="1256"/>
    </row>
    <row r="12" spans="1:5" x14ac:dyDescent="0.2">
      <c r="A12" s="1255" t="s">
        <v>1239</v>
      </c>
      <c r="B12" s="1256" t="s">
        <v>1238</v>
      </c>
      <c r="C12" s="1256"/>
      <c r="D12" s="1258">
        <f>SUM('Revenues 9-14'!C112:D112,'Revenues 9-14'!F112:G112)</f>
        <v>6340597</v>
      </c>
    </row>
    <row r="13" spans="1:5" x14ac:dyDescent="0.2">
      <c r="A13" s="1255" t="s">
        <v>1237</v>
      </c>
      <c r="B13" s="1256"/>
      <c r="C13" s="1256"/>
    </row>
    <row r="14" spans="1:5" x14ac:dyDescent="0.2">
      <c r="A14" s="1255" t="s">
        <v>1726</v>
      </c>
      <c r="B14" s="1256"/>
      <c r="C14" s="1256"/>
      <c r="D14" s="1258">
        <f>'ICR Computation 30'!E11</f>
        <v>8164</v>
      </c>
    </row>
    <row r="15" spans="1:5" x14ac:dyDescent="0.2">
      <c r="A15" s="1255"/>
      <c r="B15" s="1256"/>
      <c r="C15" s="1256"/>
    </row>
    <row r="16" spans="1:5" x14ac:dyDescent="0.2">
      <c r="A16" s="1255" t="s">
        <v>1837</v>
      </c>
      <c r="B16" s="1256"/>
      <c r="C16" s="1256"/>
    </row>
    <row r="17" spans="1:4" x14ac:dyDescent="0.2">
      <c r="A17" s="1255" t="s">
        <v>2054</v>
      </c>
      <c r="B17" s="1256" t="s">
        <v>1236</v>
      </c>
      <c r="C17" s="1256"/>
      <c r="D17" s="1258">
        <f>-SUM('Revenues 9-14'!C264:D264,'Revenues 9-14'!F264:G264)</f>
        <v>-6924</v>
      </c>
    </row>
    <row r="19" spans="1:4" ht="13.5" thickBot="1" x14ac:dyDescent="0.25">
      <c r="A19" s="1259" t="s">
        <v>1235</v>
      </c>
      <c r="D19" s="1260">
        <f>SUM(D10:D17)</f>
        <v>7844488</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631"/>
      <c r="B24" s="2631"/>
      <c r="D24" s="1262"/>
    </row>
    <row r="25" spans="1:4" x14ac:dyDescent="0.2">
      <c r="A25" s="2628"/>
      <c r="B25" s="2628"/>
      <c r="D25" s="1262"/>
    </row>
    <row r="26" spans="1:4" x14ac:dyDescent="0.2">
      <c r="A26" s="2628"/>
      <c r="B26" s="2628"/>
      <c r="D26" s="1262"/>
    </row>
    <row r="27" spans="1:4" x14ac:dyDescent="0.2">
      <c r="A27" s="2628"/>
      <c r="B27" s="2628"/>
      <c r="D27" s="1262"/>
    </row>
    <row r="28" spans="1:4" x14ac:dyDescent="0.2">
      <c r="A28" s="2628"/>
      <c r="B28" s="2628"/>
      <c r="D28" s="1262"/>
    </row>
    <row r="29" spans="1:4" x14ac:dyDescent="0.2">
      <c r="A29" s="2628"/>
      <c r="B29" s="2628"/>
      <c r="D29" s="1262"/>
    </row>
    <row r="30" spans="1:4" x14ac:dyDescent="0.2">
      <c r="A30" s="2628"/>
      <c r="B30" s="2628"/>
      <c r="D30" s="1262"/>
    </row>
    <row r="32" spans="1:4" x14ac:dyDescent="0.2">
      <c r="A32" s="1254" t="s">
        <v>1233</v>
      </c>
      <c r="D32" s="1257">
        <f>SUM(D19:D30)</f>
        <v>7844488</v>
      </c>
    </row>
    <row r="33" spans="1:4" x14ac:dyDescent="0.2">
      <c r="D33" s="1263"/>
    </row>
    <row r="34" spans="1:4" x14ac:dyDescent="0.2">
      <c r="A34" s="317" t="s">
        <v>1232</v>
      </c>
    </row>
    <row r="35" spans="1:4" x14ac:dyDescent="0.2">
      <c r="A35" s="317" t="s">
        <v>1231</v>
      </c>
      <c r="B35" s="1252" t="s">
        <v>1230</v>
      </c>
      <c r="D35" s="1264">
        <v>7844488</v>
      </c>
    </row>
    <row r="37" spans="1:4" x14ac:dyDescent="0.2">
      <c r="A37" s="1254" t="s">
        <v>1229</v>
      </c>
    </row>
    <row r="39" spans="1:4" ht="13.35" customHeight="1" x14ac:dyDescent="0.2">
      <c r="A39" s="1261" t="s">
        <v>1228</v>
      </c>
    </row>
    <row r="40" spans="1:4" x14ac:dyDescent="0.2">
      <c r="A40" s="2628"/>
      <c r="B40" s="2628"/>
      <c r="D40" s="1262"/>
    </row>
    <row r="41" spans="1:4" x14ac:dyDescent="0.2">
      <c r="A41" s="2628"/>
      <c r="B41" s="2628"/>
      <c r="D41" s="1265"/>
    </row>
    <row r="42" spans="1:4" x14ac:dyDescent="0.2">
      <c r="A42" s="2628"/>
      <c r="B42" s="2628"/>
      <c r="D42" s="1265"/>
    </row>
    <row r="43" spans="1:4" x14ac:dyDescent="0.2">
      <c r="A43" s="2628"/>
      <c r="B43" s="2628"/>
      <c r="D43" s="1265"/>
    </row>
    <row r="44" spans="1:4" x14ac:dyDescent="0.2">
      <c r="A44" s="2628"/>
      <c r="B44" s="2628"/>
      <c r="D44" s="1265"/>
    </row>
    <row r="45" spans="1:4" x14ac:dyDescent="0.2">
      <c r="A45" s="2628"/>
      <c r="B45" s="2628"/>
      <c r="D45" s="1265"/>
    </row>
    <row r="47" spans="1:4" x14ac:dyDescent="0.2">
      <c r="B47" s="1266" t="s">
        <v>1227</v>
      </c>
      <c r="C47" s="1266"/>
      <c r="D47" s="1267">
        <f>SUM(D35:D45)</f>
        <v>7844488</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40" customWidth="1"/>
    <col min="4" max="4" width="12.7109375" style="1341"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90" t="str">
        <f>'Single Audit Cover'!A7</f>
        <v xml:space="preserve">Black Hawk Area Sp Ed District </v>
      </c>
      <c r="C1" s="2633"/>
      <c r="D1" s="2633"/>
      <c r="E1" s="2633"/>
      <c r="F1" s="2633"/>
      <c r="G1" s="2633"/>
      <c r="H1" s="2633"/>
      <c r="I1" s="2633"/>
      <c r="J1" s="2633"/>
      <c r="K1" s="2633"/>
      <c r="L1" s="2633"/>
      <c r="M1" s="2633"/>
    </row>
    <row r="2" spans="2:14" ht="15" x14ac:dyDescent="0.2">
      <c r="B2" s="2634">
        <f>'Single Audit Cover'!E7</f>
        <v>49081865060</v>
      </c>
      <c r="C2" s="2634"/>
      <c r="D2" s="2634"/>
      <c r="E2" s="2634"/>
      <c r="F2" s="2634"/>
      <c r="G2" s="2634"/>
      <c r="H2" s="2634"/>
      <c r="I2" s="2634"/>
      <c r="J2" s="2634"/>
      <c r="K2" s="2634"/>
      <c r="L2" s="2634"/>
      <c r="M2" s="2634"/>
      <c r="N2" s="1285"/>
    </row>
    <row r="3" spans="2:14" ht="15" x14ac:dyDescent="0.2">
      <c r="B3" s="2635" t="s">
        <v>1219</v>
      </c>
      <c r="C3" s="2635"/>
      <c r="D3" s="2635"/>
      <c r="E3" s="2635"/>
      <c r="F3" s="2635"/>
      <c r="G3" s="2635"/>
      <c r="H3" s="2635"/>
      <c r="I3" s="2635"/>
      <c r="J3" s="2635"/>
      <c r="K3" s="2635"/>
      <c r="L3" s="2635"/>
      <c r="M3" s="2635"/>
      <c r="N3" s="1285"/>
    </row>
    <row r="4" spans="2:14" ht="15" x14ac:dyDescent="0.2">
      <c r="B4" s="2636" t="str">
        <f>'Single Audit Cover'!A4</f>
        <v>Year Ending June 30, 2019</v>
      </c>
      <c r="C4" s="2636"/>
      <c r="D4" s="2636"/>
      <c r="E4" s="2636"/>
      <c r="F4" s="2636"/>
      <c r="G4" s="2636"/>
      <c r="H4" s="2636"/>
      <c r="I4" s="2636"/>
      <c r="J4" s="2636"/>
      <c r="K4" s="2636"/>
      <c r="L4" s="2636"/>
      <c r="M4" s="2636"/>
      <c r="N4" s="1285"/>
    </row>
    <row r="6" spans="2:14" x14ac:dyDescent="0.2">
      <c r="B6" s="1286"/>
      <c r="C6" s="1287"/>
      <c r="D6" s="1288" t="s">
        <v>1265</v>
      </c>
      <c r="E6" s="1289" t="s">
        <v>527</v>
      </c>
      <c r="F6" s="1290"/>
      <c r="G6" s="1291" t="s">
        <v>1729</v>
      </c>
      <c r="H6" s="1289"/>
      <c r="I6" s="1289"/>
      <c r="J6" s="1289"/>
      <c r="K6" s="1292"/>
      <c r="L6" s="1293"/>
      <c r="M6" s="1294"/>
    </row>
    <row r="7" spans="2:14" x14ac:dyDescent="0.2">
      <c r="B7" s="1295" t="s">
        <v>1580</v>
      </c>
      <c r="C7" s="1296"/>
      <c r="D7" s="1297"/>
      <c r="E7" s="1298"/>
      <c r="F7" s="1299"/>
      <c r="G7" s="1298"/>
      <c r="H7" s="1300" t="s">
        <v>1262</v>
      </c>
      <c r="I7" s="1298"/>
      <c r="J7" s="1301" t="s">
        <v>1262</v>
      </c>
      <c r="K7" s="1302"/>
      <c r="L7" s="1303" t="s">
        <v>1260</v>
      </c>
      <c r="M7" s="1304"/>
    </row>
    <row r="8" spans="2:14" x14ac:dyDescent="0.2">
      <c r="B8" s="1639"/>
      <c r="C8" s="1296" t="s">
        <v>1264</v>
      </c>
      <c r="D8" s="1297" t="s">
        <v>1263</v>
      </c>
      <c r="E8" s="1305" t="s">
        <v>1262</v>
      </c>
      <c r="F8" s="1306" t="s">
        <v>1262</v>
      </c>
      <c r="G8" s="1307" t="s">
        <v>1262</v>
      </c>
      <c r="H8" s="1300" t="s">
        <v>1833</v>
      </c>
      <c r="I8" s="1302" t="s">
        <v>1262</v>
      </c>
      <c r="J8" s="1301" t="s">
        <v>1983</v>
      </c>
      <c r="K8" s="1302" t="s">
        <v>1261</v>
      </c>
      <c r="L8" s="1303" t="s">
        <v>1257</v>
      </c>
      <c r="M8" s="1304" t="s">
        <v>30</v>
      </c>
    </row>
    <row r="9" spans="2:14" ht="14.25" x14ac:dyDescent="0.2">
      <c r="B9" s="1308" t="s">
        <v>1259</v>
      </c>
      <c r="C9" s="1296" t="s">
        <v>1730</v>
      </c>
      <c r="D9" s="1297" t="s">
        <v>1731</v>
      </c>
      <c r="E9" s="1305" t="s">
        <v>1833</v>
      </c>
      <c r="F9" s="1306" t="s">
        <v>1983</v>
      </c>
      <c r="G9" s="1307" t="s">
        <v>1833</v>
      </c>
      <c r="H9" s="1300" t="s">
        <v>1581</v>
      </c>
      <c r="I9" s="1302" t="s">
        <v>1983</v>
      </c>
      <c r="J9" s="1301" t="s">
        <v>1581</v>
      </c>
      <c r="K9" s="1302" t="s">
        <v>1258</v>
      </c>
      <c r="L9" s="1309" t="s">
        <v>1582</v>
      </c>
      <c r="M9" s="1304"/>
    </row>
    <row r="10" spans="2:14" ht="11.85" customHeight="1" x14ac:dyDescent="0.2">
      <c r="B10" s="1308" t="s">
        <v>1256</v>
      </c>
      <c r="C10" s="1310" t="s">
        <v>1255</v>
      </c>
      <c r="D10" s="1311" t="s">
        <v>1254</v>
      </c>
      <c r="E10" s="1312" t="s">
        <v>1253</v>
      </c>
      <c r="F10" s="1313" t="s">
        <v>1252</v>
      </c>
      <c r="G10" s="1314" t="s">
        <v>1251</v>
      </c>
      <c r="H10" s="1315" t="s">
        <v>1266</v>
      </c>
      <c r="I10" s="1316" t="s">
        <v>1250</v>
      </c>
      <c r="J10" s="1317" t="s">
        <v>1266</v>
      </c>
      <c r="K10" s="1318" t="s">
        <v>1249</v>
      </c>
      <c r="L10" s="1318" t="s">
        <v>1248</v>
      </c>
      <c r="M10" s="1319" t="s">
        <v>1247</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t="s">
        <v>2064</v>
      </c>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1169</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51"/>
      <c r="C29" s="1332"/>
      <c r="D29" s="1333"/>
      <c r="E29" s="1251"/>
      <c r="F29" s="1251"/>
      <c r="G29" s="1244"/>
      <c r="H29" s="1244"/>
      <c r="I29" s="1244"/>
      <c r="J29" s="1244"/>
      <c r="K29" s="1244"/>
      <c r="L29" s="1244"/>
      <c r="M29" s="1251"/>
      <c r="N29" s="1327"/>
    </row>
    <row r="30" spans="2:14" ht="13.5" customHeight="1" x14ac:dyDescent="0.2">
      <c r="B30" s="1273" t="s">
        <v>1732</v>
      </c>
      <c r="C30" s="1332"/>
      <c r="D30" s="1333"/>
      <c r="E30" s="1251"/>
      <c r="F30" s="1251"/>
      <c r="G30" s="1244"/>
      <c r="H30" s="1244"/>
      <c r="I30" s="1244"/>
      <c r="J30" s="1244"/>
      <c r="K30" s="1244"/>
      <c r="L30" s="1244"/>
      <c r="M30" s="1251"/>
      <c r="N30" s="1327"/>
    </row>
    <row r="31" spans="2:14" ht="8.25" customHeight="1" x14ac:dyDescent="0.2">
      <c r="B31" s="1273"/>
      <c r="C31" s="1332"/>
      <c r="D31" s="1333"/>
      <c r="E31" s="1251"/>
      <c r="F31" s="1251"/>
      <c r="G31" s="1244"/>
      <c r="H31" s="1244"/>
      <c r="I31" s="1244"/>
      <c r="J31" s="1244"/>
      <c r="K31" s="1244"/>
      <c r="L31" s="1244"/>
      <c r="M31" s="1251"/>
      <c r="N31" s="1327"/>
    </row>
    <row r="32" spans="2:14" x14ac:dyDescent="0.2">
      <c r="B32" s="1334" t="s">
        <v>1834</v>
      </c>
      <c r="C32" s="1335"/>
      <c r="D32" s="1336"/>
      <c r="E32" s="1337"/>
      <c r="F32" s="1337"/>
      <c r="G32" s="1337"/>
      <c r="H32" s="1337"/>
      <c r="I32" s="317"/>
      <c r="J32" s="317"/>
    </row>
    <row r="33" spans="2:13" x14ac:dyDescent="0.2">
      <c r="B33" s="1269"/>
      <c r="C33" s="1338"/>
      <c r="D33" s="1339"/>
      <c r="E33" s="1270"/>
      <c r="F33" s="1270"/>
      <c r="G33" s="317"/>
      <c r="H33" s="317"/>
      <c r="I33" s="317"/>
      <c r="J33" s="317"/>
    </row>
    <row r="34" spans="2:13" ht="13.5" customHeight="1" x14ac:dyDescent="0.2">
      <c r="B34" s="1268" t="s">
        <v>1246</v>
      </c>
      <c r="G34" s="317"/>
      <c r="H34" s="317"/>
      <c r="I34" s="317"/>
      <c r="J34" s="317"/>
    </row>
    <row r="35" spans="2:13" ht="13.5" customHeight="1" x14ac:dyDescent="0.2">
      <c r="B35" s="1342"/>
      <c r="C35" s="1343"/>
      <c r="D35" s="1344"/>
      <c r="E35" s="1283"/>
      <c r="F35" s="1283"/>
      <c r="G35" s="1283"/>
      <c r="H35" s="1283"/>
      <c r="I35" s="1283"/>
      <c r="J35" s="1283"/>
      <c r="K35" s="1345"/>
      <c r="L35" s="1345"/>
      <c r="M35" s="1283"/>
    </row>
    <row r="36" spans="2:13" ht="9.6" customHeight="1" x14ac:dyDescent="0.2">
      <c r="B36" s="1346"/>
      <c r="G36" s="317"/>
      <c r="H36" s="317"/>
      <c r="I36" s="317"/>
      <c r="J36" s="317"/>
    </row>
    <row r="37" spans="2:13" ht="11.25" customHeight="1" x14ac:dyDescent="0.2">
      <c r="B37" s="1347" t="s">
        <v>1733</v>
      </c>
      <c r="C37" s="1348"/>
      <c r="D37" s="1348"/>
      <c r="E37" s="1348"/>
      <c r="F37" s="1348"/>
      <c r="G37" s="1348"/>
      <c r="H37" s="1348"/>
      <c r="I37" s="1349"/>
      <c r="J37" s="1349"/>
      <c r="K37" s="1349"/>
      <c r="L37" s="1349"/>
      <c r="M37" s="1349"/>
    </row>
    <row r="38" spans="2:13" ht="11.25" customHeight="1" x14ac:dyDescent="0.2">
      <c r="B38" s="1350" t="s">
        <v>1583</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1734</v>
      </c>
      <c r="C40" s="1349"/>
      <c r="D40" s="1349"/>
      <c r="E40" s="1349"/>
      <c r="F40" s="1349"/>
      <c r="G40" s="1349"/>
      <c r="H40" s="1349"/>
      <c r="I40" s="1349"/>
      <c r="J40" s="1349"/>
      <c r="K40" s="1349"/>
      <c r="L40" s="1349"/>
      <c r="M40" s="1349"/>
    </row>
    <row r="41" spans="2:13" ht="11.25" customHeight="1" x14ac:dyDescent="0.2">
      <c r="B41" s="1284" t="s">
        <v>1584</v>
      </c>
      <c r="C41" s="1351"/>
      <c r="D41" s="1352"/>
      <c r="E41" s="1284"/>
      <c r="F41" s="1284"/>
      <c r="G41" s="1284"/>
      <c r="H41" s="1284"/>
      <c r="I41" s="1284"/>
      <c r="J41" s="1284"/>
      <c r="K41" s="1353"/>
      <c r="L41" s="1353"/>
      <c r="M41" s="1284"/>
    </row>
    <row r="42" spans="2:13" ht="3.95" customHeight="1" x14ac:dyDescent="0.2">
      <c r="B42" s="1284"/>
      <c r="C42" s="1351"/>
      <c r="D42" s="1352"/>
      <c r="E42" s="1284"/>
      <c r="F42" s="1284"/>
      <c r="G42" s="1284"/>
      <c r="H42" s="1284"/>
      <c r="I42" s="1284"/>
      <c r="J42" s="1284"/>
      <c r="K42" s="1353"/>
      <c r="L42" s="1353"/>
      <c r="M42" s="1284"/>
    </row>
    <row r="43" spans="2:13" ht="11.25" customHeight="1" x14ac:dyDescent="0.2">
      <c r="B43" s="1354" t="s">
        <v>1735</v>
      </c>
      <c r="C43" s="1351"/>
      <c r="D43" s="1352"/>
      <c r="E43" s="1284"/>
      <c r="F43" s="1284"/>
      <c r="G43" s="1284"/>
      <c r="H43" s="1284"/>
      <c r="I43" s="1284"/>
      <c r="J43" s="1284"/>
      <c r="K43" s="1353"/>
      <c r="L43" s="1353"/>
      <c r="M43" s="1284"/>
    </row>
    <row r="44" spans="2:13" ht="3.95" customHeight="1" x14ac:dyDescent="0.2">
      <c r="B44" s="1354"/>
      <c r="C44" s="1351"/>
      <c r="D44" s="1352"/>
      <c r="E44" s="1284"/>
      <c r="F44" s="1284"/>
      <c r="G44" s="1284"/>
      <c r="H44" s="1284"/>
      <c r="I44" s="1284"/>
      <c r="J44" s="1284"/>
      <c r="K44" s="1353"/>
      <c r="L44" s="1353"/>
      <c r="M44" s="1284"/>
    </row>
    <row r="45" spans="2:13" ht="11.25" customHeight="1" x14ac:dyDescent="0.2">
      <c r="B45" s="1355" t="s">
        <v>1736</v>
      </c>
      <c r="C45" s="1351"/>
      <c r="D45" s="1352"/>
      <c r="E45" s="1284"/>
      <c r="F45" s="1284"/>
      <c r="G45" s="1284"/>
      <c r="H45" s="1284"/>
      <c r="I45" s="1284"/>
      <c r="J45" s="1284"/>
      <c r="K45" s="1353"/>
      <c r="L45" s="1353"/>
      <c r="M45" s="1284"/>
    </row>
    <row r="46" spans="2:13" ht="11.25" customHeight="1" x14ac:dyDescent="0.2">
      <c r="B46" s="1284" t="s">
        <v>1585</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pageSetUpPr fitToPage="1"/>
  </sheetPr>
  <dimension ref="A1:N180"/>
  <sheetViews>
    <sheetView showGridLines="0" zoomScale="90" zoomScaleNormal="90" zoomScaleSheetLayoutView="75" workbookViewId="0">
      <pane xSplit="3" ySplit="9" topLeftCell="D10" activePane="bottomRight" state="frozen"/>
      <selection pane="topRight" activeCell="D1" sqref="D1"/>
      <selection pane="bottomLeft" activeCell="A10" sqref="A10"/>
      <selection pane="bottomRight" activeCell="D10" sqref="D10"/>
    </sheetView>
  </sheetViews>
  <sheetFormatPr defaultColWidth="16.7109375" defaultRowHeight="12.75" x14ac:dyDescent="0.2"/>
  <cols>
    <col min="1" max="1" width="5.42578125" style="2003" customWidth="1"/>
    <col min="2" max="2" width="1.7109375" style="2003" customWidth="1"/>
    <col min="3" max="3" width="46.140625" style="2001" customWidth="1"/>
    <col min="4" max="4" width="21.28515625" style="2001" customWidth="1"/>
    <col min="5" max="5" width="26.5703125" style="2001" customWidth="1"/>
    <col min="6" max="7" width="12.28515625" style="2001" customWidth="1"/>
    <col min="8" max="8" width="13.140625" style="2001" customWidth="1"/>
    <col min="9" max="9" width="12.28515625" style="2001" customWidth="1"/>
    <col min="10" max="10" width="15.5703125" style="2001" customWidth="1"/>
    <col min="11" max="11" width="13.140625" style="2001" customWidth="1"/>
    <col min="12" max="12" width="3.85546875" style="2002" customWidth="1"/>
    <col min="13" max="13" width="13.28515625" style="2001" customWidth="1"/>
    <col min="14" max="14" width="12.42578125" style="2001" customWidth="1"/>
    <col min="15" max="245" width="16.7109375" style="2001"/>
    <col min="246" max="246" width="5.42578125" style="2001" customWidth="1"/>
    <col min="247" max="247" width="1.7109375" style="2001" customWidth="1"/>
    <col min="248" max="248" width="46.140625" style="2001" customWidth="1"/>
    <col min="249" max="249" width="21.28515625" style="2001" customWidth="1"/>
    <col min="250" max="250" width="26.5703125" style="2001" customWidth="1"/>
    <col min="251" max="252" width="12.28515625" style="2001" customWidth="1"/>
    <col min="253" max="253" width="13.140625" style="2001" customWidth="1"/>
    <col min="254" max="254" width="12.28515625" style="2001" customWidth="1"/>
    <col min="255" max="255" width="15.5703125" style="2001" customWidth="1"/>
    <col min="256" max="256" width="13.140625" style="2001" customWidth="1"/>
    <col min="257" max="257" width="3.85546875" style="2001" customWidth="1"/>
    <col min="258" max="258" width="13.28515625" style="2001" customWidth="1"/>
    <col min="259" max="259" width="12.42578125" style="2001" customWidth="1"/>
    <col min="260" max="501" width="16.7109375" style="2001"/>
    <col min="502" max="502" width="5.42578125" style="2001" customWidth="1"/>
    <col min="503" max="503" width="1.7109375" style="2001" customWidth="1"/>
    <col min="504" max="504" width="46.140625" style="2001" customWidth="1"/>
    <col min="505" max="505" width="21.28515625" style="2001" customWidth="1"/>
    <col min="506" max="506" width="26.5703125" style="2001" customWidth="1"/>
    <col min="507" max="508" width="12.28515625" style="2001" customWidth="1"/>
    <col min="509" max="509" width="13.140625" style="2001" customWidth="1"/>
    <col min="510" max="510" width="12.28515625" style="2001" customWidth="1"/>
    <col min="511" max="511" width="15.5703125" style="2001" customWidth="1"/>
    <col min="512" max="512" width="13.140625" style="2001" customWidth="1"/>
    <col min="513" max="513" width="3.85546875" style="2001" customWidth="1"/>
    <col min="514" max="514" width="13.28515625" style="2001" customWidth="1"/>
    <col min="515" max="515" width="12.42578125" style="2001" customWidth="1"/>
    <col min="516" max="757" width="16.7109375" style="2001"/>
    <col min="758" max="758" width="5.42578125" style="2001" customWidth="1"/>
    <col min="759" max="759" width="1.7109375" style="2001" customWidth="1"/>
    <col min="760" max="760" width="46.140625" style="2001" customWidth="1"/>
    <col min="761" max="761" width="21.28515625" style="2001" customWidth="1"/>
    <col min="762" max="762" width="26.5703125" style="2001" customWidth="1"/>
    <col min="763" max="764" width="12.28515625" style="2001" customWidth="1"/>
    <col min="765" max="765" width="13.140625" style="2001" customWidth="1"/>
    <col min="766" max="766" width="12.28515625" style="2001" customWidth="1"/>
    <col min="767" max="767" width="15.5703125" style="2001" customWidth="1"/>
    <col min="768" max="768" width="13.140625" style="2001" customWidth="1"/>
    <col min="769" max="769" width="3.85546875" style="2001" customWidth="1"/>
    <col min="770" max="770" width="13.28515625" style="2001" customWidth="1"/>
    <col min="771" max="771" width="12.42578125" style="2001" customWidth="1"/>
    <col min="772" max="1013" width="16.7109375" style="2001"/>
    <col min="1014" max="1014" width="5.42578125" style="2001" customWidth="1"/>
    <col min="1015" max="1015" width="1.7109375" style="2001" customWidth="1"/>
    <col min="1016" max="1016" width="46.140625" style="2001" customWidth="1"/>
    <col min="1017" max="1017" width="21.28515625" style="2001" customWidth="1"/>
    <col min="1018" max="1018" width="26.5703125" style="2001" customWidth="1"/>
    <col min="1019" max="1020" width="12.28515625" style="2001" customWidth="1"/>
    <col min="1021" max="1021" width="13.140625" style="2001" customWidth="1"/>
    <col min="1022" max="1022" width="12.28515625" style="2001" customWidth="1"/>
    <col min="1023" max="1023" width="15.5703125" style="2001" customWidth="1"/>
    <col min="1024" max="1024" width="13.140625" style="2001" customWidth="1"/>
    <col min="1025" max="1025" width="3.85546875" style="2001" customWidth="1"/>
    <col min="1026" max="1026" width="13.28515625" style="2001" customWidth="1"/>
    <col min="1027" max="1027" width="12.42578125" style="2001" customWidth="1"/>
    <col min="1028" max="1269" width="16.7109375" style="2001"/>
    <col min="1270" max="1270" width="5.42578125" style="2001" customWidth="1"/>
    <col min="1271" max="1271" width="1.7109375" style="2001" customWidth="1"/>
    <col min="1272" max="1272" width="46.140625" style="2001" customWidth="1"/>
    <col min="1273" max="1273" width="21.28515625" style="2001" customWidth="1"/>
    <col min="1274" max="1274" width="26.5703125" style="2001" customWidth="1"/>
    <col min="1275" max="1276" width="12.28515625" style="2001" customWidth="1"/>
    <col min="1277" max="1277" width="13.140625" style="2001" customWidth="1"/>
    <col min="1278" max="1278" width="12.28515625" style="2001" customWidth="1"/>
    <col min="1279" max="1279" width="15.5703125" style="2001" customWidth="1"/>
    <col min="1280" max="1280" width="13.140625" style="2001" customWidth="1"/>
    <col min="1281" max="1281" width="3.85546875" style="2001" customWidth="1"/>
    <col min="1282" max="1282" width="13.28515625" style="2001" customWidth="1"/>
    <col min="1283" max="1283" width="12.42578125" style="2001" customWidth="1"/>
    <col min="1284" max="1525" width="16.7109375" style="2001"/>
    <col min="1526" max="1526" width="5.42578125" style="2001" customWidth="1"/>
    <col min="1527" max="1527" width="1.7109375" style="2001" customWidth="1"/>
    <col min="1528" max="1528" width="46.140625" style="2001" customWidth="1"/>
    <col min="1529" max="1529" width="21.28515625" style="2001" customWidth="1"/>
    <col min="1530" max="1530" width="26.5703125" style="2001" customWidth="1"/>
    <col min="1531" max="1532" width="12.28515625" style="2001" customWidth="1"/>
    <col min="1533" max="1533" width="13.140625" style="2001" customWidth="1"/>
    <col min="1534" max="1534" width="12.28515625" style="2001" customWidth="1"/>
    <col min="1535" max="1535" width="15.5703125" style="2001" customWidth="1"/>
    <col min="1536" max="1536" width="13.140625" style="2001" customWidth="1"/>
    <col min="1537" max="1537" width="3.85546875" style="2001" customWidth="1"/>
    <col min="1538" max="1538" width="13.28515625" style="2001" customWidth="1"/>
    <col min="1539" max="1539" width="12.42578125" style="2001" customWidth="1"/>
    <col min="1540" max="1781" width="16.7109375" style="2001"/>
    <col min="1782" max="1782" width="5.42578125" style="2001" customWidth="1"/>
    <col min="1783" max="1783" width="1.7109375" style="2001" customWidth="1"/>
    <col min="1784" max="1784" width="46.140625" style="2001" customWidth="1"/>
    <col min="1785" max="1785" width="21.28515625" style="2001" customWidth="1"/>
    <col min="1786" max="1786" width="26.5703125" style="2001" customWidth="1"/>
    <col min="1787" max="1788" width="12.28515625" style="2001" customWidth="1"/>
    <col min="1789" max="1789" width="13.140625" style="2001" customWidth="1"/>
    <col min="1790" max="1790" width="12.28515625" style="2001" customWidth="1"/>
    <col min="1791" max="1791" width="15.5703125" style="2001" customWidth="1"/>
    <col min="1792" max="1792" width="13.140625" style="2001" customWidth="1"/>
    <col min="1793" max="1793" width="3.85546875" style="2001" customWidth="1"/>
    <col min="1794" max="1794" width="13.28515625" style="2001" customWidth="1"/>
    <col min="1795" max="1795" width="12.42578125" style="2001" customWidth="1"/>
    <col min="1796" max="2037" width="16.7109375" style="2001"/>
    <col min="2038" max="2038" width="5.42578125" style="2001" customWidth="1"/>
    <col min="2039" max="2039" width="1.7109375" style="2001" customWidth="1"/>
    <col min="2040" max="2040" width="46.140625" style="2001" customWidth="1"/>
    <col min="2041" max="2041" width="21.28515625" style="2001" customWidth="1"/>
    <col min="2042" max="2042" width="26.5703125" style="2001" customWidth="1"/>
    <col min="2043" max="2044" width="12.28515625" style="2001" customWidth="1"/>
    <col min="2045" max="2045" width="13.140625" style="2001" customWidth="1"/>
    <col min="2046" max="2046" width="12.28515625" style="2001" customWidth="1"/>
    <col min="2047" max="2047" width="15.5703125" style="2001" customWidth="1"/>
    <col min="2048" max="2048" width="13.140625" style="2001" customWidth="1"/>
    <col min="2049" max="2049" width="3.85546875" style="2001" customWidth="1"/>
    <col min="2050" max="2050" width="13.28515625" style="2001" customWidth="1"/>
    <col min="2051" max="2051" width="12.42578125" style="2001" customWidth="1"/>
    <col min="2052" max="2293" width="16.7109375" style="2001"/>
    <col min="2294" max="2294" width="5.42578125" style="2001" customWidth="1"/>
    <col min="2295" max="2295" width="1.7109375" style="2001" customWidth="1"/>
    <col min="2296" max="2296" width="46.140625" style="2001" customWidth="1"/>
    <col min="2297" max="2297" width="21.28515625" style="2001" customWidth="1"/>
    <col min="2298" max="2298" width="26.5703125" style="2001" customWidth="1"/>
    <col min="2299" max="2300" width="12.28515625" style="2001" customWidth="1"/>
    <col min="2301" max="2301" width="13.140625" style="2001" customWidth="1"/>
    <col min="2302" max="2302" width="12.28515625" style="2001" customWidth="1"/>
    <col min="2303" max="2303" width="15.5703125" style="2001" customWidth="1"/>
    <col min="2304" max="2304" width="13.140625" style="2001" customWidth="1"/>
    <col min="2305" max="2305" width="3.85546875" style="2001" customWidth="1"/>
    <col min="2306" max="2306" width="13.28515625" style="2001" customWidth="1"/>
    <col min="2307" max="2307" width="12.42578125" style="2001" customWidth="1"/>
    <col min="2308" max="2549" width="16.7109375" style="2001"/>
    <col min="2550" max="2550" width="5.42578125" style="2001" customWidth="1"/>
    <col min="2551" max="2551" width="1.7109375" style="2001" customWidth="1"/>
    <col min="2552" max="2552" width="46.140625" style="2001" customWidth="1"/>
    <col min="2553" max="2553" width="21.28515625" style="2001" customWidth="1"/>
    <col min="2554" max="2554" width="26.5703125" style="2001" customWidth="1"/>
    <col min="2555" max="2556" width="12.28515625" style="2001" customWidth="1"/>
    <col min="2557" max="2557" width="13.140625" style="2001" customWidth="1"/>
    <col min="2558" max="2558" width="12.28515625" style="2001" customWidth="1"/>
    <col min="2559" max="2559" width="15.5703125" style="2001" customWidth="1"/>
    <col min="2560" max="2560" width="13.140625" style="2001" customWidth="1"/>
    <col min="2561" max="2561" width="3.85546875" style="2001" customWidth="1"/>
    <col min="2562" max="2562" width="13.28515625" style="2001" customWidth="1"/>
    <col min="2563" max="2563" width="12.42578125" style="2001" customWidth="1"/>
    <col min="2564" max="2805" width="16.7109375" style="2001"/>
    <col min="2806" max="2806" width="5.42578125" style="2001" customWidth="1"/>
    <col min="2807" max="2807" width="1.7109375" style="2001" customWidth="1"/>
    <col min="2808" max="2808" width="46.140625" style="2001" customWidth="1"/>
    <col min="2809" max="2809" width="21.28515625" style="2001" customWidth="1"/>
    <col min="2810" max="2810" width="26.5703125" style="2001" customWidth="1"/>
    <col min="2811" max="2812" width="12.28515625" style="2001" customWidth="1"/>
    <col min="2813" max="2813" width="13.140625" style="2001" customWidth="1"/>
    <col min="2814" max="2814" width="12.28515625" style="2001" customWidth="1"/>
    <col min="2815" max="2815" width="15.5703125" style="2001" customWidth="1"/>
    <col min="2816" max="2816" width="13.140625" style="2001" customWidth="1"/>
    <col min="2817" max="2817" width="3.85546875" style="2001" customWidth="1"/>
    <col min="2818" max="2818" width="13.28515625" style="2001" customWidth="1"/>
    <col min="2819" max="2819" width="12.42578125" style="2001" customWidth="1"/>
    <col min="2820" max="3061" width="16.7109375" style="2001"/>
    <col min="3062" max="3062" width="5.42578125" style="2001" customWidth="1"/>
    <col min="3063" max="3063" width="1.7109375" style="2001" customWidth="1"/>
    <col min="3064" max="3064" width="46.140625" style="2001" customWidth="1"/>
    <col min="3065" max="3065" width="21.28515625" style="2001" customWidth="1"/>
    <col min="3066" max="3066" width="26.5703125" style="2001" customWidth="1"/>
    <col min="3067" max="3068" width="12.28515625" style="2001" customWidth="1"/>
    <col min="3069" max="3069" width="13.140625" style="2001" customWidth="1"/>
    <col min="3070" max="3070" width="12.28515625" style="2001" customWidth="1"/>
    <col min="3071" max="3071" width="15.5703125" style="2001" customWidth="1"/>
    <col min="3072" max="3072" width="13.140625" style="2001" customWidth="1"/>
    <col min="3073" max="3073" width="3.85546875" style="2001" customWidth="1"/>
    <col min="3074" max="3074" width="13.28515625" style="2001" customWidth="1"/>
    <col min="3075" max="3075" width="12.42578125" style="2001" customWidth="1"/>
    <col min="3076" max="3317" width="16.7109375" style="2001"/>
    <col min="3318" max="3318" width="5.42578125" style="2001" customWidth="1"/>
    <col min="3319" max="3319" width="1.7109375" style="2001" customWidth="1"/>
    <col min="3320" max="3320" width="46.140625" style="2001" customWidth="1"/>
    <col min="3321" max="3321" width="21.28515625" style="2001" customWidth="1"/>
    <col min="3322" max="3322" width="26.5703125" style="2001" customWidth="1"/>
    <col min="3323" max="3324" width="12.28515625" style="2001" customWidth="1"/>
    <col min="3325" max="3325" width="13.140625" style="2001" customWidth="1"/>
    <col min="3326" max="3326" width="12.28515625" style="2001" customWidth="1"/>
    <col min="3327" max="3327" width="15.5703125" style="2001" customWidth="1"/>
    <col min="3328" max="3328" width="13.140625" style="2001" customWidth="1"/>
    <col min="3329" max="3329" width="3.85546875" style="2001" customWidth="1"/>
    <col min="3330" max="3330" width="13.28515625" style="2001" customWidth="1"/>
    <col min="3331" max="3331" width="12.42578125" style="2001" customWidth="1"/>
    <col min="3332" max="3573" width="16.7109375" style="2001"/>
    <col min="3574" max="3574" width="5.42578125" style="2001" customWidth="1"/>
    <col min="3575" max="3575" width="1.7109375" style="2001" customWidth="1"/>
    <col min="3576" max="3576" width="46.140625" style="2001" customWidth="1"/>
    <col min="3577" max="3577" width="21.28515625" style="2001" customWidth="1"/>
    <col min="3578" max="3578" width="26.5703125" style="2001" customWidth="1"/>
    <col min="3579" max="3580" width="12.28515625" style="2001" customWidth="1"/>
    <col min="3581" max="3581" width="13.140625" style="2001" customWidth="1"/>
    <col min="3582" max="3582" width="12.28515625" style="2001" customWidth="1"/>
    <col min="3583" max="3583" width="15.5703125" style="2001" customWidth="1"/>
    <col min="3584" max="3584" width="13.140625" style="2001" customWidth="1"/>
    <col min="3585" max="3585" width="3.85546875" style="2001" customWidth="1"/>
    <col min="3586" max="3586" width="13.28515625" style="2001" customWidth="1"/>
    <col min="3587" max="3587" width="12.42578125" style="2001" customWidth="1"/>
    <col min="3588" max="3829" width="16.7109375" style="2001"/>
    <col min="3830" max="3830" width="5.42578125" style="2001" customWidth="1"/>
    <col min="3831" max="3831" width="1.7109375" style="2001" customWidth="1"/>
    <col min="3832" max="3832" width="46.140625" style="2001" customWidth="1"/>
    <col min="3833" max="3833" width="21.28515625" style="2001" customWidth="1"/>
    <col min="3834" max="3834" width="26.5703125" style="2001" customWidth="1"/>
    <col min="3835" max="3836" width="12.28515625" style="2001" customWidth="1"/>
    <col min="3837" max="3837" width="13.140625" style="2001" customWidth="1"/>
    <col min="3838" max="3838" width="12.28515625" style="2001" customWidth="1"/>
    <col min="3839" max="3839" width="15.5703125" style="2001" customWidth="1"/>
    <col min="3840" max="3840" width="13.140625" style="2001" customWidth="1"/>
    <col min="3841" max="3841" width="3.85546875" style="2001" customWidth="1"/>
    <col min="3842" max="3842" width="13.28515625" style="2001" customWidth="1"/>
    <col min="3843" max="3843" width="12.42578125" style="2001" customWidth="1"/>
    <col min="3844" max="4085" width="16.7109375" style="2001"/>
    <col min="4086" max="4086" width="5.42578125" style="2001" customWidth="1"/>
    <col min="4087" max="4087" width="1.7109375" style="2001" customWidth="1"/>
    <col min="4088" max="4088" width="46.140625" style="2001" customWidth="1"/>
    <col min="4089" max="4089" width="21.28515625" style="2001" customWidth="1"/>
    <col min="4090" max="4090" width="26.5703125" style="2001" customWidth="1"/>
    <col min="4091" max="4092" width="12.28515625" style="2001" customWidth="1"/>
    <col min="4093" max="4093" width="13.140625" style="2001" customWidth="1"/>
    <col min="4094" max="4094" width="12.28515625" style="2001" customWidth="1"/>
    <col min="4095" max="4095" width="15.5703125" style="2001" customWidth="1"/>
    <col min="4096" max="4096" width="13.140625" style="2001" customWidth="1"/>
    <col min="4097" max="4097" width="3.85546875" style="2001" customWidth="1"/>
    <col min="4098" max="4098" width="13.28515625" style="2001" customWidth="1"/>
    <col min="4099" max="4099" width="12.42578125" style="2001" customWidth="1"/>
    <col min="4100" max="4341" width="16.7109375" style="2001"/>
    <col min="4342" max="4342" width="5.42578125" style="2001" customWidth="1"/>
    <col min="4343" max="4343" width="1.7109375" style="2001" customWidth="1"/>
    <col min="4344" max="4344" width="46.140625" style="2001" customWidth="1"/>
    <col min="4345" max="4345" width="21.28515625" style="2001" customWidth="1"/>
    <col min="4346" max="4346" width="26.5703125" style="2001" customWidth="1"/>
    <col min="4347" max="4348" width="12.28515625" style="2001" customWidth="1"/>
    <col min="4349" max="4349" width="13.140625" style="2001" customWidth="1"/>
    <col min="4350" max="4350" width="12.28515625" style="2001" customWidth="1"/>
    <col min="4351" max="4351" width="15.5703125" style="2001" customWidth="1"/>
    <col min="4352" max="4352" width="13.140625" style="2001" customWidth="1"/>
    <col min="4353" max="4353" width="3.85546875" style="2001" customWidth="1"/>
    <col min="4354" max="4354" width="13.28515625" style="2001" customWidth="1"/>
    <col min="4355" max="4355" width="12.42578125" style="2001" customWidth="1"/>
    <col min="4356" max="4597" width="16.7109375" style="2001"/>
    <col min="4598" max="4598" width="5.42578125" style="2001" customWidth="1"/>
    <col min="4599" max="4599" width="1.7109375" style="2001" customWidth="1"/>
    <col min="4600" max="4600" width="46.140625" style="2001" customWidth="1"/>
    <col min="4601" max="4601" width="21.28515625" style="2001" customWidth="1"/>
    <col min="4602" max="4602" width="26.5703125" style="2001" customWidth="1"/>
    <col min="4603" max="4604" width="12.28515625" style="2001" customWidth="1"/>
    <col min="4605" max="4605" width="13.140625" style="2001" customWidth="1"/>
    <col min="4606" max="4606" width="12.28515625" style="2001" customWidth="1"/>
    <col min="4607" max="4607" width="15.5703125" style="2001" customWidth="1"/>
    <col min="4608" max="4608" width="13.140625" style="2001" customWidth="1"/>
    <col min="4609" max="4609" width="3.85546875" style="2001" customWidth="1"/>
    <col min="4610" max="4610" width="13.28515625" style="2001" customWidth="1"/>
    <col min="4611" max="4611" width="12.42578125" style="2001" customWidth="1"/>
    <col min="4612" max="4853" width="16.7109375" style="2001"/>
    <col min="4854" max="4854" width="5.42578125" style="2001" customWidth="1"/>
    <col min="4855" max="4855" width="1.7109375" style="2001" customWidth="1"/>
    <col min="4856" max="4856" width="46.140625" style="2001" customWidth="1"/>
    <col min="4857" max="4857" width="21.28515625" style="2001" customWidth="1"/>
    <col min="4858" max="4858" width="26.5703125" style="2001" customWidth="1"/>
    <col min="4859" max="4860" width="12.28515625" style="2001" customWidth="1"/>
    <col min="4861" max="4861" width="13.140625" style="2001" customWidth="1"/>
    <col min="4862" max="4862" width="12.28515625" style="2001" customWidth="1"/>
    <col min="4863" max="4863" width="15.5703125" style="2001" customWidth="1"/>
    <col min="4864" max="4864" width="13.140625" style="2001" customWidth="1"/>
    <col min="4865" max="4865" width="3.85546875" style="2001" customWidth="1"/>
    <col min="4866" max="4866" width="13.28515625" style="2001" customWidth="1"/>
    <col min="4867" max="4867" width="12.42578125" style="2001" customWidth="1"/>
    <col min="4868" max="5109" width="16.7109375" style="2001"/>
    <col min="5110" max="5110" width="5.42578125" style="2001" customWidth="1"/>
    <col min="5111" max="5111" width="1.7109375" style="2001" customWidth="1"/>
    <col min="5112" max="5112" width="46.140625" style="2001" customWidth="1"/>
    <col min="5113" max="5113" width="21.28515625" style="2001" customWidth="1"/>
    <col min="5114" max="5114" width="26.5703125" style="2001" customWidth="1"/>
    <col min="5115" max="5116" width="12.28515625" style="2001" customWidth="1"/>
    <col min="5117" max="5117" width="13.140625" style="2001" customWidth="1"/>
    <col min="5118" max="5118" width="12.28515625" style="2001" customWidth="1"/>
    <col min="5119" max="5119" width="15.5703125" style="2001" customWidth="1"/>
    <col min="5120" max="5120" width="13.140625" style="2001" customWidth="1"/>
    <col min="5121" max="5121" width="3.85546875" style="2001" customWidth="1"/>
    <col min="5122" max="5122" width="13.28515625" style="2001" customWidth="1"/>
    <col min="5123" max="5123" width="12.42578125" style="2001" customWidth="1"/>
    <col min="5124" max="5365" width="16.7109375" style="2001"/>
    <col min="5366" max="5366" width="5.42578125" style="2001" customWidth="1"/>
    <col min="5367" max="5367" width="1.7109375" style="2001" customWidth="1"/>
    <col min="5368" max="5368" width="46.140625" style="2001" customWidth="1"/>
    <col min="5369" max="5369" width="21.28515625" style="2001" customWidth="1"/>
    <col min="5370" max="5370" width="26.5703125" style="2001" customWidth="1"/>
    <col min="5371" max="5372" width="12.28515625" style="2001" customWidth="1"/>
    <col min="5373" max="5373" width="13.140625" style="2001" customWidth="1"/>
    <col min="5374" max="5374" width="12.28515625" style="2001" customWidth="1"/>
    <col min="5375" max="5375" width="15.5703125" style="2001" customWidth="1"/>
    <col min="5376" max="5376" width="13.140625" style="2001" customWidth="1"/>
    <col min="5377" max="5377" width="3.85546875" style="2001" customWidth="1"/>
    <col min="5378" max="5378" width="13.28515625" style="2001" customWidth="1"/>
    <col min="5379" max="5379" width="12.42578125" style="2001" customWidth="1"/>
    <col min="5380" max="5621" width="16.7109375" style="2001"/>
    <col min="5622" max="5622" width="5.42578125" style="2001" customWidth="1"/>
    <col min="5623" max="5623" width="1.7109375" style="2001" customWidth="1"/>
    <col min="5624" max="5624" width="46.140625" style="2001" customWidth="1"/>
    <col min="5625" max="5625" width="21.28515625" style="2001" customWidth="1"/>
    <col min="5626" max="5626" width="26.5703125" style="2001" customWidth="1"/>
    <col min="5627" max="5628" width="12.28515625" style="2001" customWidth="1"/>
    <col min="5629" max="5629" width="13.140625" style="2001" customWidth="1"/>
    <col min="5630" max="5630" width="12.28515625" style="2001" customWidth="1"/>
    <col min="5631" max="5631" width="15.5703125" style="2001" customWidth="1"/>
    <col min="5632" max="5632" width="13.140625" style="2001" customWidth="1"/>
    <col min="5633" max="5633" width="3.85546875" style="2001" customWidth="1"/>
    <col min="5634" max="5634" width="13.28515625" style="2001" customWidth="1"/>
    <col min="5635" max="5635" width="12.42578125" style="2001" customWidth="1"/>
    <col min="5636" max="5877" width="16.7109375" style="2001"/>
    <col min="5878" max="5878" width="5.42578125" style="2001" customWidth="1"/>
    <col min="5879" max="5879" width="1.7109375" style="2001" customWidth="1"/>
    <col min="5880" max="5880" width="46.140625" style="2001" customWidth="1"/>
    <col min="5881" max="5881" width="21.28515625" style="2001" customWidth="1"/>
    <col min="5882" max="5882" width="26.5703125" style="2001" customWidth="1"/>
    <col min="5883" max="5884" width="12.28515625" style="2001" customWidth="1"/>
    <col min="5885" max="5885" width="13.140625" style="2001" customWidth="1"/>
    <col min="5886" max="5886" width="12.28515625" style="2001" customWidth="1"/>
    <col min="5887" max="5887" width="15.5703125" style="2001" customWidth="1"/>
    <col min="5888" max="5888" width="13.140625" style="2001" customWidth="1"/>
    <col min="5889" max="5889" width="3.85546875" style="2001" customWidth="1"/>
    <col min="5890" max="5890" width="13.28515625" style="2001" customWidth="1"/>
    <col min="5891" max="5891" width="12.42578125" style="2001" customWidth="1"/>
    <col min="5892" max="6133" width="16.7109375" style="2001"/>
    <col min="6134" max="6134" width="5.42578125" style="2001" customWidth="1"/>
    <col min="6135" max="6135" width="1.7109375" style="2001" customWidth="1"/>
    <col min="6136" max="6136" width="46.140625" style="2001" customWidth="1"/>
    <col min="6137" max="6137" width="21.28515625" style="2001" customWidth="1"/>
    <col min="6138" max="6138" width="26.5703125" style="2001" customWidth="1"/>
    <col min="6139" max="6140" width="12.28515625" style="2001" customWidth="1"/>
    <col min="6141" max="6141" width="13.140625" style="2001" customWidth="1"/>
    <col min="6142" max="6142" width="12.28515625" style="2001" customWidth="1"/>
    <col min="6143" max="6143" width="15.5703125" style="2001" customWidth="1"/>
    <col min="6144" max="6144" width="13.140625" style="2001" customWidth="1"/>
    <col min="6145" max="6145" width="3.85546875" style="2001" customWidth="1"/>
    <col min="6146" max="6146" width="13.28515625" style="2001" customWidth="1"/>
    <col min="6147" max="6147" width="12.42578125" style="2001" customWidth="1"/>
    <col min="6148" max="6389" width="16.7109375" style="2001"/>
    <col min="6390" max="6390" width="5.42578125" style="2001" customWidth="1"/>
    <col min="6391" max="6391" width="1.7109375" style="2001" customWidth="1"/>
    <col min="6392" max="6392" width="46.140625" style="2001" customWidth="1"/>
    <col min="6393" max="6393" width="21.28515625" style="2001" customWidth="1"/>
    <col min="6394" max="6394" width="26.5703125" style="2001" customWidth="1"/>
    <col min="6395" max="6396" width="12.28515625" style="2001" customWidth="1"/>
    <col min="6397" max="6397" width="13.140625" style="2001" customWidth="1"/>
    <col min="6398" max="6398" width="12.28515625" style="2001" customWidth="1"/>
    <col min="6399" max="6399" width="15.5703125" style="2001" customWidth="1"/>
    <col min="6400" max="6400" width="13.140625" style="2001" customWidth="1"/>
    <col min="6401" max="6401" width="3.85546875" style="2001" customWidth="1"/>
    <col min="6402" max="6402" width="13.28515625" style="2001" customWidth="1"/>
    <col min="6403" max="6403" width="12.42578125" style="2001" customWidth="1"/>
    <col min="6404" max="6645" width="16.7109375" style="2001"/>
    <col min="6646" max="6646" width="5.42578125" style="2001" customWidth="1"/>
    <col min="6647" max="6647" width="1.7109375" style="2001" customWidth="1"/>
    <col min="6648" max="6648" width="46.140625" style="2001" customWidth="1"/>
    <col min="6649" max="6649" width="21.28515625" style="2001" customWidth="1"/>
    <col min="6650" max="6650" width="26.5703125" style="2001" customWidth="1"/>
    <col min="6651" max="6652" width="12.28515625" style="2001" customWidth="1"/>
    <col min="6653" max="6653" width="13.140625" style="2001" customWidth="1"/>
    <col min="6654" max="6654" width="12.28515625" style="2001" customWidth="1"/>
    <col min="6655" max="6655" width="15.5703125" style="2001" customWidth="1"/>
    <col min="6656" max="6656" width="13.140625" style="2001" customWidth="1"/>
    <col min="6657" max="6657" width="3.85546875" style="2001" customWidth="1"/>
    <col min="6658" max="6658" width="13.28515625" style="2001" customWidth="1"/>
    <col min="6659" max="6659" width="12.42578125" style="2001" customWidth="1"/>
    <col min="6660" max="6901" width="16.7109375" style="2001"/>
    <col min="6902" max="6902" width="5.42578125" style="2001" customWidth="1"/>
    <col min="6903" max="6903" width="1.7109375" style="2001" customWidth="1"/>
    <col min="6904" max="6904" width="46.140625" style="2001" customWidth="1"/>
    <col min="6905" max="6905" width="21.28515625" style="2001" customWidth="1"/>
    <col min="6906" max="6906" width="26.5703125" style="2001" customWidth="1"/>
    <col min="6907" max="6908" width="12.28515625" style="2001" customWidth="1"/>
    <col min="6909" max="6909" width="13.140625" style="2001" customWidth="1"/>
    <col min="6910" max="6910" width="12.28515625" style="2001" customWidth="1"/>
    <col min="6911" max="6911" width="15.5703125" style="2001" customWidth="1"/>
    <col min="6912" max="6912" width="13.140625" style="2001" customWidth="1"/>
    <col min="6913" max="6913" width="3.85546875" style="2001" customWidth="1"/>
    <col min="6914" max="6914" width="13.28515625" style="2001" customWidth="1"/>
    <col min="6915" max="6915" width="12.42578125" style="2001" customWidth="1"/>
    <col min="6916" max="7157" width="16.7109375" style="2001"/>
    <col min="7158" max="7158" width="5.42578125" style="2001" customWidth="1"/>
    <col min="7159" max="7159" width="1.7109375" style="2001" customWidth="1"/>
    <col min="7160" max="7160" width="46.140625" style="2001" customWidth="1"/>
    <col min="7161" max="7161" width="21.28515625" style="2001" customWidth="1"/>
    <col min="7162" max="7162" width="26.5703125" style="2001" customWidth="1"/>
    <col min="7163" max="7164" width="12.28515625" style="2001" customWidth="1"/>
    <col min="7165" max="7165" width="13.140625" style="2001" customWidth="1"/>
    <col min="7166" max="7166" width="12.28515625" style="2001" customWidth="1"/>
    <col min="7167" max="7167" width="15.5703125" style="2001" customWidth="1"/>
    <col min="7168" max="7168" width="13.140625" style="2001" customWidth="1"/>
    <col min="7169" max="7169" width="3.85546875" style="2001" customWidth="1"/>
    <col min="7170" max="7170" width="13.28515625" style="2001" customWidth="1"/>
    <col min="7171" max="7171" width="12.42578125" style="2001" customWidth="1"/>
    <col min="7172" max="7413" width="16.7109375" style="2001"/>
    <col min="7414" max="7414" width="5.42578125" style="2001" customWidth="1"/>
    <col min="7415" max="7415" width="1.7109375" style="2001" customWidth="1"/>
    <col min="7416" max="7416" width="46.140625" style="2001" customWidth="1"/>
    <col min="7417" max="7417" width="21.28515625" style="2001" customWidth="1"/>
    <col min="7418" max="7418" width="26.5703125" style="2001" customWidth="1"/>
    <col min="7419" max="7420" width="12.28515625" style="2001" customWidth="1"/>
    <col min="7421" max="7421" width="13.140625" style="2001" customWidth="1"/>
    <col min="7422" max="7422" width="12.28515625" style="2001" customWidth="1"/>
    <col min="7423" max="7423" width="15.5703125" style="2001" customWidth="1"/>
    <col min="7424" max="7424" width="13.140625" style="2001" customWidth="1"/>
    <col min="7425" max="7425" width="3.85546875" style="2001" customWidth="1"/>
    <col min="7426" max="7426" width="13.28515625" style="2001" customWidth="1"/>
    <col min="7427" max="7427" width="12.42578125" style="2001" customWidth="1"/>
    <col min="7428" max="7669" width="16.7109375" style="2001"/>
    <col min="7670" max="7670" width="5.42578125" style="2001" customWidth="1"/>
    <col min="7671" max="7671" width="1.7109375" style="2001" customWidth="1"/>
    <col min="7672" max="7672" width="46.140625" style="2001" customWidth="1"/>
    <col min="7673" max="7673" width="21.28515625" style="2001" customWidth="1"/>
    <col min="7674" max="7674" width="26.5703125" style="2001" customWidth="1"/>
    <col min="7675" max="7676" width="12.28515625" style="2001" customWidth="1"/>
    <col min="7677" max="7677" width="13.140625" style="2001" customWidth="1"/>
    <col min="7678" max="7678" width="12.28515625" style="2001" customWidth="1"/>
    <col min="7679" max="7679" width="15.5703125" style="2001" customWidth="1"/>
    <col min="7680" max="7680" width="13.140625" style="2001" customWidth="1"/>
    <col min="7681" max="7681" width="3.85546875" style="2001" customWidth="1"/>
    <col min="7682" max="7682" width="13.28515625" style="2001" customWidth="1"/>
    <col min="7683" max="7683" width="12.42578125" style="2001" customWidth="1"/>
    <col min="7684" max="7925" width="16.7109375" style="2001"/>
    <col min="7926" max="7926" width="5.42578125" style="2001" customWidth="1"/>
    <col min="7927" max="7927" width="1.7109375" style="2001" customWidth="1"/>
    <col min="7928" max="7928" width="46.140625" style="2001" customWidth="1"/>
    <col min="7929" max="7929" width="21.28515625" style="2001" customWidth="1"/>
    <col min="7930" max="7930" width="26.5703125" style="2001" customWidth="1"/>
    <col min="7931" max="7932" width="12.28515625" style="2001" customWidth="1"/>
    <col min="7933" max="7933" width="13.140625" style="2001" customWidth="1"/>
    <col min="7934" max="7934" width="12.28515625" style="2001" customWidth="1"/>
    <col min="7935" max="7935" width="15.5703125" style="2001" customWidth="1"/>
    <col min="7936" max="7936" width="13.140625" style="2001" customWidth="1"/>
    <col min="7937" max="7937" width="3.85546875" style="2001" customWidth="1"/>
    <col min="7938" max="7938" width="13.28515625" style="2001" customWidth="1"/>
    <col min="7939" max="7939" width="12.42578125" style="2001" customWidth="1"/>
    <col min="7940" max="8181" width="16.7109375" style="2001"/>
    <col min="8182" max="8182" width="5.42578125" style="2001" customWidth="1"/>
    <col min="8183" max="8183" width="1.7109375" style="2001" customWidth="1"/>
    <col min="8184" max="8184" width="46.140625" style="2001" customWidth="1"/>
    <col min="8185" max="8185" width="21.28515625" style="2001" customWidth="1"/>
    <col min="8186" max="8186" width="26.5703125" style="2001" customWidth="1"/>
    <col min="8187" max="8188" width="12.28515625" style="2001" customWidth="1"/>
    <col min="8189" max="8189" width="13.140625" style="2001" customWidth="1"/>
    <col min="8190" max="8190" width="12.28515625" style="2001" customWidth="1"/>
    <col min="8191" max="8191" width="15.5703125" style="2001" customWidth="1"/>
    <col min="8192" max="8192" width="13.140625" style="2001" customWidth="1"/>
    <col min="8193" max="8193" width="3.85546875" style="2001" customWidth="1"/>
    <col min="8194" max="8194" width="13.28515625" style="2001" customWidth="1"/>
    <col min="8195" max="8195" width="12.42578125" style="2001" customWidth="1"/>
    <col min="8196" max="8437" width="16.7109375" style="2001"/>
    <col min="8438" max="8438" width="5.42578125" style="2001" customWidth="1"/>
    <col min="8439" max="8439" width="1.7109375" style="2001" customWidth="1"/>
    <col min="8440" max="8440" width="46.140625" style="2001" customWidth="1"/>
    <col min="8441" max="8441" width="21.28515625" style="2001" customWidth="1"/>
    <col min="8442" max="8442" width="26.5703125" style="2001" customWidth="1"/>
    <col min="8443" max="8444" width="12.28515625" style="2001" customWidth="1"/>
    <col min="8445" max="8445" width="13.140625" style="2001" customWidth="1"/>
    <col min="8446" max="8446" width="12.28515625" style="2001" customWidth="1"/>
    <col min="8447" max="8447" width="15.5703125" style="2001" customWidth="1"/>
    <col min="8448" max="8448" width="13.140625" style="2001" customWidth="1"/>
    <col min="8449" max="8449" width="3.85546875" style="2001" customWidth="1"/>
    <col min="8450" max="8450" width="13.28515625" style="2001" customWidth="1"/>
    <col min="8451" max="8451" width="12.42578125" style="2001" customWidth="1"/>
    <col min="8452" max="8693" width="16.7109375" style="2001"/>
    <col min="8694" max="8694" width="5.42578125" style="2001" customWidth="1"/>
    <col min="8695" max="8695" width="1.7109375" style="2001" customWidth="1"/>
    <col min="8696" max="8696" width="46.140625" style="2001" customWidth="1"/>
    <col min="8697" max="8697" width="21.28515625" style="2001" customWidth="1"/>
    <col min="8698" max="8698" width="26.5703125" style="2001" customWidth="1"/>
    <col min="8699" max="8700" width="12.28515625" style="2001" customWidth="1"/>
    <col min="8701" max="8701" width="13.140625" style="2001" customWidth="1"/>
    <col min="8702" max="8702" width="12.28515625" style="2001" customWidth="1"/>
    <col min="8703" max="8703" width="15.5703125" style="2001" customWidth="1"/>
    <col min="8704" max="8704" width="13.140625" style="2001" customWidth="1"/>
    <col min="8705" max="8705" width="3.85546875" style="2001" customWidth="1"/>
    <col min="8706" max="8706" width="13.28515625" style="2001" customWidth="1"/>
    <col min="8707" max="8707" width="12.42578125" style="2001" customWidth="1"/>
    <col min="8708" max="8949" width="16.7109375" style="2001"/>
    <col min="8950" max="8950" width="5.42578125" style="2001" customWidth="1"/>
    <col min="8951" max="8951" width="1.7109375" style="2001" customWidth="1"/>
    <col min="8952" max="8952" width="46.140625" style="2001" customWidth="1"/>
    <col min="8953" max="8953" width="21.28515625" style="2001" customWidth="1"/>
    <col min="8954" max="8954" width="26.5703125" style="2001" customWidth="1"/>
    <col min="8955" max="8956" width="12.28515625" style="2001" customWidth="1"/>
    <col min="8957" max="8957" width="13.140625" style="2001" customWidth="1"/>
    <col min="8958" max="8958" width="12.28515625" style="2001" customWidth="1"/>
    <col min="8959" max="8959" width="15.5703125" style="2001" customWidth="1"/>
    <col min="8960" max="8960" width="13.140625" style="2001" customWidth="1"/>
    <col min="8961" max="8961" width="3.85546875" style="2001" customWidth="1"/>
    <col min="8962" max="8962" width="13.28515625" style="2001" customWidth="1"/>
    <col min="8963" max="8963" width="12.42578125" style="2001" customWidth="1"/>
    <col min="8964" max="9205" width="16.7109375" style="2001"/>
    <col min="9206" max="9206" width="5.42578125" style="2001" customWidth="1"/>
    <col min="9207" max="9207" width="1.7109375" style="2001" customWidth="1"/>
    <col min="9208" max="9208" width="46.140625" style="2001" customWidth="1"/>
    <col min="9209" max="9209" width="21.28515625" style="2001" customWidth="1"/>
    <col min="9210" max="9210" width="26.5703125" style="2001" customWidth="1"/>
    <col min="9211" max="9212" width="12.28515625" style="2001" customWidth="1"/>
    <col min="9213" max="9213" width="13.140625" style="2001" customWidth="1"/>
    <col min="9214" max="9214" width="12.28515625" style="2001" customWidth="1"/>
    <col min="9215" max="9215" width="15.5703125" style="2001" customWidth="1"/>
    <col min="9216" max="9216" width="13.140625" style="2001" customWidth="1"/>
    <col min="9217" max="9217" width="3.85546875" style="2001" customWidth="1"/>
    <col min="9218" max="9218" width="13.28515625" style="2001" customWidth="1"/>
    <col min="9219" max="9219" width="12.42578125" style="2001" customWidth="1"/>
    <col min="9220" max="9461" width="16.7109375" style="2001"/>
    <col min="9462" max="9462" width="5.42578125" style="2001" customWidth="1"/>
    <col min="9463" max="9463" width="1.7109375" style="2001" customWidth="1"/>
    <col min="9464" max="9464" width="46.140625" style="2001" customWidth="1"/>
    <col min="9465" max="9465" width="21.28515625" style="2001" customWidth="1"/>
    <col min="9466" max="9466" width="26.5703125" style="2001" customWidth="1"/>
    <col min="9467" max="9468" width="12.28515625" style="2001" customWidth="1"/>
    <col min="9469" max="9469" width="13.140625" style="2001" customWidth="1"/>
    <col min="9470" max="9470" width="12.28515625" style="2001" customWidth="1"/>
    <col min="9471" max="9471" width="15.5703125" style="2001" customWidth="1"/>
    <col min="9472" max="9472" width="13.140625" style="2001" customWidth="1"/>
    <col min="9473" max="9473" width="3.85546875" style="2001" customWidth="1"/>
    <col min="9474" max="9474" width="13.28515625" style="2001" customWidth="1"/>
    <col min="9475" max="9475" width="12.42578125" style="2001" customWidth="1"/>
    <col min="9476" max="9717" width="16.7109375" style="2001"/>
    <col min="9718" max="9718" width="5.42578125" style="2001" customWidth="1"/>
    <col min="9719" max="9719" width="1.7109375" style="2001" customWidth="1"/>
    <col min="9720" max="9720" width="46.140625" style="2001" customWidth="1"/>
    <col min="9721" max="9721" width="21.28515625" style="2001" customWidth="1"/>
    <col min="9722" max="9722" width="26.5703125" style="2001" customWidth="1"/>
    <col min="9723" max="9724" width="12.28515625" style="2001" customWidth="1"/>
    <col min="9725" max="9725" width="13.140625" style="2001" customWidth="1"/>
    <col min="9726" max="9726" width="12.28515625" style="2001" customWidth="1"/>
    <col min="9727" max="9727" width="15.5703125" style="2001" customWidth="1"/>
    <col min="9728" max="9728" width="13.140625" style="2001" customWidth="1"/>
    <col min="9729" max="9729" width="3.85546875" style="2001" customWidth="1"/>
    <col min="9730" max="9730" width="13.28515625" style="2001" customWidth="1"/>
    <col min="9731" max="9731" width="12.42578125" style="2001" customWidth="1"/>
    <col min="9732" max="9973" width="16.7109375" style="2001"/>
    <col min="9974" max="9974" width="5.42578125" style="2001" customWidth="1"/>
    <col min="9975" max="9975" width="1.7109375" style="2001" customWidth="1"/>
    <col min="9976" max="9976" width="46.140625" style="2001" customWidth="1"/>
    <col min="9977" max="9977" width="21.28515625" style="2001" customWidth="1"/>
    <col min="9978" max="9978" width="26.5703125" style="2001" customWidth="1"/>
    <col min="9979" max="9980" width="12.28515625" style="2001" customWidth="1"/>
    <col min="9981" max="9981" width="13.140625" style="2001" customWidth="1"/>
    <col min="9982" max="9982" width="12.28515625" style="2001" customWidth="1"/>
    <col min="9983" max="9983" width="15.5703125" style="2001" customWidth="1"/>
    <col min="9984" max="9984" width="13.140625" style="2001" customWidth="1"/>
    <col min="9985" max="9985" width="3.85546875" style="2001" customWidth="1"/>
    <col min="9986" max="9986" width="13.28515625" style="2001" customWidth="1"/>
    <col min="9987" max="9987" width="12.42578125" style="2001" customWidth="1"/>
    <col min="9988" max="10229" width="16.7109375" style="2001"/>
    <col min="10230" max="10230" width="5.42578125" style="2001" customWidth="1"/>
    <col min="10231" max="10231" width="1.7109375" style="2001" customWidth="1"/>
    <col min="10232" max="10232" width="46.140625" style="2001" customWidth="1"/>
    <col min="10233" max="10233" width="21.28515625" style="2001" customWidth="1"/>
    <col min="10234" max="10234" width="26.5703125" style="2001" customWidth="1"/>
    <col min="10235" max="10236" width="12.28515625" style="2001" customWidth="1"/>
    <col min="10237" max="10237" width="13.140625" style="2001" customWidth="1"/>
    <col min="10238" max="10238" width="12.28515625" style="2001" customWidth="1"/>
    <col min="10239" max="10239" width="15.5703125" style="2001" customWidth="1"/>
    <col min="10240" max="10240" width="13.140625" style="2001" customWidth="1"/>
    <col min="10241" max="10241" width="3.85546875" style="2001" customWidth="1"/>
    <col min="10242" max="10242" width="13.28515625" style="2001" customWidth="1"/>
    <col min="10243" max="10243" width="12.42578125" style="2001" customWidth="1"/>
    <col min="10244" max="10485" width="16.7109375" style="2001"/>
    <col min="10486" max="10486" width="5.42578125" style="2001" customWidth="1"/>
    <col min="10487" max="10487" width="1.7109375" style="2001" customWidth="1"/>
    <col min="10488" max="10488" width="46.140625" style="2001" customWidth="1"/>
    <col min="10489" max="10489" width="21.28515625" style="2001" customWidth="1"/>
    <col min="10490" max="10490" width="26.5703125" style="2001" customWidth="1"/>
    <col min="10491" max="10492" width="12.28515625" style="2001" customWidth="1"/>
    <col min="10493" max="10493" width="13.140625" style="2001" customWidth="1"/>
    <col min="10494" max="10494" width="12.28515625" style="2001" customWidth="1"/>
    <col min="10495" max="10495" width="15.5703125" style="2001" customWidth="1"/>
    <col min="10496" max="10496" width="13.140625" style="2001" customWidth="1"/>
    <col min="10497" max="10497" width="3.85546875" style="2001" customWidth="1"/>
    <col min="10498" max="10498" width="13.28515625" style="2001" customWidth="1"/>
    <col min="10499" max="10499" width="12.42578125" style="2001" customWidth="1"/>
    <col min="10500" max="10741" width="16.7109375" style="2001"/>
    <col min="10742" max="10742" width="5.42578125" style="2001" customWidth="1"/>
    <col min="10743" max="10743" width="1.7109375" style="2001" customWidth="1"/>
    <col min="10744" max="10744" width="46.140625" style="2001" customWidth="1"/>
    <col min="10745" max="10745" width="21.28515625" style="2001" customWidth="1"/>
    <col min="10746" max="10746" width="26.5703125" style="2001" customWidth="1"/>
    <col min="10747" max="10748" width="12.28515625" style="2001" customWidth="1"/>
    <col min="10749" max="10749" width="13.140625" style="2001" customWidth="1"/>
    <col min="10750" max="10750" width="12.28515625" style="2001" customWidth="1"/>
    <col min="10751" max="10751" width="15.5703125" style="2001" customWidth="1"/>
    <col min="10752" max="10752" width="13.140625" style="2001" customWidth="1"/>
    <col min="10753" max="10753" width="3.85546875" style="2001" customWidth="1"/>
    <col min="10754" max="10754" width="13.28515625" style="2001" customWidth="1"/>
    <col min="10755" max="10755" width="12.42578125" style="2001" customWidth="1"/>
    <col min="10756" max="10997" width="16.7109375" style="2001"/>
    <col min="10998" max="10998" width="5.42578125" style="2001" customWidth="1"/>
    <col min="10999" max="10999" width="1.7109375" style="2001" customWidth="1"/>
    <col min="11000" max="11000" width="46.140625" style="2001" customWidth="1"/>
    <col min="11001" max="11001" width="21.28515625" style="2001" customWidth="1"/>
    <col min="11002" max="11002" width="26.5703125" style="2001" customWidth="1"/>
    <col min="11003" max="11004" width="12.28515625" style="2001" customWidth="1"/>
    <col min="11005" max="11005" width="13.140625" style="2001" customWidth="1"/>
    <col min="11006" max="11006" width="12.28515625" style="2001" customWidth="1"/>
    <col min="11007" max="11007" width="15.5703125" style="2001" customWidth="1"/>
    <col min="11008" max="11008" width="13.140625" style="2001" customWidth="1"/>
    <col min="11009" max="11009" width="3.85546875" style="2001" customWidth="1"/>
    <col min="11010" max="11010" width="13.28515625" style="2001" customWidth="1"/>
    <col min="11011" max="11011" width="12.42578125" style="2001" customWidth="1"/>
    <col min="11012" max="11253" width="16.7109375" style="2001"/>
    <col min="11254" max="11254" width="5.42578125" style="2001" customWidth="1"/>
    <col min="11255" max="11255" width="1.7109375" style="2001" customWidth="1"/>
    <col min="11256" max="11256" width="46.140625" style="2001" customWidth="1"/>
    <col min="11257" max="11257" width="21.28515625" style="2001" customWidth="1"/>
    <col min="11258" max="11258" width="26.5703125" style="2001" customWidth="1"/>
    <col min="11259" max="11260" width="12.28515625" style="2001" customWidth="1"/>
    <col min="11261" max="11261" width="13.140625" style="2001" customWidth="1"/>
    <col min="11262" max="11262" width="12.28515625" style="2001" customWidth="1"/>
    <col min="11263" max="11263" width="15.5703125" style="2001" customWidth="1"/>
    <col min="11264" max="11264" width="13.140625" style="2001" customWidth="1"/>
    <col min="11265" max="11265" width="3.85546875" style="2001" customWidth="1"/>
    <col min="11266" max="11266" width="13.28515625" style="2001" customWidth="1"/>
    <col min="11267" max="11267" width="12.42578125" style="2001" customWidth="1"/>
    <col min="11268" max="11509" width="16.7109375" style="2001"/>
    <col min="11510" max="11510" width="5.42578125" style="2001" customWidth="1"/>
    <col min="11511" max="11511" width="1.7109375" style="2001" customWidth="1"/>
    <col min="11512" max="11512" width="46.140625" style="2001" customWidth="1"/>
    <col min="11513" max="11513" width="21.28515625" style="2001" customWidth="1"/>
    <col min="11514" max="11514" width="26.5703125" style="2001" customWidth="1"/>
    <col min="11515" max="11516" width="12.28515625" style="2001" customWidth="1"/>
    <col min="11517" max="11517" width="13.140625" style="2001" customWidth="1"/>
    <col min="11518" max="11518" width="12.28515625" style="2001" customWidth="1"/>
    <col min="11519" max="11519" width="15.5703125" style="2001" customWidth="1"/>
    <col min="11520" max="11520" width="13.140625" style="2001" customWidth="1"/>
    <col min="11521" max="11521" width="3.85546875" style="2001" customWidth="1"/>
    <col min="11522" max="11522" width="13.28515625" style="2001" customWidth="1"/>
    <col min="11523" max="11523" width="12.42578125" style="2001" customWidth="1"/>
    <col min="11524" max="11765" width="16.7109375" style="2001"/>
    <col min="11766" max="11766" width="5.42578125" style="2001" customWidth="1"/>
    <col min="11767" max="11767" width="1.7109375" style="2001" customWidth="1"/>
    <col min="11768" max="11768" width="46.140625" style="2001" customWidth="1"/>
    <col min="11769" max="11769" width="21.28515625" style="2001" customWidth="1"/>
    <col min="11770" max="11770" width="26.5703125" style="2001" customWidth="1"/>
    <col min="11771" max="11772" width="12.28515625" style="2001" customWidth="1"/>
    <col min="11773" max="11773" width="13.140625" style="2001" customWidth="1"/>
    <col min="11774" max="11774" width="12.28515625" style="2001" customWidth="1"/>
    <col min="11775" max="11775" width="15.5703125" style="2001" customWidth="1"/>
    <col min="11776" max="11776" width="13.140625" style="2001" customWidth="1"/>
    <col min="11777" max="11777" width="3.85546875" style="2001" customWidth="1"/>
    <col min="11778" max="11778" width="13.28515625" style="2001" customWidth="1"/>
    <col min="11779" max="11779" width="12.42578125" style="2001" customWidth="1"/>
    <col min="11780" max="12021" width="16.7109375" style="2001"/>
    <col min="12022" max="12022" width="5.42578125" style="2001" customWidth="1"/>
    <col min="12023" max="12023" width="1.7109375" style="2001" customWidth="1"/>
    <col min="12024" max="12024" width="46.140625" style="2001" customWidth="1"/>
    <col min="12025" max="12025" width="21.28515625" style="2001" customWidth="1"/>
    <col min="12026" max="12026" width="26.5703125" style="2001" customWidth="1"/>
    <col min="12027" max="12028" width="12.28515625" style="2001" customWidth="1"/>
    <col min="12029" max="12029" width="13.140625" style="2001" customWidth="1"/>
    <col min="12030" max="12030" width="12.28515625" style="2001" customWidth="1"/>
    <col min="12031" max="12031" width="15.5703125" style="2001" customWidth="1"/>
    <col min="12032" max="12032" width="13.140625" style="2001" customWidth="1"/>
    <col min="12033" max="12033" width="3.85546875" style="2001" customWidth="1"/>
    <col min="12034" max="12034" width="13.28515625" style="2001" customWidth="1"/>
    <col min="12035" max="12035" width="12.42578125" style="2001" customWidth="1"/>
    <col min="12036" max="12277" width="16.7109375" style="2001"/>
    <col min="12278" max="12278" width="5.42578125" style="2001" customWidth="1"/>
    <col min="12279" max="12279" width="1.7109375" style="2001" customWidth="1"/>
    <col min="12280" max="12280" width="46.140625" style="2001" customWidth="1"/>
    <col min="12281" max="12281" width="21.28515625" style="2001" customWidth="1"/>
    <col min="12282" max="12282" width="26.5703125" style="2001" customWidth="1"/>
    <col min="12283" max="12284" width="12.28515625" style="2001" customWidth="1"/>
    <col min="12285" max="12285" width="13.140625" style="2001" customWidth="1"/>
    <col min="12286" max="12286" width="12.28515625" style="2001" customWidth="1"/>
    <col min="12287" max="12287" width="15.5703125" style="2001" customWidth="1"/>
    <col min="12288" max="12288" width="13.140625" style="2001" customWidth="1"/>
    <col min="12289" max="12289" width="3.85546875" style="2001" customWidth="1"/>
    <col min="12290" max="12290" width="13.28515625" style="2001" customWidth="1"/>
    <col min="12291" max="12291" width="12.42578125" style="2001" customWidth="1"/>
    <col min="12292" max="12533" width="16.7109375" style="2001"/>
    <col min="12534" max="12534" width="5.42578125" style="2001" customWidth="1"/>
    <col min="12535" max="12535" width="1.7109375" style="2001" customWidth="1"/>
    <col min="12536" max="12536" width="46.140625" style="2001" customWidth="1"/>
    <col min="12537" max="12537" width="21.28515625" style="2001" customWidth="1"/>
    <col min="12538" max="12538" width="26.5703125" style="2001" customWidth="1"/>
    <col min="12539" max="12540" width="12.28515625" style="2001" customWidth="1"/>
    <col min="12541" max="12541" width="13.140625" style="2001" customWidth="1"/>
    <col min="12542" max="12542" width="12.28515625" style="2001" customWidth="1"/>
    <col min="12543" max="12543" width="15.5703125" style="2001" customWidth="1"/>
    <col min="12544" max="12544" width="13.140625" style="2001" customWidth="1"/>
    <col min="12545" max="12545" width="3.85546875" style="2001" customWidth="1"/>
    <col min="12546" max="12546" width="13.28515625" style="2001" customWidth="1"/>
    <col min="12547" max="12547" width="12.42578125" style="2001" customWidth="1"/>
    <col min="12548" max="12789" width="16.7109375" style="2001"/>
    <col min="12790" max="12790" width="5.42578125" style="2001" customWidth="1"/>
    <col min="12791" max="12791" width="1.7109375" style="2001" customWidth="1"/>
    <col min="12792" max="12792" width="46.140625" style="2001" customWidth="1"/>
    <col min="12793" max="12793" width="21.28515625" style="2001" customWidth="1"/>
    <col min="12794" max="12794" width="26.5703125" style="2001" customWidth="1"/>
    <col min="12795" max="12796" width="12.28515625" style="2001" customWidth="1"/>
    <col min="12797" max="12797" width="13.140625" style="2001" customWidth="1"/>
    <col min="12798" max="12798" width="12.28515625" style="2001" customWidth="1"/>
    <col min="12799" max="12799" width="15.5703125" style="2001" customWidth="1"/>
    <col min="12800" max="12800" width="13.140625" style="2001" customWidth="1"/>
    <col min="12801" max="12801" width="3.85546875" style="2001" customWidth="1"/>
    <col min="12802" max="12802" width="13.28515625" style="2001" customWidth="1"/>
    <col min="12803" max="12803" width="12.42578125" style="2001" customWidth="1"/>
    <col min="12804" max="13045" width="16.7109375" style="2001"/>
    <col min="13046" max="13046" width="5.42578125" style="2001" customWidth="1"/>
    <col min="13047" max="13047" width="1.7109375" style="2001" customWidth="1"/>
    <col min="13048" max="13048" width="46.140625" style="2001" customWidth="1"/>
    <col min="13049" max="13049" width="21.28515625" style="2001" customWidth="1"/>
    <col min="13050" max="13050" width="26.5703125" style="2001" customWidth="1"/>
    <col min="13051" max="13052" width="12.28515625" style="2001" customWidth="1"/>
    <col min="13053" max="13053" width="13.140625" style="2001" customWidth="1"/>
    <col min="13054" max="13054" width="12.28515625" style="2001" customWidth="1"/>
    <col min="13055" max="13055" width="15.5703125" style="2001" customWidth="1"/>
    <col min="13056" max="13056" width="13.140625" style="2001" customWidth="1"/>
    <col min="13057" max="13057" width="3.85546875" style="2001" customWidth="1"/>
    <col min="13058" max="13058" width="13.28515625" style="2001" customWidth="1"/>
    <col min="13059" max="13059" width="12.42578125" style="2001" customWidth="1"/>
    <col min="13060" max="13301" width="16.7109375" style="2001"/>
    <col min="13302" max="13302" width="5.42578125" style="2001" customWidth="1"/>
    <col min="13303" max="13303" width="1.7109375" style="2001" customWidth="1"/>
    <col min="13304" max="13304" width="46.140625" style="2001" customWidth="1"/>
    <col min="13305" max="13305" width="21.28515625" style="2001" customWidth="1"/>
    <col min="13306" max="13306" width="26.5703125" style="2001" customWidth="1"/>
    <col min="13307" max="13308" width="12.28515625" style="2001" customWidth="1"/>
    <col min="13309" max="13309" width="13.140625" style="2001" customWidth="1"/>
    <col min="13310" max="13310" width="12.28515625" style="2001" customWidth="1"/>
    <col min="13311" max="13311" width="15.5703125" style="2001" customWidth="1"/>
    <col min="13312" max="13312" width="13.140625" style="2001" customWidth="1"/>
    <col min="13313" max="13313" width="3.85546875" style="2001" customWidth="1"/>
    <col min="13314" max="13314" width="13.28515625" style="2001" customWidth="1"/>
    <col min="13315" max="13315" width="12.42578125" style="2001" customWidth="1"/>
    <col min="13316" max="13557" width="16.7109375" style="2001"/>
    <col min="13558" max="13558" width="5.42578125" style="2001" customWidth="1"/>
    <col min="13559" max="13559" width="1.7109375" style="2001" customWidth="1"/>
    <col min="13560" max="13560" width="46.140625" style="2001" customWidth="1"/>
    <col min="13561" max="13561" width="21.28515625" style="2001" customWidth="1"/>
    <col min="13562" max="13562" width="26.5703125" style="2001" customWidth="1"/>
    <col min="13563" max="13564" width="12.28515625" style="2001" customWidth="1"/>
    <col min="13565" max="13565" width="13.140625" style="2001" customWidth="1"/>
    <col min="13566" max="13566" width="12.28515625" style="2001" customWidth="1"/>
    <col min="13567" max="13567" width="15.5703125" style="2001" customWidth="1"/>
    <col min="13568" max="13568" width="13.140625" style="2001" customWidth="1"/>
    <col min="13569" max="13569" width="3.85546875" style="2001" customWidth="1"/>
    <col min="13570" max="13570" width="13.28515625" style="2001" customWidth="1"/>
    <col min="13571" max="13571" width="12.42578125" style="2001" customWidth="1"/>
    <col min="13572" max="13813" width="16.7109375" style="2001"/>
    <col min="13814" max="13814" width="5.42578125" style="2001" customWidth="1"/>
    <col min="13815" max="13815" width="1.7109375" style="2001" customWidth="1"/>
    <col min="13816" max="13816" width="46.140625" style="2001" customWidth="1"/>
    <col min="13817" max="13817" width="21.28515625" style="2001" customWidth="1"/>
    <col min="13818" max="13818" width="26.5703125" style="2001" customWidth="1"/>
    <col min="13819" max="13820" width="12.28515625" style="2001" customWidth="1"/>
    <col min="13821" max="13821" width="13.140625" style="2001" customWidth="1"/>
    <col min="13822" max="13822" width="12.28515625" style="2001" customWidth="1"/>
    <col min="13823" max="13823" width="15.5703125" style="2001" customWidth="1"/>
    <col min="13824" max="13824" width="13.140625" style="2001" customWidth="1"/>
    <col min="13825" max="13825" width="3.85546875" style="2001" customWidth="1"/>
    <col min="13826" max="13826" width="13.28515625" style="2001" customWidth="1"/>
    <col min="13827" max="13827" width="12.42578125" style="2001" customWidth="1"/>
    <col min="13828" max="14069" width="16.7109375" style="2001"/>
    <col min="14070" max="14070" width="5.42578125" style="2001" customWidth="1"/>
    <col min="14071" max="14071" width="1.7109375" style="2001" customWidth="1"/>
    <col min="14072" max="14072" width="46.140625" style="2001" customWidth="1"/>
    <col min="14073" max="14073" width="21.28515625" style="2001" customWidth="1"/>
    <col min="14074" max="14074" width="26.5703125" style="2001" customWidth="1"/>
    <col min="14075" max="14076" width="12.28515625" style="2001" customWidth="1"/>
    <col min="14077" max="14077" width="13.140625" style="2001" customWidth="1"/>
    <col min="14078" max="14078" width="12.28515625" style="2001" customWidth="1"/>
    <col min="14079" max="14079" width="15.5703125" style="2001" customWidth="1"/>
    <col min="14080" max="14080" width="13.140625" style="2001" customWidth="1"/>
    <col min="14081" max="14081" width="3.85546875" style="2001" customWidth="1"/>
    <col min="14082" max="14082" width="13.28515625" style="2001" customWidth="1"/>
    <col min="14083" max="14083" width="12.42578125" style="2001" customWidth="1"/>
    <col min="14084" max="14325" width="16.7109375" style="2001"/>
    <col min="14326" max="14326" width="5.42578125" style="2001" customWidth="1"/>
    <col min="14327" max="14327" width="1.7109375" style="2001" customWidth="1"/>
    <col min="14328" max="14328" width="46.140625" style="2001" customWidth="1"/>
    <col min="14329" max="14329" width="21.28515625" style="2001" customWidth="1"/>
    <col min="14330" max="14330" width="26.5703125" style="2001" customWidth="1"/>
    <col min="14331" max="14332" width="12.28515625" style="2001" customWidth="1"/>
    <col min="14333" max="14333" width="13.140625" style="2001" customWidth="1"/>
    <col min="14334" max="14334" width="12.28515625" style="2001" customWidth="1"/>
    <col min="14335" max="14335" width="15.5703125" style="2001" customWidth="1"/>
    <col min="14336" max="14336" width="13.140625" style="2001" customWidth="1"/>
    <col min="14337" max="14337" width="3.85546875" style="2001" customWidth="1"/>
    <col min="14338" max="14338" width="13.28515625" style="2001" customWidth="1"/>
    <col min="14339" max="14339" width="12.42578125" style="2001" customWidth="1"/>
    <col min="14340" max="14581" width="16.7109375" style="2001"/>
    <col min="14582" max="14582" width="5.42578125" style="2001" customWidth="1"/>
    <col min="14583" max="14583" width="1.7109375" style="2001" customWidth="1"/>
    <col min="14584" max="14584" width="46.140625" style="2001" customWidth="1"/>
    <col min="14585" max="14585" width="21.28515625" style="2001" customWidth="1"/>
    <col min="14586" max="14586" width="26.5703125" style="2001" customWidth="1"/>
    <col min="14587" max="14588" width="12.28515625" style="2001" customWidth="1"/>
    <col min="14589" max="14589" width="13.140625" style="2001" customWidth="1"/>
    <col min="14590" max="14590" width="12.28515625" style="2001" customWidth="1"/>
    <col min="14591" max="14591" width="15.5703125" style="2001" customWidth="1"/>
    <col min="14592" max="14592" width="13.140625" style="2001" customWidth="1"/>
    <col min="14593" max="14593" width="3.85546875" style="2001" customWidth="1"/>
    <col min="14594" max="14594" width="13.28515625" style="2001" customWidth="1"/>
    <col min="14595" max="14595" width="12.42578125" style="2001" customWidth="1"/>
    <col min="14596" max="14837" width="16.7109375" style="2001"/>
    <col min="14838" max="14838" width="5.42578125" style="2001" customWidth="1"/>
    <col min="14839" max="14839" width="1.7109375" style="2001" customWidth="1"/>
    <col min="14840" max="14840" width="46.140625" style="2001" customWidth="1"/>
    <col min="14841" max="14841" width="21.28515625" style="2001" customWidth="1"/>
    <col min="14842" max="14842" width="26.5703125" style="2001" customWidth="1"/>
    <col min="14843" max="14844" width="12.28515625" style="2001" customWidth="1"/>
    <col min="14845" max="14845" width="13.140625" style="2001" customWidth="1"/>
    <col min="14846" max="14846" width="12.28515625" style="2001" customWidth="1"/>
    <col min="14847" max="14847" width="15.5703125" style="2001" customWidth="1"/>
    <col min="14848" max="14848" width="13.140625" style="2001" customWidth="1"/>
    <col min="14849" max="14849" width="3.85546875" style="2001" customWidth="1"/>
    <col min="14850" max="14850" width="13.28515625" style="2001" customWidth="1"/>
    <col min="14851" max="14851" width="12.42578125" style="2001" customWidth="1"/>
    <col min="14852" max="15093" width="16.7109375" style="2001"/>
    <col min="15094" max="15094" width="5.42578125" style="2001" customWidth="1"/>
    <col min="15095" max="15095" width="1.7109375" style="2001" customWidth="1"/>
    <col min="15096" max="15096" width="46.140625" style="2001" customWidth="1"/>
    <col min="15097" max="15097" width="21.28515625" style="2001" customWidth="1"/>
    <col min="15098" max="15098" width="26.5703125" style="2001" customWidth="1"/>
    <col min="15099" max="15100" width="12.28515625" style="2001" customWidth="1"/>
    <col min="15101" max="15101" width="13.140625" style="2001" customWidth="1"/>
    <col min="15102" max="15102" width="12.28515625" style="2001" customWidth="1"/>
    <col min="15103" max="15103" width="15.5703125" style="2001" customWidth="1"/>
    <col min="15104" max="15104" width="13.140625" style="2001" customWidth="1"/>
    <col min="15105" max="15105" width="3.85546875" style="2001" customWidth="1"/>
    <col min="15106" max="15106" width="13.28515625" style="2001" customWidth="1"/>
    <col min="15107" max="15107" width="12.42578125" style="2001" customWidth="1"/>
    <col min="15108" max="15349" width="16.7109375" style="2001"/>
    <col min="15350" max="15350" width="5.42578125" style="2001" customWidth="1"/>
    <col min="15351" max="15351" width="1.7109375" style="2001" customWidth="1"/>
    <col min="15352" max="15352" width="46.140625" style="2001" customWidth="1"/>
    <col min="15353" max="15353" width="21.28515625" style="2001" customWidth="1"/>
    <col min="15354" max="15354" width="26.5703125" style="2001" customWidth="1"/>
    <col min="15355" max="15356" width="12.28515625" style="2001" customWidth="1"/>
    <col min="15357" max="15357" width="13.140625" style="2001" customWidth="1"/>
    <col min="15358" max="15358" width="12.28515625" style="2001" customWidth="1"/>
    <col min="15359" max="15359" width="15.5703125" style="2001" customWidth="1"/>
    <col min="15360" max="15360" width="13.140625" style="2001" customWidth="1"/>
    <col min="15361" max="15361" width="3.85546875" style="2001" customWidth="1"/>
    <col min="15362" max="15362" width="13.28515625" style="2001" customWidth="1"/>
    <col min="15363" max="15363" width="12.42578125" style="2001" customWidth="1"/>
    <col min="15364" max="15605" width="16.7109375" style="2001"/>
    <col min="15606" max="15606" width="5.42578125" style="2001" customWidth="1"/>
    <col min="15607" max="15607" width="1.7109375" style="2001" customWidth="1"/>
    <col min="15608" max="15608" width="46.140625" style="2001" customWidth="1"/>
    <col min="15609" max="15609" width="21.28515625" style="2001" customWidth="1"/>
    <col min="15610" max="15610" width="26.5703125" style="2001" customWidth="1"/>
    <col min="15611" max="15612" width="12.28515625" style="2001" customWidth="1"/>
    <col min="15613" max="15613" width="13.140625" style="2001" customWidth="1"/>
    <col min="15614" max="15614" width="12.28515625" style="2001" customWidth="1"/>
    <col min="15615" max="15615" width="15.5703125" style="2001" customWidth="1"/>
    <col min="15616" max="15616" width="13.140625" style="2001" customWidth="1"/>
    <col min="15617" max="15617" width="3.85546875" style="2001" customWidth="1"/>
    <col min="15618" max="15618" width="13.28515625" style="2001" customWidth="1"/>
    <col min="15619" max="15619" width="12.42578125" style="2001" customWidth="1"/>
    <col min="15620" max="15861" width="16.7109375" style="2001"/>
    <col min="15862" max="15862" width="5.42578125" style="2001" customWidth="1"/>
    <col min="15863" max="15863" width="1.7109375" style="2001" customWidth="1"/>
    <col min="15864" max="15864" width="46.140625" style="2001" customWidth="1"/>
    <col min="15865" max="15865" width="21.28515625" style="2001" customWidth="1"/>
    <col min="15866" max="15866" width="26.5703125" style="2001" customWidth="1"/>
    <col min="15867" max="15868" width="12.28515625" style="2001" customWidth="1"/>
    <col min="15869" max="15869" width="13.140625" style="2001" customWidth="1"/>
    <col min="15870" max="15870" width="12.28515625" style="2001" customWidth="1"/>
    <col min="15871" max="15871" width="15.5703125" style="2001" customWidth="1"/>
    <col min="15872" max="15872" width="13.140625" style="2001" customWidth="1"/>
    <col min="15873" max="15873" width="3.85546875" style="2001" customWidth="1"/>
    <col min="15874" max="15874" width="13.28515625" style="2001" customWidth="1"/>
    <col min="15875" max="15875" width="12.42578125" style="2001" customWidth="1"/>
    <col min="15876" max="16117" width="16.7109375" style="2001"/>
    <col min="16118" max="16118" width="5.42578125" style="2001" customWidth="1"/>
    <col min="16119" max="16119" width="1.7109375" style="2001" customWidth="1"/>
    <col min="16120" max="16120" width="46.140625" style="2001" customWidth="1"/>
    <col min="16121" max="16121" width="21.28515625" style="2001" customWidth="1"/>
    <col min="16122" max="16122" width="26.5703125" style="2001" customWidth="1"/>
    <col min="16123" max="16124" width="12.28515625" style="2001" customWidth="1"/>
    <col min="16125" max="16125" width="13.140625" style="2001" customWidth="1"/>
    <col min="16126" max="16126" width="12.28515625" style="2001" customWidth="1"/>
    <col min="16127" max="16127" width="15.5703125" style="2001" customWidth="1"/>
    <col min="16128" max="16128" width="13.140625" style="2001" customWidth="1"/>
    <col min="16129" max="16129" width="3.85546875" style="2001" customWidth="1"/>
    <col min="16130" max="16130" width="13.28515625" style="2001" customWidth="1"/>
    <col min="16131" max="16131" width="12.42578125" style="2001" customWidth="1"/>
    <col min="16132" max="16384" width="16.7109375" style="2001"/>
  </cols>
  <sheetData>
    <row r="1" spans="1:14" ht="15.75" x14ac:dyDescent="0.25">
      <c r="A1" s="2124"/>
      <c r="B1" s="2124"/>
      <c r="C1" s="2638" t="s">
        <v>2333</v>
      </c>
      <c r="D1" s="2638"/>
      <c r="E1" s="2638"/>
      <c r="F1" s="2638"/>
      <c r="G1" s="2638"/>
      <c r="H1" s="2638"/>
      <c r="I1" s="2638"/>
      <c r="J1" s="2638"/>
      <c r="K1" s="2638"/>
      <c r="L1" s="2638"/>
      <c r="M1" s="2638"/>
      <c r="N1" s="2638"/>
    </row>
    <row r="2" spans="1:14" ht="15.75" x14ac:dyDescent="0.25">
      <c r="A2" s="2124"/>
      <c r="B2" s="2124"/>
      <c r="C2" s="2639" t="s">
        <v>2066</v>
      </c>
      <c r="D2" s="2638"/>
      <c r="E2" s="2638"/>
      <c r="F2" s="2638"/>
      <c r="G2" s="2638"/>
      <c r="H2" s="2638"/>
      <c r="I2" s="2638"/>
      <c r="J2" s="2638"/>
      <c r="K2" s="2638"/>
      <c r="L2" s="2638"/>
      <c r="M2" s="2638"/>
      <c r="N2" s="2638"/>
    </row>
    <row r="3" spans="1:14" ht="15.75" x14ac:dyDescent="0.25">
      <c r="A3" s="2124"/>
      <c r="B3" s="2124"/>
      <c r="C3" s="2638" t="s">
        <v>1219</v>
      </c>
      <c r="D3" s="2638"/>
      <c r="E3" s="2638"/>
      <c r="F3" s="2638"/>
      <c r="G3" s="2638"/>
      <c r="H3" s="2638"/>
      <c r="I3" s="2638"/>
      <c r="J3" s="2638"/>
      <c r="K3" s="2638"/>
      <c r="L3" s="2638"/>
      <c r="M3" s="2638"/>
      <c r="N3" s="2638"/>
    </row>
    <row r="4" spans="1:14" ht="15" x14ac:dyDescent="0.25">
      <c r="A4" s="2124"/>
      <c r="B4" s="2124"/>
      <c r="C4" s="2640" t="s">
        <v>2332</v>
      </c>
      <c r="D4" s="2640"/>
      <c r="E4" s="2640"/>
      <c r="F4" s="2640"/>
      <c r="G4" s="2640"/>
      <c r="H4" s="2640"/>
      <c r="I4" s="2640"/>
      <c r="J4" s="2640"/>
      <c r="K4" s="2640"/>
      <c r="L4" s="2640"/>
      <c r="M4" s="2640"/>
      <c r="N4" s="2640"/>
    </row>
    <row r="5" spans="1:14" x14ac:dyDescent="0.2">
      <c r="A5" s="2123"/>
      <c r="B5" s="2123"/>
      <c r="C5" s="2123"/>
      <c r="D5" s="2123"/>
      <c r="E5" s="2123"/>
      <c r="F5" s="2122"/>
      <c r="G5" s="2122"/>
      <c r="H5" s="2122"/>
      <c r="I5" s="2120"/>
      <c r="J5" s="2120"/>
      <c r="K5" s="2120"/>
      <c r="L5" s="2121"/>
      <c r="M5" s="2120"/>
      <c r="N5" s="2120"/>
    </row>
    <row r="6" spans="1:14" ht="15" x14ac:dyDescent="0.2">
      <c r="A6" s="2045"/>
      <c r="B6" s="2045"/>
      <c r="C6" s="2041"/>
      <c r="D6" s="2026"/>
      <c r="E6" s="2045" t="s">
        <v>2331</v>
      </c>
      <c r="F6" s="2119" t="s">
        <v>2330</v>
      </c>
      <c r="G6" s="2119"/>
      <c r="H6" s="2641" t="s">
        <v>2329</v>
      </c>
      <c r="I6" s="2641"/>
      <c r="J6" s="2641"/>
      <c r="K6" s="2026"/>
      <c r="L6" s="2045"/>
      <c r="M6" s="2026"/>
      <c r="N6" s="2026"/>
    </row>
    <row r="7" spans="1:14" x14ac:dyDescent="0.2">
      <c r="A7" s="2045"/>
      <c r="B7" s="2045"/>
      <c r="C7" s="2041"/>
      <c r="D7" s="2045" t="s">
        <v>1264</v>
      </c>
      <c r="E7" s="2045" t="s">
        <v>2328</v>
      </c>
      <c r="F7" s="2118" t="s">
        <v>2327</v>
      </c>
      <c r="G7" s="2118" t="s">
        <v>2326</v>
      </c>
      <c r="H7" s="2118" t="s">
        <v>2325</v>
      </c>
      <c r="I7" s="2118" t="str">
        <f>+G7</f>
        <v>7/01/18-</v>
      </c>
      <c r="J7" s="2118" t="s">
        <v>2324</v>
      </c>
      <c r="K7" s="2045" t="s">
        <v>1261</v>
      </c>
      <c r="L7" s="2045"/>
      <c r="M7" s="2045" t="s">
        <v>2323</v>
      </c>
      <c r="N7" s="2041" t="s">
        <v>1169</v>
      </c>
    </row>
    <row r="8" spans="1:14" x14ac:dyDescent="0.2">
      <c r="A8" s="2041" t="s">
        <v>2322</v>
      </c>
      <c r="B8" s="2041"/>
      <c r="C8" s="2041"/>
      <c r="D8" s="2045" t="s">
        <v>2321</v>
      </c>
      <c r="E8" s="2045" t="s">
        <v>2321</v>
      </c>
      <c r="F8" s="2117" t="s">
        <v>2320</v>
      </c>
      <c r="G8" s="2117" t="s">
        <v>2319</v>
      </c>
      <c r="H8" s="2116">
        <v>43282</v>
      </c>
      <c r="I8" s="2116" t="str">
        <f>+G8</f>
        <v>6/30/19</v>
      </c>
      <c r="J8" s="2116" t="s">
        <v>2318</v>
      </c>
      <c r="K8" s="2045" t="s">
        <v>2317</v>
      </c>
      <c r="L8" s="2045"/>
      <c r="M8" s="2045" t="s">
        <v>1257</v>
      </c>
      <c r="N8" s="2045" t="s">
        <v>30</v>
      </c>
    </row>
    <row r="9" spans="1:14" x14ac:dyDescent="0.2">
      <c r="A9" s="2115" t="s">
        <v>2316</v>
      </c>
      <c r="B9" s="2115"/>
      <c r="C9" s="2026"/>
      <c r="D9" s="2114" t="s">
        <v>2315</v>
      </c>
      <c r="E9" s="2114" t="s">
        <v>2314</v>
      </c>
      <c r="F9" s="2114" t="s">
        <v>2313</v>
      </c>
      <c r="G9" s="2114" t="s">
        <v>2312</v>
      </c>
      <c r="H9" s="2114" t="s">
        <v>2311</v>
      </c>
      <c r="I9" s="2114" t="s">
        <v>2310</v>
      </c>
      <c r="J9" s="2114" t="s">
        <v>2309</v>
      </c>
      <c r="K9" s="2114" t="s">
        <v>2308</v>
      </c>
      <c r="L9" s="2045"/>
      <c r="M9" s="2114" t="s">
        <v>2307</v>
      </c>
      <c r="N9" s="2114" t="s">
        <v>2306</v>
      </c>
    </row>
    <row r="10" spans="1:14" x14ac:dyDescent="0.2">
      <c r="A10" s="2113"/>
      <c r="B10" s="2113"/>
      <c r="C10" s="2009"/>
      <c r="D10" s="2112"/>
      <c r="E10" s="2112"/>
      <c r="F10" s="2112"/>
      <c r="G10" s="2112"/>
      <c r="H10" s="2112"/>
      <c r="I10" s="2112"/>
      <c r="J10" s="2112"/>
      <c r="K10" s="2112"/>
      <c r="L10" s="2011"/>
      <c r="M10" s="2112"/>
      <c r="N10" s="2112"/>
    </row>
    <row r="11" spans="1:14" x14ac:dyDescent="0.2">
      <c r="A11" s="2066" t="s">
        <v>2305</v>
      </c>
      <c r="B11" s="2009"/>
      <c r="C11" s="2009"/>
      <c r="D11" s="2009"/>
      <c r="E11" s="2009"/>
      <c r="F11" s="2009"/>
      <c r="G11" s="2009"/>
      <c r="H11" s="2009" t="s">
        <v>1169</v>
      </c>
      <c r="I11" s="2009"/>
      <c r="J11" s="2009"/>
      <c r="K11" s="2009"/>
      <c r="L11" s="2011"/>
      <c r="M11" s="2009"/>
      <c r="N11" s="2009"/>
    </row>
    <row r="12" spans="1:14" x14ac:dyDescent="0.2">
      <c r="A12" s="2066" t="s">
        <v>2304</v>
      </c>
      <c r="B12" s="2009"/>
      <c r="C12" s="2009"/>
      <c r="D12" s="2009"/>
      <c r="E12" s="2009"/>
      <c r="F12" s="2009"/>
      <c r="G12" s="2009"/>
      <c r="H12" s="2009"/>
      <c r="I12" s="2009"/>
      <c r="J12" s="2009"/>
      <c r="K12" s="2009"/>
      <c r="L12" s="2011"/>
      <c r="M12" s="2009"/>
      <c r="N12" s="2009"/>
    </row>
    <row r="13" spans="1:14" x14ac:dyDescent="0.2">
      <c r="A13" s="2066" t="s">
        <v>2303</v>
      </c>
      <c r="B13" s="2009"/>
      <c r="C13" s="2009"/>
      <c r="D13" s="2009"/>
      <c r="E13" s="2009"/>
      <c r="F13" s="2009"/>
      <c r="G13" s="2009"/>
      <c r="H13" s="2009"/>
      <c r="I13" s="2009"/>
      <c r="J13" s="2009"/>
      <c r="K13" s="2009"/>
      <c r="L13" s="2011"/>
      <c r="M13" s="2009"/>
      <c r="N13" s="2009"/>
    </row>
    <row r="14" spans="1:14" x14ac:dyDescent="0.2">
      <c r="A14" s="2011"/>
      <c r="B14" s="2009"/>
      <c r="C14" s="2009"/>
      <c r="D14" s="2009"/>
      <c r="E14" s="2009"/>
      <c r="F14" s="2110"/>
      <c r="G14" s="2110"/>
      <c r="H14" s="2110"/>
      <c r="I14" s="2110"/>
      <c r="J14" s="2110"/>
      <c r="K14" s="2110"/>
      <c r="L14" s="2111"/>
      <c r="M14" s="2110"/>
      <c r="N14" s="2110"/>
    </row>
    <row r="15" spans="1:14" ht="15" x14ac:dyDescent="0.2">
      <c r="A15" s="2085"/>
      <c r="B15" s="2109" t="s">
        <v>1059</v>
      </c>
      <c r="C15" s="2109"/>
      <c r="D15" s="2078" t="s">
        <v>2301</v>
      </c>
      <c r="E15" s="2045" t="s">
        <v>2302</v>
      </c>
      <c r="F15" s="2025">
        <v>37078</v>
      </c>
      <c r="G15" s="2025">
        <v>9978</v>
      </c>
      <c r="H15" s="2025">
        <v>37078</v>
      </c>
      <c r="I15" s="2025">
        <v>9978</v>
      </c>
      <c r="J15" s="2025"/>
      <c r="K15" s="2025"/>
      <c r="L15" s="2044"/>
      <c r="M15" s="2106">
        <f>H15+I15+K15</f>
        <v>47056</v>
      </c>
      <c r="N15" s="2105" t="s">
        <v>2200</v>
      </c>
    </row>
    <row r="16" spans="1:14" ht="15" x14ac:dyDescent="0.2">
      <c r="A16" s="2045"/>
      <c r="B16" s="2041" t="s">
        <v>1059</v>
      </c>
      <c r="C16" s="2041"/>
      <c r="D16" s="2051" t="s">
        <v>2301</v>
      </c>
      <c r="E16" s="2045" t="s">
        <v>2300</v>
      </c>
      <c r="F16" s="2104" t="s">
        <v>1169</v>
      </c>
      <c r="G16" s="2048">
        <v>45499</v>
      </c>
      <c r="H16" s="2104" t="s">
        <v>1169</v>
      </c>
      <c r="I16" s="2048">
        <v>45499</v>
      </c>
      <c r="J16" s="2048">
        <v>0</v>
      </c>
      <c r="K16" s="2048">
        <v>0</v>
      </c>
      <c r="L16" s="2093" t="s">
        <v>2191</v>
      </c>
      <c r="M16" s="2048">
        <f>H16+I16+K16</f>
        <v>45499</v>
      </c>
      <c r="N16" s="2043" t="s">
        <v>2200</v>
      </c>
    </row>
    <row r="17" spans="1:14" ht="15" x14ac:dyDescent="0.2">
      <c r="A17" s="2045"/>
      <c r="B17" s="2041"/>
      <c r="C17" s="2041"/>
      <c r="D17" s="2051" t="s">
        <v>2299</v>
      </c>
      <c r="E17" s="2045"/>
      <c r="F17" s="2048">
        <f t="shared" ref="F17:K17" si="0">SUM(F15:F16)</f>
        <v>37078</v>
      </c>
      <c r="G17" s="2048">
        <f t="shared" si="0"/>
        <v>55477</v>
      </c>
      <c r="H17" s="2048">
        <f t="shared" si="0"/>
        <v>37078</v>
      </c>
      <c r="I17" s="2048">
        <f t="shared" si="0"/>
        <v>55477</v>
      </c>
      <c r="J17" s="2094">
        <f t="shared" si="0"/>
        <v>0</v>
      </c>
      <c r="K17" s="2094">
        <f t="shared" si="0"/>
        <v>0</v>
      </c>
      <c r="L17" s="2093"/>
      <c r="M17" s="2048">
        <f>SUM(M15:M16)</f>
        <v>92555</v>
      </c>
      <c r="N17" s="2043"/>
    </row>
    <row r="18" spans="1:14" ht="9.75" customHeight="1" x14ac:dyDescent="0.2">
      <c r="A18" s="2045"/>
      <c r="B18" s="2041"/>
      <c r="C18" s="2041"/>
      <c r="D18" s="2051"/>
      <c r="E18" s="2045"/>
      <c r="F18" s="2048"/>
      <c r="G18" s="2048"/>
      <c r="H18" s="2048"/>
      <c r="I18" s="2048"/>
      <c r="J18" s="2048"/>
      <c r="K18" s="2048"/>
      <c r="L18" s="2093"/>
      <c r="M18" s="2048"/>
      <c r="N18" s="2043"/>
    </row>
    <row r="19" spans="1:14" ht="15" x14ac:dyDescent="0.2">
      <c r="A19" s="2081"/>
      <c r="B19" s="2109" t="s">
        <v>1058</v>
      </c>
      <c r="C19" s="2109"/>
      <c r="D19" s="2078" t="s">
        <v>2291</v>
      </c>
      <c r="E19" s="2045" t="s">
        <v>2298</v>
      </c>
      <c r="F19" s="2025">
        <v>71794</v>
      </c>
      <c r="G19" s="2025">
        <v>16871</v>
      </c>
      <c r="H19" s="2025">
        <v>71794</v>
      </c>
      <c r="I19" s="2025">
        <v>16871</v>
      </c>
      <c r="J19" s="2025"/>
      <c r="K19" s="2108" t="s">
        <v>1169</v>
      </c>
      <c r="L19" s="2107"/>
      <c r="M19" s="2106">
        <f>H19+I19+K19</f>
        <v>88665</v>
      </c>
      <c r="N19" s="2105" t="s">
        <v>2200</v>
      </c>
    </row>
    <row r="20" spans="1:14" x14ac:dyDescent="0.2">
      <c r="A20" s="2045" t="s">
        <v>1169</v>
      </c>
      <c r="B20" s="2041" t="s">
        <v>2297</v>
      </c>
      <c r="C20" s="2041"/>
      <c r="D20" s="2051" t="s">
        <v>2291</v>
      </c>
      <c r="E20" s="2045" t="s">
        <v>2296</v>
      </c>
      <c r="F20" s="2025"/>
      <c r="G20" s="2025">
        <v>74693</v>
      </c>
      <c r="H20" s="2025"/>
      <c r="I20" s="2025">
        <v>74693</v>
      </c>
      <c r="J20" s="2025"/>
      <c r="K20" s="2025" t="s">
        <v>1169</v>
      </c>
      <c r="L20" s="2093" t="s">
        <v>2191</v>
      </c>
      <c r="M20" s="2074">
        <f>H20+I20+K20</f>
        <v>74693</v>
      </c>
      <c r="N20" s="2105" t="s">
        <v>2200</v>
      </c>
    </row>
    <row r="21" spans="1:14" ht="8.25" customHeight="1" x14ac:dyDescent="0.2">
      <c r="A21" s="2045"/>
      <c r="B21" s="2041"/>
      <c r="C21" s="2041"/>
      <c r="D21" s="2051"/>
      <c r="E21" s="2045"/>
      <c r="F21" s="2025"/>
      <c r="G21" s="2025"/>
      <c r="H21" s="2025"/>
      <c r="I21" s="2025"/>
      <c r="J21" s="2025"/>
      <c r="K21" s="2025"/>
      <c r="L21" s="2044"/>
      <c r="M21" s="2074"/>
      <c r="N21" s="2043"/>
    </row>
    <row r="22" spans="1:14" ht="12.75" customHeight="1" x14ac:dyDescent="0.2">
      <c r="A22" s="2045"/>
      <c r="B22" s="2041" t="s">
        <v>2295</v>
      </c>
      <c r="C22" s="2041"/>
      <c r="D22" s="2051"/>
      <c r="E22" s="2045"/>
      <c r="F22" s="2025"/>
      <c r="G22" s="2025"/>
      <c r="H22" s="2025"/>
      <c r="I22" s="2025"/>
      <c r="J22" s="2025"/>
      <c r="K22" s="2025"/>
      <c r="L22" s="2044"/>
      <c r="M22" s="2074"/>
      <c r="N22" s="2038"/>
    </row>
    <row r="23" spans="1:14" ht="12.75" customHeight="1" x14ac:dyDescent="0.2">
      <c r="A23" s="2045"/>
      <c r="B23" s="2004" t="s">
        <v>2294</v>
      </c>
      <c r="C23" s="2041"/>
      <c r="D23" s="2051" t="s">
        <v>2291</v>
      </c>
      <c r="E23" s="2045" t="s">
        <v>2290</v>
      </c>
      <c r="F23" s="2025"/>
      <c r="G23" s="2025"/>
      <c r="H23" s="2025"/>
      <c r="I23" s="2025">
        <v>3659</v>
      </c>
      <c r="J23" s="2025"/>
      <c r="K23" s="2025"/>
      <c r="L23" s="2044"/>
      <c r="M23" s="2024">
        <f>H23+I23+K23</f>
        <v>3659</v>
      </c>
      <c r="N23" s="2043" t="s">
        <v>2200</v>
      </c>
    </row>
    <row r="24" spans="1:14" ht="12.75" hidden="1" customHeight="1" x14ac:dyDescent="0.2">
      <c r="A24" s="2045"/>
      <c r="B24" s="2004" t="s">
        <v>2294</v>
      </c>
      <c r="C24" s="2004"/>
      <c r="D24" s="2051" t="s">
        <v>2291</v>
      </c>
      <c r="E24" s="2045" t="s">
        <v>2293</v>
      </c>
      <c r="F24" s="2025"/>
      <c r="G24" s="2025"/>
      <c r="H24" s="2025"/>
      <c r="I24" s="2025"/>
      <c r="J24" s="2025"/>
      <c r="K24" s="2025"/>
      <c r="L24" s="2044"/>
      <c r="M24" s="2024">
        <f>H24+I24+K24</f>
        <v>0</v>
      </c>
      <c r="N24" s="2043" t="s">
        <v>2200</v>
      </c>
    </row>
    <row r="25" spans="1:14" ht="8.25" customHeight="1" x14ac:dyDescent="0.2">
      <c r="A25" s="2045"/>
      <c r="B25" s="2004"/>
      <c r="C25" s="2004"/>
      <c r="D25" s="2051"/>
      <c r="E25" s="2045"/>
      <c r="F25" s="2025"/>
      <c r="G25" s="2025"/>
      <c r="H25" s="2025"/>
      <c r="I25" s="2025"/>
      <c r="J25" s="2025"/>
      <c r="K25" s="2025"/>
      <c r="L25" s="2044"/>
      <c r="M25" s="2024"/>
      <c r="N25" s="2043"/>
    </row>
    <row r="26" spans="1:14" ht="11.25" customHeight="1" x14ac:dyDescent="0.2">
      <c r="A26" s="2045"/>
      <c r="B26" s="2004" t="s">
        <v>2292</v>
      </c>
      <c r="C26" s="2004"/>
      <c r="D26" s="2051" t="s">
        <v>2291</v>
      </c>
      <c r="E26" s="2045" t="s">
        <v>2293</v>
      </c>
      <c r="F26" s="2025"/>
      <c r="G26" s="2025"/>
      <c r="H26" s="2025">
        <v>4718</v>
      </c>
      <c r="I26" s="2025"/>
      <c r="J26" s="2025"/>
      <c r="K26" s="2025"/>
      <c r="L26" s="2044"/>
      <c r="M26" s="2024">
        <f>H26+I26+K26</f>
        <v>4718</v>
      </c>
      <c r="N26" s="2043" t="s">
        <v>2200</v>
      </c>
    </row>
    <row r="27" spans="1:14" ht="12.75" customHeight="1" x14ac:dyDescent="0.2">
      <c r="A27" s="2045"/>
      <c r="B27" s="2004" t="s">
        <v>2292</v>
      </c>
      <c r="C27" s="2004"/>
      <c r="D27" s="2051" t="s">
        <v>2291</v>
      </c>
      <c r="E27" s="2045" t="s">
        <v>2290</v>
      </c>
      <c r="F27" s="2048" t="s">
        <v>1169</v>
      </c>
      <c r="G27" s="2048" t="s">
        <v>1169</v>
      </c>
      <c r="H27" s="2104" t="s">
        <v>1169</v>
      </c>
      <c r="I27" s="2104">
        <v>4506</v>
      </c>
      <c r="J27" s="2048">
        <v>0</v>
      </c>
      <c r="K27" s="2048">
        <v>0</v>
      </c>
      <c r="L27" s="2044"/>
      <c r="M27" s="2048">
        <f>H27+I27+K27</f>
        <v>4506</v>
      </c>
      <c r="N27" s="2043" t="s">
        <v>2200</v>
      </c>
    </row>
    <row r="28" spans="1:14" ht="12.75" customHeight="1" x14ac:dyDescent="0.2">
      <c r="A28" s="2045"/>
      <c r="B28" s="2004"/>
      <c r="C28" s="2004"/>
      <c r="D28" s="2051" t="s">
        <v>2289</v>
      </c>
      <c r="E28" s="2045"/>
      <c r="F28" s="2048">
        <f t="shared" ref="F28:K28" si="1">SUM(F19:F27)</f>
        <v>71794</v>
      </c>
      <c r="G28" s="2048">
        <f t="shared" si="1"/>
        <v>91564</v>
      </c>
      <c r="H28" s="2048">
        <f t="shared" si="1"/>
        <v>76512</v>
      </c>
      <c r="I28" s="2048">
        <f t="shared" si="1"/>
        <v>99729</v>
      </c>
      <c r="J28" s="2094">
        <f t="shared" si="1"/>
        <v>0</v>
      </c>
      <c r="K28" s="2094">
        <f t="shared" si="1"/>
        <v>0</v>
      </c>
      <c r="L28" s="2044"/>
      <c r="M28" s="2048">
        <f>SUM(M19:M27)</f>
        <v>176241</v>
      </c>
      <c r="N28" s="2043"/>
    </row>
    <row r="29" spans="1:14" ht="12.75" customHeight="1" x14ac:dyDescent="0.2">
      <c r="A29" s="2045"/>
      <c r="B29" s="2004"/>
      <c r="C29" s="2004"/>
      <c r="D29" s="2051"/>
      <c r="E29" s="2045"/>
      <c r="F29" s="2048"/>
      <c r="G29" s="2048"/>
      <c r="H29" s="2104"/>
      <c r="I29" s="2104"/>
      <c r="J29" s="2048"/>
      <c r="K29" s="2048"/>
      <c r="L29" s="2044"/>
      <c r="M29" s="2048"/>
      <c r="N29" s="2043"/>
    </row>
    <row r="30" spans="1:14" ht="12.75" customHeight="1" x14ac:dyDescent="0.2">
      <c r="A30" s="2045"/>
      <c r="B30" s="2004"/>
      <c r="C30" s="2004"/>
      <c r="D30" s="2051"/>
      <c r="E30" s="2039" t="s">
        <v>2288</v>
      </c>
      <c r="F30" s="2048">
        <f t="shared" ref="F30:K30" si="2">F28+F17</f>
        <v>108872</v>
      </c>
      <c r="G30" s="2048">
        <f t="shared" si="2"/>
        <v>147041</v>
      </c>
      <c r="H30" s="2048">
        <f t="shared" si="2"/>
        <v>113590</v>
      </c>
      <c r="I30" s="2048">
        <f t="shared" si="2"/>
        <v>155206</v>
      </c>
      <c r="J30" s="2094">
        <f t="shared" si="2"/>
        <v>0</v>
      </c>
      <c r="K30" s="2094">
        <f t="shared" si="2"/>
        <v>0</v>
      </c>
      <c r="L30" s="2044"/>
      <c r="M30" s="2048">
        <f>M28+M17</f>
        <v>268796</v>
      </c>
      <c r="N30" s="2043"/>
    </row>
    <row r="31" spans="1:14" x14ac:dyDescent="0.2">
      <c r="A31" s="2011"/>
      <c r="B31" s="2004"/>
      <c r="C31" s="2004"/>
      <c r="D31" s="2012"/>
      <c r="E31" s="2011"/>
      <c r="F31" s="2028"/>
      <c r="G31" s="2034"/>
      <c r="H31" s="2028"/>
      <c r="I31" s="2034"/>
      <c r="J31" s="2034"/>
      <c r="K31" s="2028"/>
      <c r="L31" s="2035"/>
      <c r="M31" s="2097"/>
      <c r="N31" s="2033"/>
    </row>
    <row r="32" spans="1:14" ht="15" x14ac:dyDescent="0.35">
      <c r="A32" s="2011"/>
      <c r="B32" s="2004" t="s">
        <v>2287</v>
      </c>
      <c r="C32" s="2004"/>
      <c r="D32" s="2012" t="s">
        <v>2286</v>
      </c>
      <c r="E32" s="2011" t="s">
        <v>2351</v>
      </c>
      <c r="F32" s="2103" t="s">
        <v>1169</v>
      </c>
      <c r="G32" s="2102">
        <v>47543</v>
      </c>
      <c r="H32" s="2103" t="s">
        <v>1169</v>
      </c>
      <c r="I32" s="2102">
        <v>47543</v>
      </c>
      <c r="J32" s="2048">
        <v>0</v>
      </c>
      <c r="K32" s="2048">
        <v>0</v>
      </c>
      <c r="L32" s="2035"/>
      <c r="M32" s="2048">
        <f>H32+I32+K32</f>
        <v>47543</v>
      </c>
      <c r="N32" s="2101">
        <v>47543</v>
      </c>
    </row>
    <row r="33" spans="1:14" x14ac:dyDescent="0.2">
      <c r="A33" s="2011"/>
      <c r="B33" s="2004"/>
      <c r="C33" s="2004"/>
      <c r="D33" s="2012"/>
      <c r="E33" s="2011"/>
      <c r="F33" s="2028"/>
      <c r="G33" s="2034"/>
      <c r="H33" s="2028"/>
      <c r="I33" s="2034"/>
      <c r="J33" s="2034"/>
      <c r="K33" s="2028"/>
      <c r="L33" s="2035"/>
      <c r="M33" s="2097"/>
      <c r="N33" s="2033"/>
    </row>
    <row r="34" spans="1:14" ht="15" x14ac:dyDescent="0.2">
      <c r="A34" s="2019" t="s">
        <v>2285</v>
      </c>
      <c r="B34" s="2019"/>
      <c r="C34" s="2019"/>
      <c r="D34" s="2100"/>
      <c r="E34" s="2099"/>
      <c r="F34" s="2048">
        <f t="shared" ref="F34:K34" si="3">F32+F30</f>
        <v>108872</v>
      </c>
      <c r="G34" s="2048">
        <f t="shared" si="3"/>
        <v>194584</v>
      </c>
      <c r="H34" s="2048">
        <f t="shared" si="3"/>
        <v>113590</v>
      </c>
      <c r="I34" s="2048">
        <f t="shared" si="3"/>
        <v>202749</v>
      </c>
      <c r="J34" s="2094">
        <f t="shared" si="3"/>
        <v>0</v>
      </c>
      <c r="K34" s="2094">
        <f t="shared" si="3"/>
        <v>0</v>
      </c>
      <c r="L34" s="2048"/>
      <c r="M34" s="2048">
        <f>M32+M30</f>
        <v>316339</v>
      </c>
      <c r="N34" s="2098"/>
    </row>
    <row r="35" spans="1:14" x14ac:dyDescent="0.2">
      <c r="A35" s="2011"/>
      <c r="B35" s="2004"/>
      <c r="C35" s="2004"/>
      <c r="D35" s="2012"/>
      <c r="E35" s="2011"/>
      <c r="F35" s="2028"/>
      <c r="G35" s="2034"/>
      <c r="H35" s="2028"/>
      <c r="I35" s="2034"/>
      <c r="J35" s="2034"/>
      <c r="K35" s="2028"/>
      <c r="L35" s="2035"/>
      <c r="M35" s="2097"/>
      <c r="N35" s="2033"/>
    </row>
    <row r="36" spans="1:14" x14ac:dyDescent="0.2">
      <c r="A36" s="2032" t="s">
        <v>2284</v>
      </c>
      <c r="B36" s="2004"/>
      <c r="C36" s="2004"/>
      <c r="D36" s="2012"/>
      <c r="E36" s="2011"/>
      <c r="F36" s="2028"/>
      <c r="G36" s="2034"/>
      <c r="H36" s="2028"/>
      <c r="I36" s="2034"/>
      <c r="J36" s="2034"/>
      <c r="K36" s="2028"/>
      <c r="L36" s="2035"/>
      <c r="M36" s="2097"/>
      <c r="N36" s="2033"/>
    </row>
    <row r="37" spans="1:14" x14ac:dyDescent="0.2">
      <c r="A37" s="2066" t="s">
        <v>2283</v>
      </c>
      <c r="B37" s="2004"/>
      <c r="C37" s="2004"/>
      <c r="D37" s="2012"/>
      <c r="E37" s="2011"/>
      <c r="F37" s="2028"/>
      <c r="G37" s="2034"/>
      <c r="H37" s="2028"/>
      <c r="I37" s="2034"/>
      <c r="J37" s="2034"/>
      <c r="K37" s="2028"/>
      <c r="L37" s="2035"/>
      <c r="M37" s="2097"/>
      <c r="N37" s="2033"/>
    </row>
    <row r="38" spans="1:14" hidden="1" x14ac:dyDescent="0.2">
      <c r="A38" s="2011" t="s">
        <v>1169</v>
      </c>
      <c r="B38" s="2009" t="s">
        <v>2282</v>
      </c>
      <c r="C38" s="2009" t="s">
        <v>2282</v>
      </c>
      <c r="D38" s="2012" t="s">
        <v>2265</v>
      </c>
      <c r="E38" s="2011" t="s">
        <v>2268</v>
      </c>
      <c r="F38" s="2028">
        <v>0</v>
      </c>
      <c r="G38" s="2028"/>
      <c r="H38" s="2028">
        <v>0</v>
      </c>
      <c r="I38" s="2028"/>
      <c r="J38" s="2028"/>
      <c r="K38" s="2028" t="s">
        <v>1169</v>
      </c>
      <c r="L38" s="2035"/>
      <c r="M38" s="2074">
        <f>H38+I38+K38</f>
        <v>0</v>
      </c>
      <c r="N38" s="2028">
        <v>0</v>
      </c>
    </row>
    <row r="39" spans="1:14" hidden="1" x14ac:dyDescent="0.2">
      <c r="A39" s="2011"/>
      <c r="B39" s="2009" t="s">
        <v>2281</v>
      </c>
      <c r="C39" s="2009" t="s">
        <v>2281</v>
      </c>
      <c r="D39" s="2012"/>
      <c r="E39" s="2011"/>
      <c r="F39" s="2028"/>
      <c r="G39" s="2028"/>
      <c r="H39" s="2028"/>
      <c r="I39" s="2028"/>
      <c r="J39" s="2028"/>
      <c r="K39" s="2028"/>
      <c r="L39" s="2035"/>
      <c r="M39" s="2074"/>
      <c r="N39" s="2028"/>
    </row>
    <row r="40" spans="1:14" hidden="1" x14ac:dyDescent="0.2">
      <c r="A40" s="2011"/>
      <c r="B40" s="2009" t="s">
        <v>2280</v>
      </c>
      <c r="C40" s="2009" t="s">
        <v>2280</v>
      </c>
      <c r="D40" s="2012"/>
      <c r="E40" s="2011"/>
      <c r="F40" s="2028">
        <v>0</v>
      </c>
      <c r="G40" s="2028"/>
      <c r="H40" s="2028">
        <v>0</v>
      </c>
      <c r="I40" s="2028"/>
      <c r="J40" s="2028"/>
      <c r="K40" s="2028"/>
      <c r="L40" s="2035"/>
      <c r="M40" s="2074">
        <f>H40+I40+K40</f>
        <v>0</v>
      </c>
      <c r="N40" s="2028"/>
    </row>
    <row r="41" spans="1:14" hidden="1" x14ac:dyDescent="0.2">
      <c r="A41" s="2011"/>
      <c r="B41" s="2009" t="s">
        <v>2279</v>
      </c>
      <c r="C41" s="2009" t="s">
        <v>2279</v>
      </c>
      <c r="D41" s="2012"/>
      <c r="E41" s="2011"/>
      <c r="F41" s="2028">
        <v>0</v>
      </c>
      <c r="G41" s="2028"/>
      <c r="H41" s="2028">
        <v>0</v>
      </c>
      <c r="I41" s="2028"/>
      <c r="J41" s="2028"/>
      <c r="K41" s="2028"/>
      <c r="L41" s="2035"/>
      <c r="M41" s="2074">
        <f>H41+I41+K41</f>
        <v>0</v>
      </c>
      <c r="N41" s="2028"/>
    </row>
    <row r="42" spans="1:14" hidden="1" x14ac:dyDescent="0.2">
      <c r="A42" s="2011"/>
      <c r="B42" s="2009" t="s">
        <v>2278</v>
      </c>
      <c r="C42" s="2009" t="s">
        <v>2278</v>
      </c>
      <c r="D42" s="2012"/>
      <c r="E42" s="2011"/>
      <c r="F42" s="2028">
        <v>0</v>
      </c>
      <c r="G42" s="2028"/>
      <c r="H42" s="2028">
        <v>0</v>
      </c>
      <c r="I42" s="2028"/>
      <c r="J42" s="2028"/>
      <c r="K42" s="2028"/>
      <c r="L42" s="2035"/>
      <c r="M42" s="2074">
        <f>H42+I42+K42</f>
        <v>0</v>
      </c>
      <c r="N42" s="2028"/>
    </row>
    <row r="43" spans="1:14" hidden="1" x14ac:dyDescent="0.2">
      <c r="A43" s="2011"/>
      <c r="B43" s="2009" t="s">
        <v>2277</v>
      </c>
      <c r="C43" s="2009" t="s">
        <v>2277</v>
      </c>
      <c r="D43" s="2012"/>
      <c r="E43" s="2011"/>
      <c r="F43" s="2028">
        <v>0</v>
      </c>
      <c r="G43" s="2028"/>
      <c r="H43" s="2028">
        <v>0</v>
      </c>
      <c r="I43" s="2028"/>
      <c r="J43" s="2028"/>
      <c r="K43" s="2028"/>
      <c r="L43" s="2035"/>
      <c r="M43" s="2074">
        <f>H43+I43+K43</f>
        <v>0</v>
      </c>
      <c r="N43" s="2028"/>
    </row>
    <row r="44" spans="1:14" hidden="1" x14ac:dyDescent="0.2">
      <c r="A44" s="2036"/>
      <c r="B44" s="2009" t="s">
        <v>2276</v>
      </c>
      <c r="C44" s="2009" t="s">
        <v>2276</v>
      </c>
      <c r="D44" s="2012"/>
      <c r="E44" s="2011"/>
      <c r="F44" s="2028">
        <v>0</v>
      </c>
      <c r="G44" s="2028"/>
      <c r="H44" s="2028">
        <v>0</v>
      </c>
      <c r="I44" s="2028"/>
      <c r="J44" s="2028"/>
      <c r="K44" s="2028"/>
      <c r="L44" s="2035"/>
      <c r="M44" s="2064">
        <f>K44+I44+H44</f>
        <v>0</v>
      </c>
      <c r="N44" s="2063"/>
    </row>
    <row r="45" spans="1:14" hidden="1" x14ac:dyDescent="0.2">
      <c r="A45" s="2011"/>
      <c r="B45" s="2009" t="s">
        <v>2275</v>
      </c>
      <c r="C45" s="2009" t="s">
        <v>2275</v>
      </c>
      <c r="D45" s="2012"/>
      <c r="E45" s="2011"/>
      <c r="F45" s="2028">
        <v>0</v>
      </c>
      <c r="G45" s="2028"/>
      <c r="H45" s="2028">
        <v>0</v>
      </c>
      <c r="I45" s="2028"/>
      <c r="J45" s="2028"/>
      <c r="K45" s="2028"/>
      <c r="L45" s="2035"/>
      <c r="M45" s="2074">
        <f t="shared" ref="M45:M50" si="4">H45+I45+K45</f>
        <v>0</v>
      </c>
      <c r="N45" s="2028"/>
    </row>
    <row r="46" spans="1:14" hidden="1" x14ac:dyDescent="0.2">
      <c r="A46" s="2011"/>
      <c r="B46" s="2009" t="s">
        <v>2274</v>
      </c>
      <c r="C46" s="2009" t="s">
        <v>2274</v>
      </c>
      <c r="D46" s="2012"/>
      <c r="E46" s="2011"/>
      <c r="F46" s="2028">
        <v>0</v>
      </c>
      <c r="G46" s="2028"/>
      <c r="H46" s="2028">
        <v>0</v>
      </c>
      <c r="I46" s="2028"/>
      <c r="J46" s="2028"/>
      <c r="K46" s="2028"/>
      <c r="L46" s="2035"/>
      <c r="M46" s="2074">
        <f t="shared" si="4"/>
        <v>0</v>
      </c>
      <c r="N46" s="2028"/>
    </row>
    <row r="47" spans="1:14" hidden="1" x14ac:dyDescent="0.2">
      <c r="A47" s="2011"/>
      <c r="B47" s="2009" t="s">
        <v>2273</v>
      </c>
      <c r="C47" s="2009" t="s">
        <v>2273</v>
      </c>
      <c r="D47" s="2012"/>
      <c r="E47" s="2011"/>
      <c r="F47" s="2028">
        <v>0</v>
      </c>
      <c r="G47" s="2028"/>
      <c r="H47" s="2028">
        <v>0</v>
      </c>
      <c r="I47" s="2028"/>
      <c r="J47" s="2028"/>
      <c r="K47" s="2028"/>
      <c r="L47" s="2035"/>
      <c r="M47" s="2074">
        <f t="shared" si="4"/>
        <v>0</v>
      </c>
      <c r="N47" s="2028"/>
    </row>
    <row r="48" spans="1:14" hidden="1" x14ac:dyDescent="0.2">
      <c r="A48" s="2011"/>
      <c r="B48" s="2009" t="s">
        <v>2272</v>
      </c>
      <c r="C48" s="2009" t="s">
        <v>2272</v>
      </c>
      <c r="D48" s="2012"/>
      <c r="E48" s="2011"/>
      <c r="F48" s="2028">
        <v>0</v>
      </c>
      <c r="G48" s="2028"/>
      <c r="H48" s="2028">
        <v>0</v>
      </c>
      <c r="I48" s="2028"/>
      <c r="J48" s="2028"/>
      <c r="K48" s="2028"/>
      <c r="L48" s="2035"/>
      <c r="M48" s="2074">
        <f t="shared" si="4"/>
        <v>0</v>
      </c>
      <c r="N48" s="2028"/>
    </row>
    <row r="49" spans="1:14" hidden="1" x14ac:dyDescent="0.2">
      <c r="A49" s="2011"/>
      <c r="B49" s="2009" t="s">
        <v>2271</v>
      </c>
      <c r="C49" s="2009" t="s">
        <v>2271</v>
      </c>
      <c r="D49" s="2012"/>
      <c r="E49" s="2011"/>
      <c r="F49" s="2028">
        <v>0</v>
      </c>
      <c r="G49" s="2028"/>
      <c r="H49" s="2028">
        <v>0</v>
      </c>
      <c r="I49" s="2028"/>
      <c r="J49" s="2028"/>
      <c r="K49" s="2028"/>
      <c r="L49" s="2035"/>
      <c r="M49" s="2074">
        <f t="shared" si="4"/>
        <v>0</v>
      </c>
      <c r="N49" s="2028"/>
    </row>
    <row r="50" spans="1:14" ht="15" hidden="1" x14ac:dyDescent="0.35">
      <c r="A50" s="2011"/>
      <c r="B50" s="2009" t="s">
        <v>2270</v>
      </c>
      <c r="C50" s="2009" t="s">
        <v>2270</v>
      </c>
      <c r="D50" s="2012"/>
      <c r="E50" s="2011"/>
      <c r="F50" s="2095">
        <v>0</v>
      </c>
      <c r="G50" s="2023" t="s">
        <v>1169</v>
      </c>
      <c r="H50" s="2095">
        <v>0</v>
      </c>
      <c r="I50" s="2023" t="s">
        <v>1169</v>
      </c>
      <c r="J50" s="2023"/>
      <c r="K50" s="2096" t="s">
        <v>1169</v>
      </c>
      <c r="L50" s="2095"/>
      <c r="M50" s="2095">
        <f t="shared" si="4"/>
        <v>0</v>
      </c>
      <c r="N50" s="2095" t="s">
        <v>1169</v>
      </c>
    </row>
    <row r="51" spans="1:14" ht="15" hidden="1" x14ac:dyDescent="0.2">
      <c r="A51" s="2036"/>
      <c r="B51" s="2009" t="s">
        <v>2234</v>
      </c>
      <c r="C51" s="2009" t="s">
        <v>2234</v>
      </c>
      <c r="D51" s="2012"/>
      <c r="E51" s="2011"/>
      <c r="F51" s="2048">
        <f>SUM(F40:F50)</f>
        <v>0</v>
      </c>
      <c r="G51" s="2048">
        <f>SUM(G40:G50)</f>
        <v>0</v>
      </c>
      <c r="H51" s="2048">
        <f>SUM(H40:H50)</f>
        <v>0</v>
      </c>
      <c r="I51" s="2048">
        <f>SUM(I40:I50)</f>
        <v>0</v>
      </c>
      <c r="J51" s="2048"/>
      <c r="K51" s="2048">
        <f>SUM(K40:K50)</f>
        <v>0</v>
      </c>
      <c r="L51" s="2035"/>
      <c r="M51" s="2048">
        <f>SUM(M40:M50)</f>
        <v>0</v>
      </c>
      <c r="N51" s="2048">
        <v>0</v>
      </c>
    </row>
    <row r="52" spans="1:14" ht="15" hidden="1" x14ac:dyDescent="0.2">
      <c r="A52" s="2036"/>
      <c r="B52" s="2009"/>
      <c r="C52" s="2009"/>
      <c r="D52" s="2012"/>
      <c r="E52" s="2011"/>
      <c r="F52" s="2048"/>
      <c r="G52" s="2048"/>
      <c r="H52" s="2048"/>
      <c r="I52" s="2048"/>
      <c r="J52" s="2048"/>
      <c r="K52" s="2048"/>
      <c r="L52" s="2035"/>
      <c r="M52" s="2048"/>
      <c r="N52" s="2048"/>
    </row>
    <row r="53" spans="1:14" ht="15" hidden="1" x14ac:dyDescent="0.2">
      <c r="A53" s="2036"/>
      <c r="B53" s="2004" t="s">
        <v>2269</v>
      </c>
      <c r="C53" s="2004" t="s">
        <v>2269</v>
      </c>
      <c r="D53" s="2012" t="s">
        <v>2265</v>
      </c>
      <c r="E53" s="2011" t="s">
        <v>2268</v>
      </c>
      <c r="F53" s="2048">
        <f>+F38+F51</f>
        <v>0</v>
      </c>
      <c r="G53" s="2048">
        <f>+G38+G51</f>
        <v>0</v>
      </c>
      <c r="H53" s="2048">
        <f>+H38+H51</f>
        <v>0</v>
      </c>
      <c r="I53" s="2048">
        <f>+I38+I51</f>
        <v>0</v>
      </c>
      <c r="J53" s="2048"/>
      <c r="K53" s="2048">
        <f>+K38+K51</f>
        <v>0</v>
      </c>
      <c r="L53" s="2035"/>
      <c r="M53" s="2048">
        <f>+M38+M51</f>
        <v>0</v>
      </c>
      <c r="N53" s="2048">
        <f>+N38+N51</f>
        <v>0</v>
      </c>
    </row>
    <row r="54" spans="1:14" hidden="1" x14ac:dyDescent="0.2">
      <c r="A54" s="2036"/>
      <c r="B54" s="2004"/>
      <c r="C54" s="2004"/>
      <c r="D54" s="2012"/>
      <c r="E54" s="2011"/>
      <c r="F54" s="2028"/>
      <c r="G54" s="2028"/>
      <c r="H54" s="2028"/>
      <c r="I54" s="2028"/>
      <c r="J54" s="2028"/>
      <c r="K54" s="2028"/>
      <c r="L54" s="2035"/>
      <c r="M54" s="2074"/>
      <c r="N54" s="2028"/>
    </row>
    <row r="55" spans="1:14" hidden="1" x14ac:dyDescent="0.2">
      <c r="A55" s="2011"/>
      <c r="B55" s="2004"/>
      <c r="C55" s="2004"/>
      <c r="D55" s="2012"/>
      <c r="E55" s="2011"/>
      <c r="F55" s="2028"/>
      <c r="G55" s="2028"/>
      <c r="H55" s="2028"/>
      <c r="I55" s="2028"/>
      <c r="J55" s="2028"/>
      <c r="K55" s="2028"/>
      <c r="L55" s="2035"/>
      <c r="M55" s="2074"/>
      <c r="N55" s="2028"/>
    </row>
    <row r="56" spans="1:14" x14ac:dyDescent="0.2">
      <c r="A56" s="2011"/>
      <c r="B56" s="2004"/>
      <c r="C56" s="2004"/>
      <c r="D56" s="2012"/>
      <c r="E56" s="2011"/>
      <c r="F56" s="2028"/>
      <c r="G56" s="2028"/>
      <c r="H56" s="2028"/>
      <c r="I56" s="2028"/>
      <c r="J56" s="2028"/>
      <c r="K56" s="2028"/>
      <c r="L56" s="2035"/>
      <c r="M56" s="2074"/>
      <c r="N56" s="2028"/>
    </row>
    <row r="57" spans="1:14" x14ac:dyDescent="0.2">
      <c r="A57" s="2036"/>
      <c r="B57" s="2083" t="s">
        <v>2266</v>
      </c>
      <c r="C57" s="2083"/>
      <c r="D57" s="2082" t="s">
        <v>2265</v>
      </c>
      <c r="E57" s="2011" t="s">
        <v>2267</v>
      </c>
      <c r="F57" s="2028">
        <v>201325</v>
      </c>
      <c r="G57" s="2028">
        <v>0</v>
      </c>
      <c r="H57" s="2028">
        <v>201325</v>
      </c>
      <c r="I57" s="2028"/>
      <c r="J57" s="2028"/>
      <c r="K57" s="2028"/>
      <c r="L57" s="2020"/>
      <c r="M57" s="2074">
        <f>H57+I57+K57</f>
        <v>201325</v>
      </c>
      <c r="N57" s="2028">
        <v>212486</v>
      </c>
    </row>
    <row r="58" spans="1:14" x14ac:dyDescent="0.2">
      <c r="A58" s="2036"/>
      <c r="B58" s="2009" t="s">
        <v>2249</v>
      </c>
      <c r="C58" s="2009"/>
      <c r="D58" s="2082"/>
      <c r="E58" s="2011"/>
      <c r="F58" s="2088"/>
      <c r="G58" s="2088"/>
      <c r="H58" s="2088"/>
      <c r="I58" s="2088"/>
      <c r="J58" s="2088"/>
      <c r="K58" s="2088"/>
      <c r="L58" s="2092"/>
      <c r="M58" s="2074"/>
      <c r="N58" s="2028"/>
    </row>
    <row r="59" spans="1:14" x14ac:dyDescent="0.2">
      <c r="A59" s="2036"/>
      <c r="B59" s="2069" t="s">
        <v>2235</v>
      </c>
      <c r="C59" s="2009"/>
      <c r="D59" s="2082"/>
      <c r="E59" s="2011"/>
      <c r="F59" s="2088">
        <v>11706</v>
      </c>
      <c r="G59" s="2088">
        <v>0</v>
      </c>
      <c r="H59" s="2088">
        <v>11706</v>
      </c>
      <c r="I59" s="2088"/>
      <c r="J59" s="2088"/>
      <c r="K59" s="2088"/>
      <c r="L59" s="2092"/>
      <c r="M59" s="2074">
        <f>H59+I59+K59</f>
        <v>11706</v>
      </c>
      <c r="N59" s="2028">
        <v>14669</v>
      </c>
    </row>
    <row r="60" spans="1:14" ht="15" x14ac:dyDescent="0.35">
      <c r="A60" s="2036"/>
      <c r="B60" s="2087" t="s">
        <v>2236</v>
      </c>
      <c r="C60" s="2069"/>
      <c r="D60" s="2082"/>
      <c r="E60" s="2011"/>
      <c r="F60" s="2048">
        <v>0</v>
      </c>
      <c r="G60" s="2048">
        <v>0</v>
      </c>
      <c r="H60" s="2048">
        <v>0</v>
      </c>
      <c r="I60" s="2048">
        <v>0</v>
      </c>
      <c r="J60" s="2048">
        <v>0</v>
      </c>
      <c r="K60" s="2048">
        <v>0</v>
      </c>
      <c r="L60" s="2093"/>
      <c r="M60" s="2089" t="s">
        <v>2264</v>
      </c>
      <c r="N60" s="2095">
        <v>408</v>
      </c>
    </row>
    <row r="61" spans="1:14" ht="15" x14ac:dyDescent="0.2">
      <c r="A61" s="2036"/>
      <c r="B61" s="2083" t="s">
        <v>2258</v>
      </c>
      <c r="C61" s="2009"/>
      <c r="D61" s="2082"/>
      <c r="E61" s="2011"/>
      <c r="F61" s="2048">
        <f t="shared" ref="F61:K61" si="5">F59+F60</f>
        <v>11706</v>
      </c>
      <c r="G61" s="2094">
        <f t="shared" si="5"/>
        <v>0</v>
      </c>
      <c r="H61" s="2048">
        <f t="shared" si="5"/>
        <v>11706</v>
      </c>
      <c r="I61" s="2094">
        <f t="shared" si="5"/>
        <v>0</v>
      </c>
      <c r="J61" s="2094">
        <f t="shared" si="5"/>
        <v>0</v>
      </c>
      <c r="K61" s="2094">
        <f t="shared" si="5"/>
        <v>0</v>
      </c>
      <c r="L61" s="2093"/>
      <c r="M61" s="2048">
        <f>M59+M60</f>
        <v>11706</v>
      </c>
      <c r="N61" s="2048">
        <f>N59+N60</f>
        <v>15077</v>
      </c>
    </row>
    <row r="62" spans="1:14" x14ac:dyDescent="0.2">
      <c r="A62" s="2036"/>
      <c r="B62" s="2083"/>
      <c r="C62" s="2009"/>
      <c r="D62" s="2082"/>
      <c r="E62" s="2011"/>
      <c r="F62" s="2088"/>
      <c r="G62" s="2088"/>
      <c r="H62" s="2088"/>
      <c r="I62" s="2088"/>
      <c r="J62" s="2088"/>
      <c r="K62" s="2088"/>
      <c r="L62" s="2092"/>
      <c r="M62" s="2074"/>
      <c r="N62" s="2028"/>
    </row>
    <row r="63" spans="1:14" x14ac:dyDescent="0.2">
      <c r="A63" s="2036" t="s">
        <v>2193</v>
      </c>
      <c r="B63" s="2009" t="s">
        <v>2266</v>
      </c>
      <c r="C63" s="2009"/>
      <c r="D63" s="2012" t="s">
        <v>2265</v>
      </c>
      <c r="E63" s="2011" t="s">
        <v>2162</v>
      </c>
      <c r="F63" s="2024"/>
      <c r="G63" s="2024">
        <v>177571</v>
      </c>
      <c r="H63" s="2024"/>
      <c r="I63" s="2024">
        <v>177571</v>
      </c>
      <c r="J63" s="2024" t="s">
        <v>1169</v>
      </c>
      <c r="K63" s="2024" t="s">
        <v>1169</v>
      </c>
      <c r="L63" s="2020"/>
      <c r="M63" s="2074">
        <f>H63+I63+K63</f>
        <v>177571</v>
      </c>
      <c r="N63" s="2028">
        <f>220192-769</f>
        <v>219423</v>
      </c>
    </row>
    <row r="64" spans="1:14" x14ac:dyDescent="0.2">
      <c r="A64" s="2036"/>
      <c r="B64" s="2009" t="s">
        <v>2249</v>
      </c>
      <c r="C64" s="2009"/>
      <c r="D64" s="2012"/>
      <c r="E64" s="2011"/>
      <c r="F64" s="2028"/>
      <c r="G64" s="2028"/>
      <c r="H64" s="2028"/>
      <c r="I64" s="2028"/>
      <c r="J64" s="2028"/>
      <c r="K64" s="2028"/>
      <c r="L64" s="2020"/>
      <c r="M64" s="2074"/>
      <c r="N64" s="2028"/>
    </row>
    <row r="65" spans="1:14" x14ac:dyDescent="0.2">
      <c r="A65" s="2036"/>
      <c r="B65" s="2069" t="s">
        <v>2235</v>
      </c>
      <c r="C65" s="2069"/>
      <c r="D65" s="2012"/>
      <c r="E65" s="2011"/>
      <c r="F65" s="2024">
        <v>0</v>
      </c>
      <c r="G65" s="2024">
        <v>0</v>
      </c>
      <c r="H65" s="2024">
        <v>0</v>
      </c>
      <c r="I65" s="2024">
        <v>0</v>
      </c>
      <c r="J65" s="2024">
        <v>0</v>
      </c>
      <c r="K65" s="2091" t="s">
        <v>1169</v>
      </c>
      <c r="L65" s="2020"/>
      <c r="M65" s="2090" t="s">
        <v>2264</v>
      </c>
      <c r="N65" s="2028">
        <v>348</v>
      </c>
    </row>
    <row r="66" spans="1:14" ht="15" x14ac:dyDescent="0.2">
      <c r="A66" s="2036"/>
      <c r="B66" s="2087" t="s">
        <v>2245</v>
      </c>
      <c r="C66" s="2087"/>
      <c r="D66" s="2012"/>
      <c r="E66" s="2011"/>
      <c r="F66" s="2048" t="s">
        <v>2223</v>
      </c>
      <c r="G66" s="2048" t="s">
        <v>2223</v>
      </c>
      <c r="H66" s="2048" t="s">
        <v>2223</v>
      </c>
      <c r="I66" s="2048" t="s">
        <v>2223</v>
      </c>
      <c r="J66" s="2048">
        <v>0</v>
      </c>
      <c r="K66" s="2048" t="s">
        <v>2223</v>
      </c>
      <c r="L66" s="2047"/>
      <c r="M66" s="2089" t="s">
        <v>2264</v>
      </c>
      <c r="N66" s="2048">
        <v>421</v>
      </c>
    </row>
    <row r="67" spans="1:14" ht="15" x14ac:dyDescent="0.2">
      <c r="A67" s="2036"/>
      <c r="B67" s="2083" t="s">
        <v>2258</v>
      </c>
      <c r="C67" s="2069"/>
      <c r="D67" s="2012"/>
      <c r="E67" s="2011"/>
      <c r="F67" s="2077">
        <f t="shared" ref="F67:K67" si="6">SUM(F65:F66)</f>
        <v>0</v>
      </c>
      <c r="G67" s="2077">
        <f t="shared" si="6"/>
        <v>0</v>
      </c>
      <c r="H67" s="2077">
        <f t="shared" si="6"/>
        <v>0</v>
      </c>
      <c r="I67" s="2077">
        <f t="shared" si="6"/>
        <v>0</v>
      </c>
      <c r="J67" s="2077">
        <f t="shared" si="6"/>
        <v>0</v>
      </c>
      <c r="K67" s="2077">
        <f t="shared" si="6"/>
        <v>0</v>
      </c>
      <c r="L67" s="2048"/>
      <c r="M67" s="2077">
        <f>SUM(M65:M66)</f>
        <v>0</v>
      </c>
      <c r="N67" s="2048">
        <f>SUM(N65:N66)</f>
        <v>769</v>
      </c>
    </row>
    <row r="68" spans="1:14" ht="21" customHeight="1" x14ac:dyDescent="0.2">
      <c r="A68" s="2036"/>
      <c r="B68" s="2004" t="s">
        <v>2263</v>
      </c>
      <c r="C68" s="2069"/>
      <c r="D68" s="2012" t="s">
        <v>2262</v>
      </c>
      <c r="E68" s="2011"/>
      <c r="F68" s="2075">
        <f t="shared" ref="F68:K68" si="7">F57+F61+F63+F67</f>
        <v>213031</v>
      </c>
      <c r="G68" s="2075">
        <f t="shared" si="7"/>
        <v>177571</v>
      </c>
      <c r="H68" s="2075">
        <f t="shared" si="7"/>
        <v>213031</v>
      </c>
      <c r="I68" s="2075">
        <f t="shared" si="7"/>
        <v>177571</v>
      </c>
      <c r="J68" s="2077">
        <f t="shared" si="7"/>
        <v>0</v>
      </c>
      <c r="K68" s="2077">
        <f t="shared" si="7"/>
        <v>0</v>
      </c>
      <c r="L68" s="2075"/>
      <c r="M68" s="2075">
        <f>M57+M61+M63+M67</f>
        <v>390602</v>
      </c>
      <c r="N68" s="2075">
        <f>N57+N61+N63+N67</f>
        <v>447755</v>
      </c>
    </row>
    <row r="69" spans="1:14" x14ac:dyDescent="0.2">
      <c r="A69" s="2011"/>
      <c r="B69" s="2004"/>
      <c r="C69" s="2004"/>
      <c r="D69" s="2012"/>
      <c r="E69" s="2011"/>
      <c r="F69" s="2028"/>
      <c r="G69" s="2028"/>
      <c r="H69" s="2028"/>
      <c r="I69" s="2028"/>
      <c r="J69" s="2028"/>
      <c r="K69" s="2028"/>
      <c r="L69" s="2035"/>
      <c r="M69" s="2064"/>
      <c r="N69" s="2064"/>
    </row>
    <row r="70" spans="1:14" x14ac:dyDescent="0.2">
      <c r="A70" s="2036"/>
      <c r="B70" s="2079" t="s">
        <v>2252</v>
      </c>
      <c r="C70" s="2079"/>
      <c r="D70" s="2082" t="s">
        <v>2232</v>
      </c>
      <c r="E70" s="2011" t="s">
        <v>2261</v>
      </c>
      <c r="F70" s="2028">
        <v>1276896</v>
      </c>
      <c r="G70" s="2028"/>
      <c r="H70" s="2028">
        <v>1276896</v>
      </c>
      <c r="I70" s="2028"/>
      <c r="J70" s="2028"/>
      <c r="K70" s="2028" t="s">
        <v>1169</v>
      </c>
      <c r="L70" s="2035"/>
      <c r="M70" s="2074">
        <f>H70+I70+K70</f>
        <v>1276896</v>
      </c>
      <c r="N70" s="2028">
        <v>1395027</v>
      </c>
    </row>
    <row r="71" spans="1:14" x14ac:dyDescent="0.2">
      <c r="A71" s="2036"/>
      <c r="B71" s="2083" t="s">
        <v>2249</v>
      </c>
      <c r="C71" s="2083"/>
      <c r="D71" s="2082"/>
      <c r="E71" s="2081"/>
      <c r="F71" s="2024"/>
      <c r="G71" s="2088"/>
      <c r="H71" s="2024"/>
      <c r="I71" s="2088"/>
      <c r="J71" s="2088"/>
      <c r="K71" s="2088"/>
      <c r="L71" s="2076"/>
      <c r="M71" s="2074"/>
      <c r="N71" s="2053"/>
    </row>
    <row r="72" spans="1:14" x14ac:dyDescent="0.2">
      <c r="A72" s="2036"/>
      <c r="B72" s="2087" t="s">
        <v>2248</v>
      </c>
      <c r="C72" s="2087"/>
      <c r="D72" s="2082"/>
      <c r="E72" s="2081"/>
      <c r="F72" s="2028">
        <v>80707</v>
      </c>
      <c r="G72" s="2028"/>
      <c r="H72" s="2028">
        <v>80707</v>
      </c>
      <c r="I72" s="2028"/>
      <c r="J72" s="2028"/>
      <c r="K72" s="2028"/>
      <c r="L72" s="2035"/>
      <c r="M72" s="2074">
        <f t="shared" ref="M72:M84" si="8">H72+I72+K72</f>
        <v>80707</v>
      </c>
      <c r="N72" s="2028">
        <v>80707</v>
      </c>
    </row>
    <row r="73" spans="1:14" x14ac:dyDescent="0.2">
      <c r="A73" s="2036"/>
      <c r="B73" s="2087" t="s">
        <v>2247</v>
      </c>
      <c r="C73" s="2087"/>
      <c r="D73" s="2082"/>
      <c r="E73" s="2081"/>
      <c r="F73" s="2028">
        <v>51561</v>
      </c>
      <c r="G73" s="2028"/>
      <c r="H73" s="2028">
        <v>51561</v>
      </c>
      <c r="I73" s="2028"/>
      <c r="J73" s="2028"/>
      <c r="K73" s="2028"/>
      <c r="L73" s="2035"/>
      <c r="M73" s="2074">
        <f t="shared" si="8"/>
        <v>51561</v>
      </c>
      <c r="N73" s="2028">
        <v>51561</v>
      </c>
    </row>
    <row r="74" spans="1:14" x14ac:dyDescent="0.2">
      <c r="A74" s="2036"/>
      <c r="B74" s="2087" t="s">
        <v>2260</v>
      </c>
      <c r="C74" s="2087"/>
      <c r="D74" s="2082"/>
      <c r="E74" s="2081"/>
      <c r="F74" s="2028">
        <v>72274</v>
      </c>
      <c r="G74" s="2028"/>
      <c r="H74" s="2028">
        <v>72274</v>
      </c>
      <c r="I74" s="2028"/>
      <c r="J74" s="2028"/>
      <c r="K74" s="2028"/>
      <c r="L74" s="2035"/>
      <c r="M74" s="2074">
        <f t="shared" si="8"/>
        <v>72274</v>
      </c>
      <c r="N74" s="2028">
        <v>98064</v>
      </c>
    </row>
    <row r="75" spans="1:14" x14ac:dyDescent="0.2">
      <c r="A75" s="2036"/>
      <c r="B75" s="2087" t="s">
        <v>2245</v>
      </c>
      <c r="C75" s="2087"/>
      <c r="D75" s="2082"/>
      <c r="E75" s="2081"/>
      <c r="F75" s="2028">
        <v>541985</v>
      </c>
      <c r="G75" s="2028"/>
      <c r="H75" s="2028">
        <v>541985</v>
      </c>
      <c r="I75" s="2028"/>
      <c r="J75" s="2028"/>
      <c r="K75" s="2028"/>
      <c r="L75" s="2035"/>
      <c r="M75" s="2074">
        <f t="shared" si="8"/>
        <v>541985</v>
      </c>
      <c r="N75" s="2028">
        <v>580875</v>
      </c>
    </row>
    <row r="76" spans="1:14" x14ac:dyDescent="0.2">
      <c r="A76" s="2036"/>
      <c r="B76" s="2087" t="s">
        <v>2243</v>
      </c>
      <c r="C76" s="2087"/>
      <c r="D76" s="2082"/>
      <c r="E76" s="2081"/>
      <c r="F76" s="2028">
        <v>169234</v>
      </c>
      <c r="G76" s="2028"/>
      <c r="H76" s="2028">
        <v>169234</v>
      </c>
      <c r="I76" s="2028"/>
      <c r="J76" s="2028"/>
      <c r="K76" s="2028"/>
      <c r="L76" s="2035"/>
      <c r="M76" s="2074">
        <f t="shared" si="8"/>
        <v>169234</v>
      </c>
      <c r="N76" s="2028">
        <v>174276</v>
      </c>
    </row>
    <row r="77" spans="1:14" x14ac:dyDescent="0.2">
      <c r="A77" s="2036"/>
      <c r="B77" s="2087" t="s">
        <v>2242</v>
      </c>
      <c r="C77" s="2087"/>
      <c r="D77" s="2082"/>
      <c r="E77" s="2081"/>
      <c r="F77" s="2028">
        <v>200659</v>
      </c>
      <c r="G77" s="2028"/>
      <c r="H77" s="2028">
        <v>200659</v>
      </c>
      <c r="I77" s="2028"/>
      <c r="J77" s="2028"/>
      <c r="K77" s="2028"/>
      <c r="L77" s="2035"/>
      <c r="M77" s="2074">
        <f t="shared" si="8"/>
        <v>200659</v>
      </c>
      <c r="N77" s="2028">
        <v>200522</v>
      </c>
    </row>
    <row r="78" spans="1:14" x14ac:dyDescent="0.2">
      <c r="A78" s="2036"/>
      <c r="B78" s="2087" t="s">
        <v>2241</v>
      </c>
      <c r="C78" s="2087"/>
      <c r="D78" s="2082"/>
      <c r="E78" s="2081"/>
      <c r="F78" s="2028">
        <v>201424</v>
      </c>
      <c r="G78" s="2028"/>
      <c r="H78" s="2028">
        <v>201424</v>
      </c>
      <c r="I78" s="2028"/>
      <c r="J78" s="2028"/>
      <c r="K78" s="2028"/>
      <c r="L78" s="2035"/>
      <c r="M78" s="2074">
        <f t="shared" si="8"/>
        <v>201424</v>
      </c>
      <c r="N78" s="2028">
        <v>205613</v>
      </c>
    </row>
    <row r="79" spans="1:14" x14ac:dyDescent="0.2">
      <c r="A79" s="2036"/>
      <c r="B79" s="2087" t="s">
        <v>2240</v>
      </c>
      <c r="C79" s="2087"/>
      <c r="D79" s="2082"/>
      <c r="E79" s="2081"/>
      <c r="F79" s="2028">
        <v>241836</v>
      </c>
      <c r="G79" s="2028"/>
      <c r="H79" s="2028">
        <v>241836</v>
      </c>
      <c r="I79" s="2028"/>
      <c r="J79" s="2028"/>
      <c r="K79" s="2028"/>
      <c r="L79" s="2035"/>
      <c r="M79" s="2074">
        <f t="shared" si="8"/>
        <v>241836</v>
      </c>
      <c r="N79" s="2028">
        <v>255595</v>
      </c>
    </row>
    <row r="80" spans="1:14" x14ac:dyDescent="0.2">
      <c r="A80" s="2036"/>
      <c r="B80" s="2087" t="s">
        <v>2239</v>
      </c>
      <c r="C80" s="2087"/>
      <c r="D80" s="2082"/>
      <c r="E80" s="2081"/>
      <c r="F80" s="2028">
        <v>158789</v>
      </c>
      <c r="G80" s="2028"/>
      <c r="H80" s="2028">
        <v>158789</v>
      </c>
      <c r="I80" s="2028"/>
      <c r="J80" s="2028"/>
      <c r="K80" s="2028"/>
      <c r="L80" s="2035"/>
      <c r="M80" s="2074">
        <f t="shared" si="8"/>
        <v>158789</v>
      </c>
      <c r="N80" s="2028">
        <v>158790</v>
      </c>
    </row>
    <row r="81" spans="1:14" x14ac:dyDescent="0.2">
      <c r="A81" s="2036"/>
      <c r="B81" s="2087" t="s">
        <v>2238</v>
      </c>
      <c r="C81" s="2087"/>
      <c r="D81" s="2082"/>
      <c r="E81" s="2081"/>
      <c r="F81" s="2028">
        <v>292694</v>
      </c>
      <c r="G81" s="2028"/>
      <c r="H81" s="2028">
        <v>292694</v>
      </c>
      <c r="I81" s="2028"/>
      <c r="J81" s="2028"/>
      <c r="K81" s="2028"/>
      <c r="L81" s="2035"/>
      <c r="M81" s="2074">
        <f t="shared" si="8"/>
        <v>292694</v>
      </c>
      <c r="N81" s="2028">
        <v>302030</v>
      </c>
    </row>
    <row r="82" spans="1:14" x14ac:dyDescent="0.2">
      <c r="A82" s="2036"/>
      <c r="B82" s="2087" t="s">
        <v>2237</v>
      </c>
      <c r="C82" s="2087"/>
      <c r="D82" s="2082"/>
      <c r="E82" s="2081"/>
      <c r="F82" s="2028">
        <v>239732</v>
      </c>
      <c r="G82" s="2028"/>
      <c r="H82" s="2028">
        <v>239732</v>
      </c>
      <c r="I82" s="2028"/>
      <c r="J82" s="2028"/>
      <c r="K82" s="2028"/>
      <c r="L82" s="2035"/>
      <c r="M82" s="2074">
        <f t="shared" si="8"/>
        <v>239732</v>
      </c>
      <c r="N82" s="2028">
        <v>239732</v>
      </c>
    </row>
    <row r="83" spans="1:14" x14ac:dyDescent="0.2">
      <c r="A83" s="2036"/>
      <c r="B83" s="2087" t="s">
        <v>2236</v>
      </c>
      <c r="C83" s="2087"/>
      <c r="D83" s="2082"/>
      <c r="E83" s="2081"/>
      <c r="F83" s="2024">
        <v>1347391</v>
      </c>
      <c r="G83" s="2024">
        <v>0</v>
      </c>
      <c r="H83" s="2024">
        <v>1347391</v>
      </c>
      <c r="I83" s="2024" t="s">
        <v>1169</v>
      </c>
      <c r="J83" s="2024" t="s">
        <v>1169</v>
      </c>
      <c r="K83" s="2024" t="s">
        <v>1169</v>
      </c>
      <c r="L83" s="2047"/>
      <c r="M83" s="2024">
        <f t="shared" si="8"/>
        <v>1347391</v>
      </c>
      <c r="N83" s="2024">
        <v>1359433</v>
      </c>
    </row>
    <row r="84" spans="1:14" ht="15" x14ac:dyDescent="0.2">
      <c r="A84" s="2039"/>
      <c r="B84" s="2086" t="s">
        <v>2235</v>
      </c>
      <c r="C84" s="2086"/>
      <c r="D84" s="2078"/>
      <c r="E84" s="2085"/>
      <c r="F84" s="2048">
        <v>1468951</v>
      </c>
      <c r="G84" s="2048">
        <v>0</v>
      </c>
      <c r="H84" s="2048">
        <v>1468951</v>
      </c>
      <c r="I84" s="2048">
        <v>0</v>
      </c>
      <c r="J84" s="2048">
        <v>0</v>
      </c>
      <c r="K84" s="2048" t="s">
        <v>1169</v>
      </c>
      <c r="L84" s="2047"/>
      <c r="M84" s="2048">
        <f t="shared" si="8"/>
        <v>1468951</v>
      </c>
      <c r="N84" s="2048">
        <v>1468951</v>
      </c>
    </row>
    <row r="85" spans="1:14" ht="15" x14ac:dyDescent="0.2">
      <c r="A85" s="2036"/>
      <c r="B85" s="2079" t="s">
        <v>2258</v>
      </c>
      <c r="C85" s="2083"/>
      <c r="D85" s="2082"/>
      <c r="E85" s="2084"/>
      <c r="F85" s="2075">
        <f t="shared" ref="F85:K85" si="9">SUM(F72:F84)</f>
        <v>5067237</v>
      </c>
      <c r="G85" s="2077">
        <f t="shared" si="9"/>
        <v>0</v>
      </c>
      <c r="H85" s="2075">
        <f t="shared" si="9"/>
        <v>5067237</v>
      </c>
      <c r="I85" s="2077">
        <f t="shared" si="9"/>
        <v>0</v>
      </c>
      <c r="J85" s="2077">
        <f t="shared" si="9"/>
        <v>0</v>
      </c>
      <c r="K85" s="2077">
        <f t="shared" si="9"/>
        <v>0</v>
      </c>
      <c r="L85" s="2076"/>
      <c r="M85" s="2075">
        <f>SUM(M72:M84)</f>
        <v>5067237</v>
      </c>
      <c r="N85" s="2075">
        <f>SUM(N72:N84)</f>
        <v>5176149</v>
      </c>
    </row>
    <row r="86" spans="1:14" ht="9.75" customHeight="1" x14ac:dyDescent="0.2">
      <c r="A86" s="2080"/>
      <c r="B86" s="2083"/>
      <c r="C86" s="2083"/>
      <c r="D86" s="2082"/>
      <c r="E86" s="2081"/>
      <c r="F86" s="2075"/>
      <c r="G86" s="2075"/>
      <c r="H86" s="2075"/>
      <c r="I86" s="2075"/>
      <c r="J86" s="2075"/>
      <c r="K86" s="2075"/>
      <c r="L86" s="2076"/>
      <c r="M86" s="2075"/>
      <c r="N86" s="2075"/>
    </row>
    <row r="87" spans="1:14" ht="15" x14ac:dyDescent="0.2">
      <c r="A87" s="2080"/>
      <c r="B87" s="2079" t="s">
        <v>2257</v>
      </c>
      <c r="C87" s="2079"/>
      <c r="D87" s="2078" t="s">
        <v>2232</v>
      </c>
      <c r="E87" s="2045" t="str">
        <f>+E70</f>
        <v>18-4620-00</v>
      </c>
      <c r="F87" s="2075">
        <f t="shared" ref="F87:K87" si="10">+F70+F85</f>
        <v>6344133</v>
      </c>
      <c r="G87" s="2077">
        <f t="shared" si="10"/>
        <v>0</v>
      </c>
      <c r="H87" s="2075">
        <f t="shared" si="10"/>
        <v>6344133</v>
      </c>
      <c r="I87" s="2077">
        <f t="shared" si="10"/>
        <v>0</v>
      </c>
      <c r="J87" s="2077">
        <f t="shared" si="10"/>
        <v>0</v>
      </c>
      <c r="K87" s="2077">
        <f t="shared" si="10"/>
        <v>0</v>
      </c>
      <c r="L87" s="2076"/>
      <c r="M87" s="2075">
        <f>+M70+M85</f>
        <v>6344133</v>
      </c>
      <c r="N87" s="2075">
        <f>+N70+N85</f>
        <v>6571176</v>
      </c>
    </row>
    <row r="88" spans="1:14" x14ac:dyDescent="0.2">
      <c r="A88" s="2036"/>
      <c r="B88" s="2004"/>
      <c r="C88" s="2004"/>
      <c r="D88" s="2012"/>
      <c r="E88" s="2011"/>
      <c r="F88" s="2028"/>
      <c r="G88" s="2028"/>
      <c r="H88" s="2028"/>
      <c r="I88" s="2028"/>
      <c r="J88" s="2028"/>
      <c r="K88" s="2028"/>
      <c r="L88" s="2035"/>
      <c r="M88" s="2074"/>
      <c r="N88" s="2028"/>
    </row>
    <row r="89" spans="1:14" x14ac:dyDescent="0.2">
      <c r="A89" s="2036" t="s">
        <v>2193</v>
      </c>
      <c r="B89" s="2004" t="s">
        <v>2252</v>
      </c>
      <c r="C89" s="2004"/>
      <c r="D89" s="2012" t="s">
        <v>2232</v>
      </c>
      <c r="E89" s="2011" t="s">
        <v>2134</v>
      </c>
      <c r="F89" s="2028"/>
      <c r="G89" s="2028">
        <f>6219044-5187642</f>
        <v>1031402</v>
      </c>
      <c r="H89" s="2028"/>
      <c r="I89" s="2028">
        <f>6219044-5187642</f>
        <v>1031402</v>
      </c>
      <c r="J89" s="2028"/>
      <c r="K89" s="2028"/>
      <c r="L89" s="2035"/>
      <c r="M89" s="2064">
        <f>K89+I89+H89</f>
        <v>1031402</v>
      </c>
      <c r="N89" s="2028">
        <f>6635226-5289669</f>
        <v>1345557</v>
      </c>
    </row>
    <row r="90" spans="1:14" x14ac:dyDescent="0.2">
      <c r="A90" s="2039"/>
      <c r="B90" s="2009" t="s">
        <v>2259</v>
      </c>
      <c r="C90" s="2009"/>
      <c r="D90" s="2051"/>
      <c r="E90" s="2045"/>
      <c r="F90" s="2024"/>
      <c r="G90" s="2024"/>
      <c r="H90" s="2024"/>
      <c r="I90" s="2024"/>
      <c r="J90" s="2024"/>
      <c r="K90" s="2024"/>
      <c r="L90" s="2047"/>
      <c r="M90" s="2064"/>
      <c r="N90" s="2053"/>
    </row>
    <row r="91" spans="1:14" x14ac:dyDescent="0.2">
      <c r="A91" s="2036"/>
      <c r="B91" s="2069" t="s">
        <v>2248</v>
      </c>
      <c r="C91" s="2069"/>
      <c r="D91" s="2012"/>
      <c r="E91" s="2011"/>
      <c r="F91" s="2028"/>
      <c r="G91" s="2028">
        <v>82716</v>
      </c>
      <c r="H91" s="2028"/>
      <c r="I91" s="2028">
        <v>82716</v>
      </c>
      <c r="J91" s="2028">
        <v>82716</v>
      </c>
      <c r="K91" s="2028"/>
      <c r="L91" s="2035"/>
      <c r="M91" s="2064">
        <f t="shared" ref="M91:M104" si="11">K91+I91+H91</f>
        <v>82716</v>
      </c>
      <c r="N91" s="2028">
        <v>82716</v>
      </c>
    </row>
    <row r="92" spans="1:14" x14ac:dyDescent="0.2">
      <c r="A92" s="2036"/>
      <c r="B92" s="2069" t="s">
        <v>2247</v>
      </c>
      <c r="C92" s="2069"/>
      <c r="D92" s="2012"/>
      <c r="E92" s="2011"/>
      <c r="F92" s="2028"/>
      <c r="G92" s="2028">
        <v>54119</v>
      </c>
      <c r="H92" s="2028"/>
      <c r="I92" s="2028">
        <v>54119</v>
      </c>
      <c r="J92" s="2028">
        <v>54119</v>
      </c>
      <c r="K92" s="2028"/>
      <c r="L92" s="2035"/>
      <c r="M92" s="2064">
        <f t="shared" si="11"/>
        <v>54119</v>
      </c>
      <c r="N92" s="2028">
        <v>55049</v>
      </c>
    </row>
    <row r="93" spans="1:14" x14ac:dyDescent="0.2">
      <c r="A93" s="2036"/>
      <c r="B93" s="2069" t="s">
        <v>2246</v>
      </c>
      <c r="C93" s="2069"/>
      <c r="D93" s="2012"/>
      <c r="E93" s="2011"/>
      <c r="F93" s="2028"/>
      <c r="G93" s="2028">
        <v>116099</v>
      </c>
      <c r="H93" s="2028"/>
      <c r="I93" s="2028">
        <v>116099</v>
      </c>
      <c r="J93" s="2028">
        <v>116099</v>
      </c>
      <c r="K93" s="2028"/>
      <c r="L93" s="2035"/>
      <c r="M93" s="2064">
        <f t="shared" si="11"/>
        <v>116099</v>
      </c>
      <c r="N93" s="2028">
        <v>127456</v>
      </c>
    </row>
    <row r="94" spans="1:14" x14ac:dyDescent="0.2">
      <c r="A94" s="2036"/>
      <c r="B94" s="2069" t="s">
        <v>2245</v>
      </c>
      <c r="C94" s="2069"/>
      <c r="D94" s="2012"/>
      <c r="E94" s="2011"/>
      <c r="F94" s="2028"/>
      <c r="G94" s="2028">
        <v>597142</v>
      </c>
      <c r="H94" s="2028"/>
      <c r="I94" s="2028">
        <v>597142</v>
      </c>
      <c r="J94" s="2028">
        <v>597142</v>
      </c>
      <c r="K94" s="2073"/>
      <c r="L94" s="2035"/>
      <c r="M94" s="2064">
        <f t="shared" si="11"/>
        <v>597142</v>
      </c>
      <c r="N94" s="2028">
        <v>629813</v>
      </c>
    </row>
    <row r="95" spans="1:14" x14ac:dyDescent="0.2">
      <c r="A95" s="2036"/>
      <c r="B95" s="2069" t="s">
        <v>2244</v>
      </c>
      <c r="C95" s="2069"/>
      <c r="D95" s="2012"/>
      <c r="E95" s="2011"/>
      <c r="F95" s="2028"/>
      <c r="G95" s="2028">
        <v>37220</v>
      </c>
      <c r="H95" s="2028"/>
      <c r="I95" s="2028">
        <v>37220</v>
      </c>
      <c r="J95" s="2028">
        <v>37220</v>
      </c>
      <c r="K95" s="2073"/>
      <c r="L95" s="2035"/>
      <c r="M95" s="2064">
        <f t="shared" si="11"/>
        <v>37220</v>
      </c>
      <c r="N95" s="2028">
        <v>37384</v>
      </c>
    </row>
    <row r="96" spans="1:14" x14ac:dyDescent="0.2">
      <c r="A96" s="2036"/>
      <c r="B96" s="2069" t="s">
        <v>2243</v>
      </c>
      <c r="C96" s="2069"/>
      <c r="D96" s="2012"/>
      <c r="E96" s="2011"/>
      <c r="F96" s="2028"/>
      <c r="G96" s="2028">
        <v>182687</v>
      </c>
      <c r="H96" s="2028"/>
      <c r="I96" s="2028">
        <v>182687</v>
      </c>
      <c r="J96" s="2028">
        <v>182687</v>
      </c>
      <c r="K96" s="2028"/>
      <c r="L96" s="2035"/>
      <c r="M96" s="2064">
        <f t="shared" si="11"/>
        <v>182687</v>
      </c>
      <c r="N96" s="2028">
        <v>182687</v>
      </c>
    </row>
    <row r="97" spans="1:14" x14ac:dyDescent="0.2">
      <c r="A97" s="2036"/>
      <c r="B97" s="2069" t="s">
        <v>2242</v>
      </c>
      <c r="C97" s="2069"/>
      <c r="D97" s="2012"/>
      <c r="E97" s="2011"/>
      <c r="F97" s="2028"/>
      <c r="G97" s="2028">
        <v>201558</v>
      </c>
      <c r="H97" s="2028"/>
      <c r="I97" s="2028">
        <v>201558</v>
      </c>
      <c r="J97" s="2028">
        <v>201558</v>
      </c>
      <c r="K97" s="2028"/>
      <c r="L97" s="2035"/>
      <c r="M97" s="2064">
        <f t="shared" si="11"/>
        <v>201558</v>
      </c>
      <c r="N97" s="2028">
        <v>201557</v>
      </c>
    </row>
    <row r="98" spans="1:14" x14ac:dyDescent="0.2">
      <c r="A98" s="2036"/>
      <c r="B98" s="2069" t="s">
        <v>2241</v>
      </c>
      <c r="C98" s="2069"/>
      <c r="D98" s="2012"/>
      <c r="E98" s="2011"/>
      <c r="F98" s="2028"/>
      <c r="G98" s="2028">
        <v>183151</v>
      </c>
      <c r="H98" s="2028"/>
      <c r="I98" s="2028">
        <v>183151</v>
      </c>
      <c r="J98" s="2028">
        <v>183151</v>
      </c>
      <c r="K98" s="2028"/>
      <c r="L98" s="2035"/>
      <c r="M98" s="2064">
        <f t="shared" si="11"/>
        <v>183151</v>
      </c>
      <c r="N98" s="2028">
        <v>183818</v>
      </c>
    </row>
    <row r="99" spans="1:14" x14ac:dyDescent="0.2">
      <c r="A99" s="2036"/>
      <c r="B99" s="2069" t="s">
        <v>2240</v>
      </c>
      <c r="C99" s="2069"/>
      <c r="D99" s="2012"/>
      <c r="E99" s="2011"/>
      <c r="F99" s="2028"/>
      <c r="G99" s="2028">
        <v>256783</v>
      </c>
      <c r="H99" s="2028"/>
      <c r="I99" s="2028">
        <v>256783</v>
      </c>
      <c r="J99" s="2028">
        <v>256783</v>
      </c>
      <c r="K99" s="2028"/>
      <c r="L99" s="2035"/>
      <c r="M99" s="2064">
        <f t="shared" si="11"/>
        <v>256783</v>
      </c>
      <c r="N99" s="2028">
        <v>267865</v>
      </c>
    </row>
    <row r="100" spans="1:14" x14ac:dyDescent="0.2">
      <c r="A100" s="2036"/>
      <c r="B100" s="2069" t="s">
        <v>2239</v>
      </c>
      <c r="C100" s="2069"/>
      <c r="D100" s="2012"/>
      <c r="E100" s="2011"/>
      <c r="F100" s="2028"/>
      <c r="G100" s="2028">
        <v>124979</v>
      </c>
      <c r="H100" s="2028"/>
      <c r="I100" s="2028">
        <v>124979</v>
      </c>
      <c r="J100" s="2028">
        <v>124979</v>
      </c>
      <c r="K100" s="2028"/>
      <c r="L100" s="2035"/>
      <c r="M100" s="2064">
        <f t="shared" si="11"/>
        <v>124979</v>
      </c>
      <c r="N100" s="2028">
        <v>124979</v>
      </c>
    </row>
    <row r="101" spans="1:14" x14ac:dyDescent="0.2">
      <c r="A101" s="2036"/>
      <c r="B101" s="2069" t="s">
        <v>2238</v>
      </c>
      <c r="C101" s="2069"/>
      <c r="D101" s="2012"/>
      <c r="E101" s="2011"/>
      <c r="F101" s="2028"/>
      <c r="G101" s="2028">
        <v>301600</v>
      </c>
      <c r="H101" s="2028"/>
      <c r="I101" s="2028">
        <v>301600</v>
      </c>
      <c r="J101" s="2028">
        <v>301600</v>
      </c>
      <c r="K101" s="2028"/>
      <c r="L101" s="2035"/>
      <c r="M101" s="2064">
        <f t="shared" si="11"/>
        <v>301600</v>
      </c>
      <c r="N101" s="2028">
        <v>318570</v>
      </c>
    </row>
    <row r="102" spans="1:14" x14ac:dyDescent="0.2">
      <c r="A102" s="2036"/>
      <c r="B102" s="2069" t="s">
        <v>2237</v>
      </c>
      <c r="C102" s="2069"/>
      <c r="D102" s="2012"/>
      <c r="E102" s="2011"/>
      <c r="F102" s="2028"/>
      <c r="G102" s="2028">
        <v>246705</v>
      </c>
      <c r="H102" s="2028"/>
      <c r="I102" s="2028">
        <v>246705</v>
      </c>
      <c r="J102" s="2028">
        <v>246705</v>
      </c>
      <c r="K102" s="2035"/>
      <c r="L102" s="2035"/>
      <c r="M102" s="2064">
        <f t="shared" si="11"/>
        <v>246705</v>
      </c>
      <c r="N102" s="2028">
        <v>246705</v>
      </c>
    </row>
    <row r="103" spans="1:14" x14ac:dyDescent="0.2">
      <c r="A103" s="2036"/>
      <c r="B103" s="2069" t="s">
        <v>2236</v>
      </c>
      <c r="C103" s="2069"/>
      <c r="D103" s="2012"/>
      <c r="E103" s="2011"/>
      <c r="F103" s="2024"/>
      <c r="G103" s="2024">
        <v>1360663</v>
      </c>
      <c r="H103" s="2024"/>
      <c r="I103" s="2024">
        <v>1360663</v>
      </c>
      <c r="J103" s="2024">
        <v>1360663</v>
      </c>
      <c r="K103" s="2024" t="s">
        <v>1169</v>
      </c>
      <c r="L103" s="2047"/>
      <c r="M103" s="2024">
        <f t="shared" si="11"/>
        <v>1360663</v>
      </c>
      <c r="N103" s="2024">
        <v>1388852</v>
      </c>
    </row>
    <row r="104" spans="1:14" ht="15" x14ac:dyDescent="0.2">
      <c r="A104" s="2039"/>
      <c r="B104" s="2068" t="s">
        <v>2235</v>
      </c>
      <c r="C104" s="2068"/>
      <c r="D104" s="2051"/>
      <c r="E104" s="2045"/>
      <c r="F104" s="2048">
        <v>0</v>
      </c>
      <c r="G104" s="2048">
        <v>1442220</v>
      </c>
      <c r="H104" s="2048">
        <v>0</v>
      </c>
      <c r="I104" s="2048">
        <v>1442220</v>
      </c>
      <c r="J104" s="2048">
        <v>1442220</v>
      </c>
      <c r="K104" s="2048" t="s">
        <v>1169</v>
      </c>
      <c r="L104" s="2047"/>
      <c r="M104" s="2048">
        <f t="shared" si="11"/>
        <v>1442220</v>
      </c>
      <c r="N104" s="2048">
        <v>1442218</v>
      </c>
    </row>
    <row r="105" spans="1:14" ht="15" x14ac:dyDescent="0.2">
      <c r="A105" s="2039"/>
      <c r="B105" s="2009" t="s">
        <v>2258</v>
      </c>
      <c r="C105" s="2009"/>
      <c r="D105" s="2012"/>
      <c r="E105" s="2011"/>
      <c r="F105" s="2048">
        <f t="shared" ref="F105:K105" si="12">SUM(F91:F104)</f>
        <v>0</v>
      </c>
      <c r="G105" s="2048">
        <f t="shared" si="12"/>
        <v>5187642</v>
      </c>
      <c r="H105" s="2048">
        <f t="shared" si="12"/>
        <v>0</v>
      </c>
      <c r="I105" s="2048">
        <f t="shared" si="12"/>
        <v>5187642</v>
      </c>
      <c r="J105" s="2048">
        <f t="shared" si="12"/>
        <v>5187642</v>
      </c>
      <c r="K105" s="2048">
        <f t="shared" si="12"/>
        <v>0</v>
      </c>
      <c r="L105" s="2035"/>
      <c r="M105" s="2048">
        <f>SUM(M91:M104)</f>
        <v>5187642</v>
      </c>
      <c r="N105" s="2048">
        <f>SUM(N91:N104)</f>
        <v>5289669</v>
      </c>
    </row>
    <row r="106" spans="1:14" ht="15" hidden="1" x14ac:dyDescent="0.2">
      <c r="A106" s="2039"/>
      <c r="B106" s="2009"/>
      <c r="C106" s="2009"/>
      <c r="D106" s="2012"/>
      <c r="E106" s="2011"/>
      <c r="F106" s="2048"/>
      <c r="G106" s="2048"/>
      <c r="H106" s="2048"/>
      <c r="I106" s="2048"/>
      <c r="J106" s="2048"/>
      <c r="K106" s="2048"/>
      <c r="L106" s="2035"/>
      <c r="M106" s="2048"/>
      <c r="N106" s="2048"/>
    </row>
    <row r="107" spans="1:14" ht="25.5" customHeight="1" x14ac:dyDescent="0.2">
      <c r="A107" s="2039"/>
      <c r="B107" s="2004" t="s">
        <v>2257</v>
      </c>
      <c r="C107" s="2004"/>
      <c r="D107" s="2051" t="s">
        <v>2232</v>
      </c>
      <c r="E107" s="2045" t="str">
        <f>+E89</f>
        <v>19-4620-00</v>
      </c>
      <c r="F107" s="2048">
        <f t="shared" ref="F107:K107" si="13">+F89+F105</f>
        <v>0</v>
      </c>
      <c r="G107" s="2048">
        <f t="shared" si="13"/>
        <v>6219044</v>
      </c>
      <c r="H107" s="2048">
        <f t="shared" si="13"/>
        <v>0</v>
      </c>
      <c r="I107" s="2048">
        <f t="shared" si="13"/>
        <v>6219044</v>
      </c>
      <c r="J107" s="2048">
        <f t="shared" si="13"/>
        <v>5187642</v>
      </c>
      <c r="K107" s="2048">
        <f t="shared" si="13"/>
        <v>0</v>
      </c>
      <c r="L107" s="2035"/>
      <c r="M107" s="2048">
        <f>+M89+M105</f>
        <v>6219044</v>
      </c>
      <c r="N107" s="2048">
        <f>+N89+N105</f>
        <v>6635226</v>
      </c>
    </row>
    <row r="108" spans="1:14" ht="15" hidden="1" x14ac:dyDescent="0.2">
      <c r="A108" s="2039"/>
      <c r="B108" s="2004"/>
      <c r="C108" s="2004"/>
      <c r="D108" s="2012"/>
      <c r="E108" s="2011"/>
      <c r="F108" s="2048"/>
      <c r="G108" s="2048"/>
      <c r="H108" s="2048"/>
      <c r="I108" s="2048"/>
      <c r="J108" s="2048"/>
      <c r="K108" s="2048"/>
      <c r="L108" s="2035"/>
      <c r="M108" s="2048"/>
      <c r="N108" s="2048"/>
    </row>
    <row r="109" spans="1:14" ht="15" hidden="1" x14ac:dyDescent="0.2">
      <c r="A109" s="2039"/>
      <c r="B109" s="2004" t="s">
        <v>2255</v>
      </c>
      <c r="C109" s="2004"/>
      <c r="D109" s="2012" t="s">
        <v>2254</v>
      </c>
      <c r="E109" s="2011" t="s">
        <v>2256</v>
      </c>
      <c r="F109" s="2024"/>
      <c r="G109" s="2024"/>
      <c r="H109" s="2024"/>
      <c r="I109" s="2048"/>
      <c r="J109" s="2048"/>
      <c r="K109" s="2048"/>
      <c r="L109" s="2035"/>
      <c r="M109" s="2028">
        <f>K109+I109+H109</f>
        <v>0</v>
      </c>
      <c r="N109" s="2024"/>
    </row>
    <row r="110" spans="1:14" hidden="1" x14ac:dyDescent="0.2">
      <c r="A110" s="2013" t="s">
        <v>2193</v>
      </c>
      <c r="B110" s="2004" t="s">
        <v>2255</v>
      </c>
      <c r="C110" s="2009"/>
      <c r="D110" s="2012" t="s">
        <v>2254</v>
      </c>
      <c r="E110" s="2011" t="s">
        <v>2253</v>
      </c>
      <c r="F110" s="2028"/>
      <c r="G110" s="2072"/>
      <c r="H110" s="2028"/>
      <c r="I110" s="2072"/>
      <c r="J110" s="2072"/>
      <c r="K110" s="2028"/>
      <c r="L110" s="2035"/>
      <c r="M110" s="2028">
        <f>K110+I110+H110</f>
        <v>0</v>
      </c>
      <c r="N110" s="2072"/>
    </row>
    <row r="111" spans="1:14" hidden="1" x14ac:dyDescent="0.2">
      <c r="B111" s="2009"/>
      <c r="C111" s="2009"/>
      <c r="D111" s="2012"/>
      <c r="E111" s="2011"/>
      <c r="F111" s="2070"/>
      <c r="G111" s="2070"/>
      <c r="H111" s="2070"/>
      <c r="I111" s="2070"/>
      <c r="J111" s="2070"/>
      <c r="K111" s="2070"/>
      <c r="L111" s="2071"/>
      <c r="M111" s="2070"/>
      <c r="N111" s="2070"/>
    </row>
    <row r="112" spans="1:14" hidden="1" x14ac:dyDescent="0.2">
      <c r="A112" s="2013" t="s">
        <v>2193</v>
      </c>
      <c r="B112" s="2004" t="s">
        <v>2252</v>
      </c>
      <c r="C112" s="2009"/>
      <c r="D112" s="2012" t="s">
        <v>2251</v>
      </c>
      <c r="E112" s="2011" t="s">
        <v>2250</v>
      </c>
      <c r="F112" s="2028"/>
      <c r="G112" s="2028"/>
      <c r="H112" s="2028"/>
      <c r="I112" s="2028"/>
      <c r="J112" s="2028"/>
      <c r="K112" s="2028"/>
      <c r="L112" s="2035"/>
      <c r="M112" s="2064">
        <f>K112+I112+H112</f>
        <v>0</v>
      </c>
      <c r="N112" s="2028"/>
    </row>
    <row r="113" spans="1:14" hidden="1" x14ac:dyDescent="0.2">
      <c r="A113" s="2036"/>
      <c r="B113" s="2009" t="s">
        <v>2249</v>
      </c>
      <c r="C113" s="2009" t="s">
        <v>2249</v>
      </c>
      <c r="D113" s="2051"/>
      <c r="E113" s="2045"/>
      <c r="F113" s="2024"/>
      <c r="G113" s="2024"/>
      <c r="H113" s="2024"/>
      <c r="I113" s="2024"/>
      <c r="J113" s="2024"/>
      <c r="K113" s="2024"/>
      <c r="L113" s="2047"/>
      <c r="M113" s="2064"/>
      <c r="N113" s="2053"/>
    </row>
    <row r="114" spans="1:14" hidden="1" x14ac:dyDescent="0.2">
      <c r="A114" s="2036"/>
      <c r="B114" s="2069" t="s">
        <v>2248</v>
      </c>
      <c r="C114" s="2069" t="s">
        <v>2248</v>
      </c>
      <c r="D114" s="2012"/>
      <c r="E114" s="2011"/>
      <c r="F114" s="2028"/>
      <c r="G114" s="2028"/>
      <c r="H114" s="2028"/>
      <c r="I114" s="2028"/>
      <c r="J114" s="2028"/>
      <c r="K114" s="2028"/>
      <c r="L114" s="2035"/>
      <c r="M114" s="2064">
        <f t="shared" ref="M114:M127" si="14">K114+I114+H114</f>
        <v>0</v>
      </c>
      <c r="N114" s="2028"/>
    </row>
    <row r="115" spans="1:14" hidden="1" x14ac:dyDescent="0.2">
      <c r="A115" s="2036"/>
      <c r="B115" s="2069" t="s">
        <v>2247</v>
      </c>
      <c r="C115" s="2069" t="s">
        <v>2247</v>
      </c>
      <c r="D115" s="2012"/>
      <c r="E115" s="2011"/>
      <c r="F115" s="2028"/>
      <c r="G115" s="2028"/>
      <c r="H115" s="2028"/>
      <c r="I115" s="2028"/>
      <c r="J115" s="2028"/>
      <c r="K115" s="2028"/>
      <c r="L115" s="2035"/>
      <c r="M115" s="2064">
        <f t="shared" si="14"/>
        <v>0</v>
      </c>
      <c r="N115" s="2028"/>
    </row>
    <row r="116" spans="1:14" hidden="1" x14ac:dyDescent="0.2">
      <c r="A116" s="2036"/>
      <c r="B116" s="2069" t="s">
        <v>2246</v>
      </c>
      <c r="C116" s="2069" t="s">
        <v>2246</v>
      </c>
      <c r="D116" s="2012"/>
      <c r="E116" s="2011"/>
      <c r="F116" s="2028"/>
      <c r="G116" s="2028"/>
      <c r="H116" s="2028"/>
      <c r="I116" s="2028"/>
      <c r="J116" s="2028"/>
      <c r="K116" s="2028"/>
      <c r="L116" s="2035"/>
      <c r="M116" s="2064">
        <f t="shared" si="14"/>
        <v>0</v>
      </c>
      <c r="N116" s="2028"/>
    </row>
    <row r="117" spans="1:14" hidden="1" x14ac:dyDescent="0.2">
      <c r="A117" s="2036"/>
      <c r="B117" s="2069" t="s">
        <v>2245</v>
      </c>
      <c r="C117" s="2069" t="s">
        <v>2245</v>
      </c>
      <c r="D117" s="2012"/>
      <c r="E117" s="2011"/>
      <c r="F117" s="2028"/>
      <c r="G117" s="2028"/>
      <c r="H117" s="2028"/>
      <c r="I117" s="2028"/>
      <c r="J117" s="2028"/>
      <c r="K117" s="2028"/>
      <c r="L117" s="2035"/>
      <c r="M117" s="2064">
        <f t="shared" si="14"/>
        <v>0</v>
      </c>
      <c r="N117" s="2028"/>
    </row>
    <row r="118" spans="1:14" hidden="1" x14ac:dyDescent="0.2">
      <c r="A118" s="2036"/>
      <c r="B118" s="2069" t="s">
        <v>2244</v>
      </c>
      <c r="C118" s="2069" t="s">
        <v>2244</v>
      </c>
      <c r="D118" s="2012"/>
      <c r="E118" s="2011"/>
      <c r="F118" s="2028"/>
      <c r="G118" s="2028"/>
      <c r="H118" s="2028"/>
      <c r="I118" s="2028"/>
      <c r="J118" s="2028"/>
      <c r="K118" s="2028"/>
      <c r="L118" s="2035"/>
      <c r="M118" s="2064">
        <f t="shared" si="14"/>
        <v>0</v>
      </c>
      <c r="N118" s="2028"/>
    </row>
    <row r="119" spans="1:14" hidden="1" x14ac:dyDescent="0.2">
      <c r="A119" s="2036"/>
      <c r="B119" s="2069" t="s">
        <v>2243</v>
      </c>
      <c r="C119" s="2069" t="s">
        <v>2243</v>
      </c>
      <c r="D119" s="2012"/>
      <c r="E119" s="2011"/>
      <c r="F119" s="2028"/>
      <c r="G119" s="2028"/>
      <c r="H119" s="2028"/>
      <c r="I119" s="2028"/>
      <c r="J119" s="2028"/>
      <c r="K119" s="2028"/>
      <c r="L119" s="2035"/>
      <c r="M119" s="2064">
        <f t="shared" si="14"/>
        <v>0</v>
      </c>
      <c r="N119" s="2028"/>
    </row>
    <row r="120" spans="1:14" hidden="1" x14ac:dyDescent="0.2">
      <c r="A120" s="2036"/>
      <c r="B120" s="2069" t="s">
        <v>2242</v>
      </c>
      <c r="C120" s="2069" t="s">
        <v>2242</v>
      </c>
      <c r="D120" s="2012"/>
      <c r="E120" s="2011"/>
      <c r="F120" s="2028"/>
      <c r="G120" s="2028"/>
      <c r="H120" s="2028"/>
      <c r="I120" s="2028"/>
      <c r="J120" s="2028"/>
      <c r="K120" s="2028"/>
      <c r="L120" s="2035"/>
      <c r="M120" s="2064">
        <f t="shared" si="14"/>
        <v>0</v>
      </c>
      <c r="N120" s="2028"/>
    </row>
    <row r="121" spans="1:14" hidden="1" x14ac:dyDescent="0.2">
      <c r="A121" s="2036"/>
      <c r="B121" s="2069" t="s">
        <v>2241</v>
      </c>
      <c r="C121" s="2069" t="s">
        <v>2241</v>
      </c>
      <c r="D121" s="2012"/>
      <c r="E121" s="2011"/>
      <c r="F121" s="2028"/>
      <c r="G121" s="2028"/>
      <c r="H121" s="2028"/>
      <c r="I121" s="2028"/>
      <c r="J121" s="2028"/>
      <c r="K121" s="2028"/>
      <c r="L121" s="2035"/>
      <c r="M121" s="2064">
        <f t="shared" si="14"/>
        <v>0</v>
      </c>
      <c r="N121" s="2028"/>
    </row>
    <row r="122" spans="1:14" hidden="1" x14ac:dyDescent="0.2">
      <c r="A122" s="2036"/>
      <c r="B122" s="2069" t="s">
        <v>2240</v>
      </c>
      <c r="C122" s="2069" t="s">
        <v>2240</v>
      </c>
      <c r="D122" s="2012"/>
      <c r="E122" s="2011"/>
      <c r="F122" s="2028"/>
      <c r="G122" s="2028"/>
      <c r="H122" s="2028"/>
      <c r="I122" s="2028"/>
      <c r="J122" s="2028"/>
      <c r="K122" s="2028"/>
      <c r="L122" s="2035"/>
      <c r="M122" s="2064">
        <f t="shared" si="14"/>
        <v>0</v>
      </c>
      <c r="N122" s="2028"/>
    </row>
    <row r="123" spans="1:14" hidden="1" x14ac:dyDescent="0.2">
      <c r="A123" s="2036"/>
      <c r="B123" s="2069" t="s">
        <v>2239</v>
      </c>
      <c r="C123" s="2069" t="s">
        <v>2239</v>
      </c>
      <c r="D123" s="2012"/>
      <c r="E123" s="2011"/>
      <c r="F123" s="2028"/>
      <c r="G123" s="2028"/>
      <c r="H123" s="2028"/>
      <c r="I123" s="2028"/>
      <c r="J123" s="2028"/>
      <c r="K123" s="2028"/>
      <c r="L123" s="2035"/>
      <c r="M123" s="2064">
        <f t="shared" si="14"/>
        <v>0</v>
      </c>
      <c r="N123" s="2028"/>
    </row>
    <row r="124" spans="1:14" hidden="1" x14ac:dyDescent="0.2">
      <c r="A124" s="2036"/>
      <c r="B124" s="2069" t="s">
        <v>2238</v>
      </c>
      <c r="C124" s="2069" t="s">
        <v>2238</v>
      </c>
      <c r="D124" s="2012"/>
      <c r="E124" s="2011"/>
      <c r="F124" s="2028"/>
      <c r="G124" s="2028"/>
      <c r="H124" s="2028"/>
      <c r="I124" s="2028"/>
      <c r="J124" s="2028"/>
      <c r="K124" s="2028"/>
      <c r="L124" s="2035"/>
      <c r="M124" s="2064">
        <f t="shared" si="14"/>
        <v>0</v>
      </c>
      <c r="N124" s="2028"/>
    </row>
    <row r="125" spans="1:14" hidden="1" x14ac:dyDescent="0.2">
      <c r="A125" s="2036"/>
      <c r="B125" s="2069" t="s">
        <v>2237</v>
      </c>
      <c r="C125" s="2069" t="s">
        <v>2237</v>
      </c>
      <c r="D125" s="2012"/>
      <c r="E125" s="2011"/>
      <c r="F125" s="2028"/>
      <c r="G125" s="2028"/>
      <c r="H125" s="2028"/>
      <c r="I125" s="2028"/>
      <c r="J125" s="2028"/>
      <c r="K125" s="2028"/>
      <c r="L125" s="2035"/>
      <c r="M125" s="2064">
        <f t="shared" si="14"/>
        <v>0</v>
      </c>
      <c r="N125" s="2028"/>
    </row>
    <row r="126" spans="1:14" hidden="1" x14ac:dyDescent="0.2">
      <c r="A126" s="2036"/>
      <c r="B126" s="2069" t="s">
        <v>2236</v>
      </c>
      <c r="C126" s="2069" t="s">
        <v>2236</v>
      </c>
      <c r="D126" s="2012"/>
      <c r="E126" s="2011"/>
      <c r="F126" s="2028"/>
      <c r="G126" s="2028"/>
      <c r="H126" s="2028"/>
      <c r="I126" s="2028"/>
      <c r="J126" s="2028"/>
      <c r="K126" s="2035"/>
      <c r="L126" s="2035"/>
      <c r="M126" s="2064">
        <f t="shared" si="14"/>
        <v>0</v>
      </c>
      <c r="N126" s="2028"/>
    </row>
    <row r="127" spans="1:14" ht="15" hidden="1" x14ac:dyDescent="0.2">
      <c r="A127" s="2039"/>
      <c r="B127" s="2068" t="s">
        <v>2235</v>
      </c>
      <c r="C127" s="2068" t="s">
        <v>2235</v>
      </c>
      <c r="D127" s="2051"/>
      <c r="E127" s="2045"/>
      <c r="F127" s="2048"/>
      <c r="G127" s="2048"/>
      <c r="H127" s="2048"/>
      <c r="I127" s="2048" t="s">
        <v>1169</v>
      </c>
      <c r="J127" s="2048"/>
      <c r="K127" s="2048" t="s">
        <v>1169</v>
      </c>
      <c r="L127" s="2047"/>
      <c r="M127" s="2048">
        <f t="shared" si="14"/>
        <v>0</v>
      </c>
      <c r="N127" s="2048"/>
    </row>
    <row r="128" spans="1:14" ht="15" hidden="1" x14ac:dyDescent="0.2">
      <c r="A128" s="2036" t="s">
        <v>2193</v>
      </c>
      <c r="B128" s="2009" t="s">
        <v>2234</v>
      </c>
      <c r="C128" s="2009" t="s">
        <v>2234</v>
      </c>
      <c r="D128" s="2012"/>
      <c r="E128" s="2011"/>
      <c r="F128" s="2048">
        <f>SUM(F114:F127)</f>
        <v>0</v>
      </c>
      <c r="G128" s="2048">
        <f>SUM(G114:G127)</f>
        <v>0</v>
      </c>
      <c r="H128" s="2048">
        <f>SUM(H114:H127)</f>
        <v>0</v>
      </c>
      <c r="I128" s="2048">
        <f>SUM(I114:I127)</f>
        <v>0</v>
      </c>
      <c r="J128" s="2048"/>
      <c r="K128" s="2048">
        <f>SUM(K114:K127)</f>
        <v>0</v>
      </c>
      <c r="L128" s="2035"/>
      <c r="M128" s="2048">
        <f>SUM(M114:M127)</f>
        <v>0</v>
      </c>
      <c r="N128" s="2048">
        <f>SUM(N114:N127)</f>
        <v>0</v>
      </c>
    </row>
    <row r="129" spans="1:14" ht="15" hidden="1" x14ac:dyDescent="0.2">
      <c r="A129" s="2039"/>
      <c r="B129" s="2009"/>
      <c r="C129" s="2009"/>
      <c r="D129" s="2012"/>
      <c r="E129" s="2011"/>
      <c r="F129" s="2048"/>
      <c r="G129" s="2048"/>
      <c r="H129" s="2048"/>
      <c r="I129" s="2048"/>
      <c r="J129" s="2048"/>
      <c r="K129" s="2048"/>
      <c r="L129" s="2035"/>
      <c r="M129" s="2048"/>
      <c r="N129" s="2048"/>
    </row>
    <row r="130" spans="1:14" ht="15" hidden="1" x14ac:dyDescent="0.2">
      <c r="A130" s="2036" t="s">
        <v>2193</v>
      </c>
      <c r="B130" s="2004" t="s">
        <v>2233</v>
      </c>
      <c r="C130" s="2004" t="s">
        <v>2233</v>
      </c>
      <c r="D130" s="2051" t="s">
        <v>2232</v>
      </c>
      <c r="E130" s="2045" t="str">
        <f>+E112</f>
        <v>11-4857-00</v>
      </c>
      <c r="F130" s="2048">
        <f>+F112+F128</f>
        <v>0</v>
      </c>
      <c r="G130" s="2048">
        <f>+G112+G128</f>
        <v>0</v>
      </c>
      <c r="H130" s="2048">
        <f>+H112+H128</f>
        <v>0</v>
      </c>
      <c r="I130" s="2048">
        <f>+I112+I128</f>
        <v>0</v>
      </c>
      <c r="J130" s="2048"/>
      <c r="K130" s="2048">
        <f>+K112+K128</f>
        <v>0</v>
      </c>
      <c r="L130" s="2035"/>
      <c r="M130" s="2048">
        <f>+M112+M128</f>
        <v>0</v>
      </c>
      <c r="N130" s="2048">
        <f>+N112+N128</f>
        <v>0</v>
      </c>
    </row>
    <row r="131" spans="1:14" ht="22.9" customHeight="1" x14ac:dyDescent="0.2">
      <c r="A131" s="2036"/>
      <c r="B131" s="2004"/>
      <c r="C131" s="2004"/>
      <c r="D131" s="2051" t="s">
        <v>2231</v>
      </c>
      <c r="E131" s="2039" t="s">
        <v>2230</v>
      </c>
      <c r="F131" s="2048">
        <f t="shared" ref="F131:K131" si="15">F107+F87+F68</f>
        <v>6557164</v>
      </c>
      <c r="G131" s="2048">
        <f t="shared" si="15"/>
        <v>6396615</v>
      </c>
      <c r="H131" s="2048">
        <f t="shared" si="15"/>
        <v>6557164</v>
      </c>
      <c r="I131" s="2048">
        <f t="shared" si="15"/>
        <v>6396615</v>
      </c>
      <c r="J131" s="2048">
        <f t="shared" si="15"/>
        <v>5187642</v>
      </c>
      <c r="K131" s="2048">
        <f t="shared" si="15"/>
        <v>0</v>
      </c>
      <c r="L131" s="2048"/>
      <c r="M131" s="2048">
        <f>M107+M87+M68</f>
        <v>12953779</v>
      </c>
      <c r="N131" s="2048">
        <f>N107+N87+N68</f>
        <v>13654157</v>
      </c>
    </row>
    <row r="132" spans="1:14" ht="15" x14ac:dyDescent="0.2">
      <c r="A132" s="2036"/>
      <c r="B132" s="2004"/>
      <c r="C132" s="2004"/>
      <c r="D132" s="2051"/>
      <c r="E132" s="2045"/>
      <c r="F132" s="2048"/>
      <c r="G132" s="2048"/>
      <c r="H132" s="2048"/>
      <c r="I132" s="2048"/>
      <c r="J132" s="2048"/>
      <c r="K132" s="2048"/>
      <c r="L132" s="2035"/>
      <c r="M132" s="2048"/>
      <c r="N132" s="2048"/>
    </row>
    <row r="133" spans="1:14" ht="15" x14ac:dyDescent="0.2">
      <c r="A133" s="2067" t="s">
        <v>2229</v>
      </c>
      <c r="B133" s="2004"/>
      <c r="C133" s="2004"/>
      <c r="D133" s="2051"/>
      <c r="E133" s="2045"/>
      <c r="F133" s="2048"/>
      <c r="G133" s="2048"/>
      <c r="H133" s="2048"/>
      <c r="I133" s="2048"/>
      <c r="J133" s="2048"/>
      <c r="K133" s="2048"/>
      <c r="L133" s="2035"/>
      <c r="M133" s="2048"/>
      <c r="N133" s="2048"/>
    </row>
    <row r="134" spans="1:14" ht="15" x14ac:dyDescent="0.2">
      <c r="B134" s="2004"/>
      <c r="C134" s="2066" t="s">
        <v>2228</v>
      </c>
      <c r="D134" s="2051"/>
      <c r="E134" s="2045"/>
      <c r="F134" s="2048"/>
      <c r="G134" s="2048"/>
      <c r="H134" s="2048"/>
      <c r="I134" s="2048"/>
      <c r="J134" s="2048"/>
      <c r="K134" s="2048"/>
      <c r="L134" s="2035"/>
      <c r="M134" s="2048"/>
      <c r="N134" s="2048"/>
    </row>
    <row r="135" spans="1:14" ht="10.5" customHeight="1" x14ac:dyDescent="0.2">
      <c r="A135" s="2036"/>
      <c r="B135" s="2004"/>
      <c r="C135" s="2004"/>
      <c r="D135" s="2051"/>
      <c r="E135" s="2045"/>
      <c r="F135" s="2048"/>
      <c r="G135" s="2048"/>
      <c r="H135" s="2048"/>
      <c r="I135" s="2048"/>
      <c r="J135" s="2048"/>
      <c r="K135" s="2048"/>
      <c r="L135" s="2035"/>
      <c r="M135" s="2048"/>
      <c r="N135" s="2048"/>
    </row>
    <row r="136" spans="1:14" ht="14.45" customHeight="1" x14ac:dyDescent="0.2">
      <c r="A136" s="2036"/>
      <c r="B136" s="2004" t="s">
        <v>2226</v>
      </c>
      <c r="C136" s="2004"/>
      <c r="D136" s="2051" t="s">
        <v>2225</v>
      </c>
      <c r="E136" s="2045" t="s">
        <v>2227</v>
      </c>
      <c r="F136" s="2024">
        <v>3500</v>
      </c>
      <c r="G136" s="2024"/>
      <c r="H136" s="2024">
        <v>3500</v>
      </c>
      <c r="I136" s="2024"/>
      <c r="J136" s="2024"/>
      <c r="K136" s="2024"/>
      <c r="L136" s="2035"/>
      <c r="M136" s="2024">
        <f>K136+I136+H136</f>
        <v>3500</v>
      </c>
      <c r="N136" s="2043" t="s">
        <v>2200</v>
      </c>
    </row>
    <row r="137" spans="1:14" ht="15" x14ac:dyDescent="0.2">
      <c r="A137" s="2036"/>
      <c r="B137" s="2004" t="s">
        <v>2226</v>
      </c>
      <c r="C137" s="2004"/>
      <c r="D137" s="2051" t="s">
        <v>2225</v>
      </c>
      <c r="E137" s="2045" t="s">
        <v>2224</v>
      </c>
      <c r="F137" s="2048">
        <v>0</v>
      </c>
      <c r="G137" s="2048">
        <v>1750</v>
      </c>
      <c r="H137" s="2048">
        <v>0</v>
      </c>
      <c r="I137" s="2048">
        <v>1750</v>
      </c>
      <c r="J137" s="2048" t="s">
        <v>2223</v>
      </c>
      <c r="K137" s="2048" t="s">
        <v>2223</v>
      </c>
      <c r="L137" s="2035"/>
      <c r="M137" s="2048">
        <f>K137+I137+H137</f>
        <v>1750</v>
      </c>
      <c r="N137" s="2065" t="s">
        <v>2200</v>
      </c>
    </row>
    <row r="138" spans="1:14" ht="15" hidden="1" x14ac:dyDescent="0.2">
      <c r="A138" s="2036"/>
      <c r="B138" s="2004"/>
      <c r="C138" s="2004"/>
      <c r="D138" s="2051"/>
      <c r="E138" s="2045"/>
      <c r="F138" s="2048"/>
      <c r="G138" s="2048"/>
      <c r="H138" s="2048"/>
      <c r="I138" s="2048"/>
      <c r="J138" s="2048"/>
      <c r="K138" s="2048"/>
      <c r="L138" s="2035"/>
      <c r="M138" s="2048"/>
      <c r="N138" s="2048"/>
    </row>
    <row r="139" spans="1:14" hidden="1" x14ac:dyDescent="0.2">
      <c r="A139" s="2036"/>
      <c r="B139" s="2004"/>
      <c r="C139" s="2004"/>
      <c r="D139" s="2012"/>
      <c r="E139" s="2011"/>
      <c r="F139" s="2028"/>
      <c r="G139" s="2028"/>
      <c r="H139" s="2028"/>
      <c r="I139" s="2028"/>
      <c r="J139" s="2028"/>
      <c r="K139" s="2028"/>
      <c r="L139" s="2035"/>
      <c r="M139" s="2064"/>
      <c r="N139" s="2063"/>
    </row>
    <row r="140" spans="1:14" ht="15" hidden="1" x14ac:dyDescent="0.2">
      <c r="A140" s="2019" t="s">
        <v>2222</v>
      </c>
      <c r="B140" s="2041"/>
      <c r="C140" s="2041"/>
      <c r="D140" s="2027"/>
      <c r="E140" s="2026"/>
      <c r="F140" s="2058"/>
      <c r="G140" s="2056"/>
      <c r="H140" s="2056"/>
      <c r="I140" s="2056"/>
      <c r="J140" s="2056"/>
      <c r="K140" s="2056"/>
      <c r="L140" s="2047"/>
      <c r="M140" s="2056"/>
      <c r="N140" s="2024"/>
    </row>
    <row r="141" spans="1:14" ht="15" hidden="1" x14ac:dyDescent="0.2">
      <c r="A141" s="2062" t="s">
        <v>2221</v>
      </c>
      <c r="B141" s="2019"/>
      <c r="C141" s="2019"/>
      <c r="D141" s="2027"/>
      <c r="E141" s="2026"/>
      <c r="F141" s="2058"/>
      <c r="G141" s="2056"/>
      <c r="H141" s="2056"/>
      <c r="I141" s="2056"/>
      <c r="J141" s="2056"/>
      <c r="K141" s="2056"/>
      <c r="L141" s="2047"/>
      <c r="M141" s="2056"/>
      <c r="N141" s="2024"/>
    </row>
    <row r="142" spans="1:14" ht="8.25" hidden="1" customHeight="1" x14ac:dyDescent="0.2">
      <c r="A142" s="2062"/>
      <c r="B142" s="2019"/>
      <c r="C142" s="2019"/>
      <c r="D142" s="2027"/>
      <c r="E142" s="2026"/>
      <c r="F142" s="2058"/>
      <c r="G142" s="2061"/>
      <c r="H142" s="2056"/>
      <c r="I142" s="2061"/>
      <c r="J142" s="2056"/>
      <c r="K142" s="2056"/>
      <c r="L142" s="2047"/>
      <c r="M142" s="2056"/>
      <c r="N142" s="2024"/>
    </row>
    <row r="143" spans="1:14" hidden="1" x14ac:dyDescent="0.2">
      <c r="A143" s="2019"/>
      <c r="B143" s="2041" t="s">
        <v>2220</v>
      </c>
      <c r="C143" s="2041"/>
      <c r="D143" s="2037">
        <v>84.126000000000005</v>
      </c>
      <c r="E143" s="2060" t="s">
        <v>2219</v>
      </c>
      <c r="F143" s="2046"/>
      <c r="G143" s="2061"/>
      <c r="H143" s="2046"/>
      <c r="I143" s="2061"/>
      <c r="J143" s="2056"/>
      <c r="K143" s="2056"/>
      <c r="L143" s="2047"/>
      <c r="M143" s="2046">
        <f>K143+H143+I143</f>
        <v>0</v>
      </c>
      <c r="N143" s="2028"/>
    </row>
    <row r="144" spans="1:14" hidden="1" x14ac:dyDescent="0.2">
      <c r="A144" s="2019"/>
      <c r="B144" s="2004" t="s">
        <v>2214</v>
      </c>
      <c r="C144" s="2004"/>
      <c r="D144" s="2037">
        <v>84.126000000000005</v>
      </c>
      <c r="E144" s="2060" t="s">
        <v>2218</v>
      </c>
      <c r="F144" s="2046"/>
      <c r="G144" s="2061"/>
      <c r="H144" s="2046"/>
      <c r="I144" s="2061"/>
      <c r="J144" s="2056"/>
      <c r="K144" s="2056"/>
      <c r="L144" s="2047"/>
      <c r="M144" s="2046">
        <f>K144+H144+I144</f>
        <v>0</v>
      </c>
      <c r="N144" s="2028"/>
    </row>
    <row r="145" spans="1:14" ht="15" hidden="1" x14ac:dyDescent="0.2">
      <c r="A145" s="2019"/>
      <c r="B145" s="2004" t="s">
        <v>2212</v>
      </c>
      <c r="C145" s="2004"/>
      <c r="D145" s="2040">
        <v>84.126000000000005</v>
      </c>
      <c r="E145" s="2060" t="s">
        <v>2217</v>
      </c>
      <c r="F145" s="2048" t="s">
        <v>1169</v>
      </c>
      <c r="G145" s="2059" t="s">
        <v>1169</v>
      </c>
      <c r="H145" s="2048" t="s">
        <v>1169</v>
      </c>
      <c r="I145" s="2059" t="s">
        <v>1169</v>
      </c>
      <c r="J145" s="2048" t="s">
        <v>1169</v>
      </c>
      <c r="K145" s="2048" t="s">
        <v>1169</v>
      </c>
      <c r="L145" s="2047"/>
      <c r="M145" s="2048">
        <f>K145+H145+I145</f>
        <v>0</v>
      </c>
      <c r="N145" s="2048"/>
    </row>
    <row r="146" spans="1:14" ht="15" hidden="1" x14ac:dyDescent="0.2">
      <c r="A146" s="2019"/>
      <c r="B146" s="2004"/>
      <c r="C146" s="2004"/>
      <c r="D146" s="2040"/>
      <c r="E146" s="2045"/>
      <c r="F146" s="2058"/>
      <c r="G146" s="2056"/>
      <c r="H146" s="2057"/>
      <c r="I146" s="2056"/>
      <c r="J146" s="2056"/>
      <c r="K146" s="2056"/>
      <c r="L146" s="2047"/>
      <c r="M146" s="2056"/>
      <c r="N146" s="2024"/>
    </row>
    <row r="147" spans="1:14" hidden="1" x14ac:dyDescent="0.2">
      <c r="A147" s="2011"/>
      <c r="B147" s="2041" t="s">
        <v>2216</v>
      </c>
      <c r="C147" s="2041"/>
      <c r="D147" s="2037">
        <v>84.126000000000005</v>
      </c>
      <c r="E147" s="2045" t="s">
        <v>2215</v>
      </c>
      <c r="F147" s="2054"/>
      <c r="G147" s="2046"/>
      <c r="H147" s="2054"/>
      <c r="I147" s="2046"/>
      <c r="J147" s="2046"/>
      <c r="K147" s="2046"/>
      <c r="L147" s="2055"/>
      <c r="M147" s="2046">
        <f>K147+H147+I147</f>
        <v>0</v>
      </c>
      <c r="N147" s="2028"/>
    </row>
    <row r="148" spans="1:14" hidden="1" x14ac:dyDescent="0.2">
      <c r="A148" s="2011"/>
      <c r="B148" s="2004" t="s">
        <v>2214</v>
      </c>
      <c r="C148" s="2004"/>
      <c r="D148" s="2037">
        <v>84.126000000000005</v>
      </c>
      <c r="E148" s="2045" t="s">
        <v>2213</v>
      </c>
      <c r="F148" s="2054"/>
      <c r="G148" s="2046"/>
      <c r="H148" s="2054"/>
      <c r="I148" s="2046"/>
      <c r="J148" s="2046"/>
      <c r="K148" s="2046"/>
      <c r="L148" s="2035"/>
      <c r="M148" s="2046">
        <f>K148+H148+I148</f>
        <v>0</v>
      </c>
      <c r="N148" s="2028"/>
    </row>
    <row r="149" spans="1:14" ht="15" hidden="1" x14ac:dyDescent="0.2">
      <c r="A149" s="2045"/>
      <c r="B149" s="2004" t="s">
        <v>2212</v>
      </c>
      <c r="C149" s="2004"/>
      <c r="D149" s="2040">
        <v>84.126000000000005</v>
      </c>
      <c r="E149" s="2045" t="s">
        <v>2211</v>
      </c>
      <c r="F149" s="2048" t="s">
        <v>1169</v>
      </c>
      <c r="G149" s="2048"/>
      <c r="H149" s="2048"/>
      <c r="I149" s="2048"/>
      <c r="J149" s="2048"/>
      <c r="K149" s="2048"/>
      <c r="L149" s="2047"/>
      <c r="M149" s="2048">
        <f>K149+H149+I149</f>
        <v>0</v>
      </c>
      <c r="N149" s="2053"/>
    </row>
    <row r="150" spans="1:14" ht="5.25" hidden="1" customHeight="1" x14ac:dyDescent="0.2">
      <c r="A150" s="2045"/>
      <c r="B150" s="2004"/>
      <c r="C150" s="2004"/>
      <c r="D150" s="2040"/>
      <c r="E150" s="2045"/>
      <c r="F150" s="2048"/>
      <c r="G150" s="2048"/>
      <c r="H150" s="2048"/>
      <c r="I150" s="2048"/>
      <c r="J150" s="2048"/>
      <c r="K150" s="2048"/>
      <c r="L150" s="2047"/>
      <c r="M150" s="2048"/>
      <c r="N150" s="2053"/>
    </row>
    <row r="151" spans="1:14" ht="15" hidden="1" x14ac:dyDescent="0.2">
      <c r="A151" s="2041" t="s">
        <v>2210</v>
      </c>
      <c r="B151" s="2004"/>
      <c r="C151" s="2004"/>
      <c r="D151" s="2040"/>
      <c r="E151" s="2026"/>
      <c r="F151" s="2048">
        <f t="shared" ref="F151:K151" si="16">SUM(F143:F149)</f>
        <v>0</v>
      </c>
      <c r="G151" s="2048">
        <f t="shared" si="16"/>
        <v>0</v>
      </c>
      <c r="H151" s="2048">
        <f t="shared" si="16"/>
        <v>0</v>
      </c>
      <c r="I151" s="2048">
        <f t="shared" si="16"/>
        <v>0</v>
      </c>
      <c r="J151" s="2048">
        <f t="shared" si="16"/>
        <v>0</v>
      </c>
      <c r="K151" s="2048">
        <f t="shared" si="16"/>
        <v>0</v>
      </c>
      <c r="L151" s="2047"/>
      <c r="M151" s="2048">
        <f>SUM(M143:M149)</f>
        <v>0</v>
      </c>
      <c r="N151" s="2048">
        <f>SUM(N143:N149)</f>
        <v>0</v>
      </c>
    </row>
    <row r="152" spans="1:14" s="2052" customFormat="1" ht="15" x14ac:dyDescent="0.2">
      <c r="A152" s="2045"/>
      <c r="B152" s="2004"/>
      <c r="C152" s="2004"/>
      <c r="D152" s="2040"/>
      <c r="E152" s="2026"/>
      <c r="F152" s="2048"/>
      <c r="G152" s="2048"/>
      <c r="H152" s="2048"/>
      <c r="I152" s="2048"/>
      <c r="J152" s="2048"/>
      <c r="K152" s="2048"/>
      <c r="L152" s="2047"/>
      <c r="M152" s="2048"/>
      <c r="N152" s="2038"/>
    </row>
    <row r="153" spans="1:14" s="2052" customFormat="1" ht="15" x14ac:dyDescent="0.2">
      <c r="A153" s="2019" t="s">
        <v>2209</v>
      </c>
      <c r="B153" s="2019"/>
      <c r="C153" s="2004"/>
      <c r="D153" s="2040"/>
      <c r="E153" s="2026"/>
      <c r="F153" s="2048"/>
      <c r="G153" s="2048"/>
      <c r="H153" s="2048"/>
      <c r="I153" s="2048"/>
      <c r="J153" s="2048"/>
      <c r="K153" s="2048"/>
      <c r="L153" s="2047"/>
      <c r="M153" s="2048"/>
      <c r="N153" s="2038"/>
    </row>
    <row r="154" spans="1:14" ht="15" x14ac:dyDescent="0.2">
      <c r="A154" s="2042" t="s">
        <v>2208</v>
      </c>
      <c r="B154" s="2019"/>
      <c r="C154" s="2019"/>
      <c r="D154" s="2051" t="s">
        <v>2207</v>
      </c>
      <c r="E154" s="2026" t="s">
        <v>1169</v>
      </c>
      <c r="F154" s="2048">
        <f t="shared" ref="F154:K154" si="17">+F68+F87+F107+F110+F130+F151+F109+F137+F136</f>
        <v>6560664</v>
      </c>
      <c r="G154" s="2048">
        <f t="shared" si="17"/>
        <v>6398365</v>
      </c>
      <c r="H154" s="2048">
        <f t="shared" si="17"/>
        <v>6560664</v>
      </c>
      <c r="I154" s="2048">
        <f t="shared" si="17"/>
        <v>6398365</v>
      </c>
      <c r="J154" s="2048">
        <f t="shared" si="17"/>
        <v>5187642</v>
      </c>
      <c r="K154" s="2048">
        <f t="shared" si="17"/>
        <v>0</v>
      </c>
      <c r="L154" s="2048"/>
      <c r="M154" s="2048">
        <f>+M68+M87+M107+M110+M130+M151+M109+M137+M136</f>
        <v>12959029</v>
      </c>
      <c r="N154" s="2048">
        <f>+N68+N87+N107+N110+N130+N151+N109+N137+N136</f>
        <v>13654157</v>
      </c>
    </row>
    <row r="155" spans="1:14" ht="15" x14ac:dyDescent="0.2">
      <c r="A155" s="2019"/>
      <c r="B155" s="2019"/>
      <c r="C155" s="2019"/>
      <c r="D155" s="2027"/>
      <c r="E155" s="2026"/>
      <c r="F155" s="2048"/>
      <c r="G155" s="2048"/>
      <c r="H155" s="2048"/>
      <c r="I155" s="2048"/>
      <c r="J155" s="2048"/>
      <c r="K155" s="2048"/>
      <c r="L155" s="2048"/>
      <c r="M155" s="2048"/>
      <c r="N155" s="2024"/>
    </row>
    <row r="156" spans="1:14" ht="15" hidden="1" x14ac:dyDescent="0.2">
      <c r="A156" s="2045"/>
      <c r="B156" s="2019"/>
      <c r="C156" s="2019"/>
      <c r="D156" s="2637"/>
      <c r="E156" s="2637"/>
      <c r="F156" s="2048"/>
      <c r="G156" s="2048"/>
      <c r="H156" s="2048"/>
      <c r="I156" s="2048"/>
      <c r="J156" s="2048"/>
      <c r="K156" s="2048"/>
      <c r="L156" s="2047"/>
      <c r="M156" s="2048"/>
      <c r="N156" s="2024"/>
    </row>
    <row r="157" spans="1:14" ht="15" x14ac:dyDescent="0.2">
      <c r="A157" s="2019" t="s">
        <v>2206</v>
      </c>
      <c r="B157" s="2019"/>
      <c r="C157" s="2019"/>
      <c r="D157" s="2027"/>
      <c r="E157" s="2026" t="s">
        <v>1169</v>
      </c>
      <c r="F157" s="2048"/>
      <c r="G157" s="2048"/>
      <c r="H157" s="2048"/>
      <c r="I157" s="2048"/>
      <c r="J157" s="2048"/>
      <c r="K157" s="2048"/>
      <c r="L157" s="2047"/>
      <c r="M157" s="2025" t="s">
        <v>1169</v>
      </c>
      <c r="N157" s="2024"/>
    </row>
    <row r="158" spans="1:14" ht="15" x14ac:dyDescent="0.2">
      <c r="A158" s="2019" t="s">
        <v>2205</v>
      </c>
      <c r="B158" s="2019"/>
      <c r="C158" s="2019"/>
      <c r="D158" s="2027"/>
      <c r="E158" s="2026"/>
      <c r="F158" s="2048"/>
      <c r="G158" s="2050"/>
      <c r="H158" s="2048"/>
      <c r="I158" s="2048"/>
      <c r="J158" s="2048"/>
      <c r="K158" s="2048"/>
      <c r="L158" s="2047"/>
      <c r="M158" s="2024" t="s">
        <v>1169</v>
      </c>
      <c r="N158" s="2024"/>
    </row>
    <row r="159" spans="1:14" ht="9.75" customHeight="1" x14ac:dyDescent="0.2">
      <c r="A159" s="2019"/>
      <c r="B159" s="2019"/>
      <c r="C159" s="2019"/>
      <c r="D159" s="2027"/>
      <c r="E159" s="2026"/>
      <c r="F159" s="2048"/>
      <c r="G159" s="2050"/>
      <c r="H159" s="2048"/>
      <c r="I159" s="2048"/>
      <c r="J159" s="2048"/>
      <c r="K159" s="2048"/>
      <c r="L159" s="2047"/>
      <c r="M159" s="2024"/>
      <c r="N159" s="2024"/>
    </row>
    <row r="160" spans="1:14" ht="15" hidden="1" x14ac:dyDescent="0.2">
      <c r="A160" s="2019"/>
      <c r="B160" s="2041" t="s">
        <v>2202</v>
      </c>
      <c r="C160" s="2041"/>
      <c r="D160" s="2040">
        <v>93.778000000000006</v>
      </c>
      <c r="E160" s="2045" t="s">
        <v>2204</v>
      </c>
      <c r="F160" s="2024"/>
      <c r="G160" s="2049"/>
      <c r="H160" s="2024"/>
      <c r="I160" s="2048"/>
      <c r="J160" s="2048"/>
      <c r="K160" s="2048"/>
      <c r="L160" s="2047"/>
      <c r="M160" s="2046"/>
      <c r="N160" s="2043" t="s">
        <v>2200</v>
      </c>
    </row>
    <row r="161" spans="1:14" ht="15" x14ac:dyDescent="0.2">
      <c r="A161" s="2019"/>
      <c r="B161" s="2041" t="s">
        <v>2202</v>
      </c>
      <c r="C161" s="2041"/>
      <c r="D161" s="2040">
        <v>93.778000000000006</v>
      </c>
      <c r="E161" s="2045" t="s">
        <v>2203</v>
      </c>
      <c r="F161" s="2024">
        <v>89352</v>
      </c>
      <c r="G161" s="2024">
        <v>26877</v>
      </c>
      <c r="H161" s="2024">
        <v>116229</v>
      </c>
      <c r="I161" s="2024"/>
      <c r="J161" s="2024"/>
      <c r="K161" s="2048"/>
      <c r="L161" s="2047"/>
      <c r="M161" s="2046">
        <f>K161+H161+I161</f>
        <v>116229</v>
      </c>
      <c r="N161" s="2043" t="s">
        <v>2200</v>
      </c>
    </row>
    <row r="162" spans="1:14" ht="15" x14ac:dyDescent="0.2">
      <c r="A162" s="2045"/>
      <c r="B162" s="2041" t="s">
        <v>2202</v>
      </c>
      <c r="C162" s="2041"/>
      <c r="D162" s="2040">
        <v>93.778000000000006</v>
      </c>
      <c r="E162" s="2045" t="s">
        <v>2201</v>
      </c>
      <c r="F162" s="2023">
        <v>0</v>
      </c>
      <c r="G162" s="2023">
        <v>63543</v>
      </c>
      <c r="H162" s="2023">
        <v>0</v>
      </c>
      <c r="I162" s="2023">
        <v>102082</v>
      </c>
      <c r="J162" s="2023" t="s">
        <v>1169</v>
      </c>
      <c r="K162" s="2023" t="s">
        <v>1169</v>
      </c>
      <c r="L162" s="2044"/>
      <c r="M162" s="2023">
        <f>K162+H162+I162</f>
        <v>102082</v>
      </c>
      <c r="N162" s="2043" t="s">
        <v>2200</v>
      </c>
    </row>
    <row r="163" spans="1:14" ht="15" x14ac:dyDescent="0.2">
      <c r="A163" s="2045"/>
      <c r="B163" s="2041"/>
      <c r="C163" s="2041"/>
      <c r="D163" s="2040"/>
      <c r="E163" s="2045"/>
      <c r="F163" s="2023"/>
      <c r="G163" s="2023"/>
      <c r="H163" s="2023"/>
      <c r="I163" s="2023"/>
      <c r="J163" s="2023"/>
      <c r="K163" s="2023"/>
      <c r="L163" s="2044"/>
      <c r="M163" s="2023"/>
      <c r="N163" s="2043"/>
    </row>
    <row r="164" spans="1:14" x14ac:dyDescent="0.2">
      <c r="A164" s="2019" t="s">
        <v>2199</v>
      </c>
      <c r="B164" s="2004"/>
      <c r="C164" s="2004"/>
      <c r="D164" s="2037"/>
      <c r="E164" s="2036"/>
      <c r="F164" s="2034" t="s">
        <v>1169</v>
      </c>
      <c r="G164" s="2034" t="s">
        <v>1169</v>
      </c>
      <c r="H164" s="2034" t="s">
        <v>1169</v>
      </c>
      <c r="I164" s="2034" t="s">
        <v>1169</v>
      </c>
      <c r="J164" s="2034" t="s">
        <v>1169</v>
      </c>
      <c r="K164" s="2034" t="s">
        <v>1169</v>
      </c>
      <c r="L164" s="2035"/>
      <c r="M164" s="2034" t="s">
        <v>1169</v>
      </c>
      <c r="N164" s="2033"/>
    </row>
    <row r="165" spans="1:14" ht="15" x14ac:dyDescent="0.2">
      <c r="A165" s="2042" t="s">
        <v>2198</v>
      </c>
      <c r="B165" s="2041"/>
      <c r="C165" s="2041"/>
      <c r="D165" s="2040" t="s">
        <v>2197</v>
      </c>
      <c r="E165" s="2039"/>
      <c r="F165" s="2023">
        <f>SUM(F160:F164)</f>
        <v>89352</v>
      </c>
      <c r="G165" s="2023">
        <f>SUM(G160:G164)</f>
        <v>90420</v>
      </c>
      <c r="H165" s="2023">
        <f>SUM(H160:H164)</f>
        <v>116229</v>
      </c>
      <c r="I165" s="2023">
        <f>SUM(I160:I164)</f>
        <v>102082</v>
      </c>
      <c r="J165" s="2023">
        <f>SUM(J160:J164)</f>
        <v>0</v>
      </c>
      <c r="K165" s="2023">
        <f>SUM(K161:K164)</f>
        <v>0</v>
      </c>
      <c r="L165" s="2023"/>
      <c r="M165" s="2023">
        <f>SUM(M160:M164)</f>
        <v>218311</v>
      </c>
      <c r="N165" s="2038"/>
    </row>
    <row r="166" spans="1:14" x14ac:dyDescent="0.2">
      <c r="A166" s="2011"/>
      <c r="B166" s="2004"/>
      <c r="C166" s="2004"/>
      <c r="D166" s="2037"/>
      <c r="E166" s="2036"/>
      <c r="F166" s="2034"/>
      <c r="G166" s="2034"/>
      <c r="H166" s="2034"/>
      <c r="I166" s="2034"/>
      <c r="J166" s="2034"/>
      <c r="K166" s="2034"/>
      <c r="L166" s="2035"/>
      <c r="M166" s="2034"/>
      <c r="N166" s="2033"/>
    </row>
    <row r="167" spans="1:14" ht="15" x14ac:dyDescent="0.2">
      <c r="A167" s="2019" t="s">
        <v>2194</v>
      </c>
      <c r="B167" s="2026"/>
      <c r="C167" s="2026"/>
      <c r="D167" s="2027"/>
      <c r="E167" s="2026"/>
      <c r="F167" s="2021">
        <f t="shared" ref="F167:K167" si="18">+F165+F154+F34</f>
        <v>6758888</v>
      </c>
      <c r="G167" s="2021">
        <f t="shared" si="18"/>
        <v>6683369</v>
      </c>
      <c r="H167" s="2021">
        <f t="shared" si="18"/>
        <v>6790483</v>
      </c>
      <c r="I167" s="2021">
        <f t="shared" si="18"/>
        <v>6703196</v>
      </c>
      <c r="J167" s="2021">
        <f t="shared" si="18"/>
        <v>5187642</v>
      </c>
      <c r="K167" s="2021">
        <f t="shared" si="18"/>
        <v>0</v>
      </c>
      <c r="L167" s="2021"/>
      <c r="M167" s="2021">
        <f>+M165+M154+M34</f>
        <v>13493679</v>
      </c>
      <c r="N167" s="2024"/>
    </row>
    <row r="168" spans="1:14" ht="15" x14ac:dyDescent="0.35">
      <c r="A168" s="2032"/>
      <c r="B168" s="2009"/>
      <c r="C168" s="2009"/>
      <c r="D168" s="2031"/>
      <c r="E168" s="2009"/>
      <c r="F168" s="2029"/>
      <c r="G168" s="2029"/>
      <c r="H168" s="2029"/>
      <c r="I168" s="2029"/>
      <c r="J168" s="2029"/>
      <c r="K168" s="2029"/>
      <c r="L168" s="2030"/>
      <c r="M168" s="2029"/>
      <c r="N168" s="2028"/>
    </row>
    <row r="169" spans="1:14" s="2018" customFormat="1" ht="13.5" customHeight="1" x14ac:dyDescent="0.15">
      <c r="A169" s="2019" t="s">
        <v>2196</v>
      </c>
      <c r="B169" s="2019"/>
      <c r="C169" s="2019"/>
      <c r="D169" s="2027"/>
      <c r="E169" s="2026"/>
      <c r="F169" s="2025">
        <f>+F34+F68+F87+F107+F109+F130</f>
        <v>6666036</v>
      </c>
      <c r="G169" s="2025">
        <f>+G34+G57+G68+G87+G107+G110+G130</f>
        <v>6591199</v>
      </c>
      <c r="H169" s="2025">
        <f>+H34+H68+H87+H107+H109+H111</f>
        <v>6670754</v>
      </c>
      <c r="I169" s="2025">
        <f>+I34+I68+I87+I107+I110+I130</f>
        <v>6599364</v>
      </c>
      <c r="J169" s="2025">
        <f>+J34+J57+J68+J87+J107+J110+J130</f>
        <v>5187642</v>
      </c>
      <c r="K169" s="2025">
        <f>+K34+K57+K63+K87+K107+K110+K130</f>
        <v>0</v>
      </c>
      <c r="L169" s="2025"/>
      <c r="M169" s="2025">
        <f>+M34+M57+M68+M87+M107+M110+M130</f>
        <v>13471443</v>
      </c>
      <c r="N169" s="2024"/>
    </row>
    <row r="170" spans="1:14" s="2018" customFormat="1" ht="13.5" customHeight="1" x14ac:dyDescent="0.2">
      <c r="A170" s="2019" t="s">
        <v>2195</v>
      </c>
      <c r="B170" s="2009"/>
      <c r="C170" s="2009"/>
      <c r="D170" s="2009"/>
      <c r="E170" s="2009"/>
      <c r="F170" s="2023">
        <f t="shared" ref="F170:K170" si="19">+F151+F165+F137</f>
        <v>89352</v>
      </c>
      <c r="G170" s="2023">
        <f t="shared" si="19"/>
        <v>92170</v>
      </c>
      <c r="H170" s="2023">
        <f t="shared" si="19"/>
        <v>116229</v>
      </c>
      <c r="I170" s="2023">
        <f t="shared" si="19"/>
        <v>103832</v>
      </c>
      <c r="J170" s="2023">
        <f t="shared" si="19"/>
        <v>0</v>
      </c>
      <c r="K170" s="2023">
        <f t="shared" si="19"/>
        <v>0</v>
      </c>
      <c r="L170" s="2023"/>
      <c r="M170" s="2023">
        <f>+M151+M165+M137</f>
        <v>220061</v>
      </c>
      <c r="N170" s="2020"/>
    </row>
    <row r="171" spans="1:14" s="2018" customFormat="1" ht="13.5" customHeight="1" x14ac:dyDescent="0.2">
      <c r="A171" s="2011"/>
      <c r="B171" s="2009"/>
      <c r="C171" s="2009"/>
      <c r="D171" s="2009"/>
      <c r="E171" s="2009"/>
      <c r="F171" s="2020"/>
      <c r="G171" s="2020"/>
      <c r="H171" s="2020"/>
      <c r="I171" s="2020"/>
      <c r="J171" s="2020"/>
      <c r="K171" s="2020"/>
      <c r="L171" s="2022"/>
      <c r="M171" s="2020"/>
      <c r="N171" s="2020"/>
    </row>
    <row r="172" spans="1:14" s="2018" customFormat="1" ht="15" customHeight="1" x14ac:dyDescent="0.2">
      <c r="A172" s="2019" t="s">
        <v>2194</v>
      </c>
      <c r="B172" s="2009"/>
      <c r="C172" s="2009"/>
      <c r="D172" s="2009"/>
      <c r="E172" s="2009"/>
      <c r="F172" s="2021">
        <f t="shared" ref="F172:K172" si="20">F169+F170</f>
        <v>6755388</v>
      </c>
      <c r="G172" s="2021">
        <f t="shared" si="20"/>
        <v>6683369</v>
      </c>
      <c r="H172" s="2021">
        <f t="shared" si="20"/>
        <v>6786983</v>
      </c>
      <c r="I172" s="2021">
        <f t="shared" si="20"/>
        <v>6703196</v>
      </c>
      <c r="J172" s="2021">
        <f t="shared" si="20"/>
        <v>5187642</v>
      </c>
      <c r="K172" s="2021">
        <f t="shared" si="20"/>
        <v>0</v>
      </c>
      <c r="L172" s="2021"/>
      <c r="M172" s="2021">
        <f>M169+M170</f>
        <v>13691504</v>
      </c>
      <c r="N172" s="2020"/>
    </row>
    <row r="173" spans="1:14" s="2018" customFormat="1" ht="13.5" customHeight="1" x14ac:dyDescent="0.2">
      <c r="A173" s="2019"/>
      <c r="B173" s="2009"/>
      <c r="C173" s="2009"/>
      <c r="D173" s="2009"/>
      <c r="E173" s="2009"/>
      <c r="F173" s="2017"/>
      <c r="G173" s="2017"/>
      <c r="H173" s="2017"/>
      <c r="I173" s="2017"/>
      <c r="J173" s="2017"/>
      <c r="K173" s="2017"/>
      <c r="L173" s="2015"/>
      <c r="M173" s="2017"/>
      <c r="N173" s="2017"/>
    </row>
    <row r="174" spans="1:14" s="2016" customFormat="1" ht="13.5" customHeight="1" x14ac:dyDescent="0.2">
      <c r="A174" s="2013" t="s">
        <v>2193</v>
      </c>
      <c r="B174" s="2009" t="s">
        <v>2192</v>
      </c>
      <c r="C174" s="2009"/>
      <c r="D174" s="2009"/>
      <c r="E174" s="2009"/>
      <c r="F174" s="2017"/>
      <c r="G174" s="2017"/>
      <c r="H174" s="2017"/>
      <c r="I174" s="2017"/>
      <c r="J174" s="2017"/>
      <c r="K174" s="2017"/>
      <c r="L174" s="2015"/>
      <c r="M174" s="2017"/>
      <c r="N174" s="2017"/>
    </row>
    <row r="175" spans="1:14" x14ac:dyDescent="0.2">
      <c r="A175" s="2013" t="s">
        <v>2191</v>
      </c>
      <c r="B175" s="2004" t="s">
        <v>2190</v>
      </c>
      <c r="C175" s="2004"/>
      <c r="D175" s="2009"/>
      <c r="E175" s="2009"/>
      <c r="F175" s="2009"/>
      <c r="G175" s="2009"/>
      <c r="H175" s="2009"/>
      <c r="I175" s="2009"/>
      <c r="J175" s="2009"/>
      <c r="K175" s="2014"/>
      <c r="L175" s="2015"/>
      <c r="M175" s="2014"/>
      <c r="N175" s="2014"/>
    </row>
    <row r="176" spans="1:14" x14ac:dyDescent="0.2">
      <c r="A176" s="2013" t="s">
        <v>2189</v>
      </c>
      <c r="B176" s="2004" t="s">
        <v>2188</v>
      </c>
      <c r="C176" s="2004"/>
      <c r="D176" s="2012"/>
      <c r="E176" s="2011"/>
      <c r="F176" s="2010"/>
      <c r="G176" s="2008"/>
      <c r="H176" s="2009"/>
      <c r="I176" s="2008"/>
      <c r="J176" s="2008"/>
      <c r="K176" s="2008"/>
      <c r="L176" s="2007"/>
      <c r="M176" s="2006"/>
      <c r="N176" s="2005"/>
    </row>
    <row r="180" spans="3:3" x14ac:dyDescent="0.2">
      <c r="C180" s="2004"/>
    </row>
  </sheetData>
  <mergeCells count="6">
    <mergeCell ref="D156:E156"/>
    <mergeCell ref="C1:N1"/>
    <mergeCell ref="C2:N2"/>
    <mergeCell ref="C3:N3"/>
    <mergeCell ref="C4:N4"/>
    <mergeCell ref="H6:J6"/>
  </mergeCells>
  <printOptions gridLinesSet="0"/>
  <pageMargins left="0.4" right="0.4" top="0.5" bottom="0.5" header="0.5" footer="0.32"/>
  <pageSetup scale="63" fitToHeight="0" orientation="landscape" horizontalDpi="1200" verticalDpi="1200" r:id="rId1"/>
  <headerFooter alignWithMargins="0">
    <oddFooter>&amp;L&amp;"Garamond,Regular"See accompanying notes to schedule of expenditures of federal awards.</oddFooter>
  </headerFooter>
  <rowBreaks count="2" manualBreakCount="2">
    <brk id="68" max="13" man="1"/>
    <brk id="131"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4" t="s">
        <v>1168</v>
      </c>
      <c r="B2" s="2254"/>
      <c r="C2" s="2254"/>
      <c r="D2" s="2254"/>
      <c r="E2" s="2254"/>
      <c r="F2" s="2254"/>
      <c r="G2" s="2254"/>
      <c r="H2" s="2254"/>
      <c r="I2" s="2254"/>
      <c r="J2" s="225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1939</v>
      </c>
    </row>
    <row r="32" spans="1:4" s="181" customFormat="1" x14ac:dyDescent="0.2">
      <c r="A32" s="219"/>
      <c r="B32" s="236"/>
      <c r="C32" s="227"/>
      <c r="D32" s="237" t="s">
        <v>1787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68" t="s">
        <v>1632</v>
      </c>
      <c r="B35" s="2269"/>
      <c r="C35" s="2269"/>
      <c r="D35" s="2269"/>
      <c r="E35" s="2270"/>
      <c r="F35" s="2270"/>
      <c r="G35" s="2270"/>
      <c r="H35" s="2270"/>
      <c r="I35" s="22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68" t="s">
        <v>313</v>
      </c>
      <c r="B47" s="2271"/>
      <c r="C47" s="2271"/>
      <c r="D47" s="2271"/>
      <c r="E47" s="2272"/>
      <c r="F47" s="2272"/>
      <c r="G47" s="2272"/>
      <c r="H47" s="2272"/>
      <c r="I47" s="22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2342</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5" t="s">
        <v>2343</v>
      </c>
      <c r="C57" s="2276"/>
      <c r="D57" s="2276"/>
      <c r="E57" s="2276"/>
      <c r="F57" s="2276"/>
      <c r="G57" s="2276"/>
      <c r="H57" s="2276"/>
      <c r="I57" s="2276"/>
      <c r="J57" s="2277"/>
    </row>
    <row r="58" spans="1:10" s="181" customFormat="1" x14ac:dyDescent="0.2">
      <c r="A58" s="253"/>
      <c r="B58" s="2278"/>
      <c r="C58" s="2279"/>
      <c r="D58" s="2279"/>
      <c r="E58" s="2279"/>
      <c r="F58" s="2279"/>
      <c r="G58" s="2279"/>
      <c r="H58" s="2279"/>
      <c r="I58" s="2279"/>
      <c r="J58" s="2280"/>
    </row>
    <row r="59" spans="1:10" s="181" customFormat="1" x14ac:dyDescent="0.2">
      <c r="A59" s="253"/>
      <c r="B59" s="2278"/>
      <c r="C59" s="2279"/>
      <c r="D59" s="2279"/>
      <c r="E59" s="2279"/>
      <c r="F59" s="2279"/>
      <c r="G59" s="2279"/>
      <c r="H59" s="2279"/>
      <c r="I59" s="2279"/>
      <c r="J59" s="2280"/>
    </row>
    <row r="60" spans="1:10" s="181" customFormat="1" x14ac:dyDescent="0.2">
      <c r="A60" s="253"/>
      <c r="B60" s="2278"/>
      <c r="C60" s="2279"/>
      <c r="D60" s="2279"/>
      <c r="E60" s="2279"/>
      <c r="F60" s="2279"/>
      <c r="G60" s="2279"/>
      <c r="H60" s="2279"/>
      <c r="I60" s="2279"/>
      <c r="J60" s="2280"/>
    </row>
    <row r="61" spans="1:10" s="181" customFormat="1" x14ac:dyDescent="0.2">
      <c r="A61" s="253"/>
      <c r="B61" s="2278"/>
      <c r="C61" s="2279"/>
      <c r="D61" s="2279"/>
      <c r="E61" s="2279"/>
      <c r="F61" s="2279"/>
      <c r="G61" s="2279"/>
      <c r="H61" s="2279"/>
      <c r="I61" s="2279"/>
      <c r="J61" s="2280"/>
    </row>
    <row r="62" spans="1:10" s="181" customFormat="1" x14ac:dyDescent="0.2">
      <c r="A62" s="253"/>
      <c r="B62" s="2278"/>
      <c r="C62" s="2279"/>
      <c r="D62" s="2279"/>
      <c r="E62" s="2279"/>
      <c r="F62" s="2279"/>
      <c r="G62" s="2279"/>
      <c r="H62" s="2279"/>
      <c r="I62" s="2279"/>
      <c r="J62" s="2280"/>
    </row>
    <row r="63" spans="1:10" s="181" customFormat="1" x14ac:dyDescent="0.2">
      <c r="A63" s="253"/>
      <c r="B63" s="2278"/>
      <c r="C63" s="2279"/>
      <c r="D63" s="2279"/>
      <c r="E63" s="2279"/>
      <c r="F63" s="2279"/>
      <c r="G63" s="2279"/>
      <c r="H63" s="2279"/>
      <c r="I63" s="2279"/>
      <c r="J63" s="2280"/>
    </row>
    <row r="64" spans="1:10" s="181" customFormat="1" x14ac:dyDescent="0.2">
      <c r="A64" s="253"/>
      <c r="B64" s="2278"/>
      <c r="C64" s="2279"/>
      <c r="D64" s="2279"/>
      <c r="E64" s="2279"/>
      <c r="F64" s="2279"/>
      <c r="G64" s="2279"/>
      <c r="H64" s="2279"/>
      <c r="I64" s="2279"/>
      <c r="J64" s="2280"/>
    </row>
    <row r="65" spans="1:10" s="181" customFormat="1" x14ac:dyDescent="0.2">
      <c r="A65" s="253"/>
      <c r="B65" s="2278"/>
      <c r="C65" s="2279"/>
      <c r="D65" s="2279"/>
      <c r="E65" s="2279"/>
      <c r="F65" s="2279"/>
      <c r="G65" s="2279"/>
      <c r="H65" s="2279"/>
      <c r="I65" s="2279"/>
      <c r="J65" s="2280"/>
    </row>
    <row r="66" spans="1:10" s="181" customFormat="1" x14ac:dyDescent="0.2">
      <c r="A66" s="253"/>
      <c r="B66" s="2278"/>
      <c r="C66" s="2279"/>
      <c r="D66" s="2279"/>
      <c r="E66" s="2279"/>
      <c r="F66" s="2279"/>
      <c r="G66" s="2279"/>
      <c r="H66" s="2279"/>
      <c r="I66" s="2279"/>
      <c r="J66" s="2280"/>
    </row>
    <row r="67" spans="1:10" s="181" customFormat="1" ht="9" customHeight="1" x14ac:dyDescent="0.2">
      <c r="A67" s="254"/>
      <c r="B67" s="2281"/>
      <c r="C67" s="2282"/>
      <c r="D67" s="2282"/>
      <c r="E67" s="2282"/>
      <c r="F67" s="2282"/>
      <c r="G67" s="2282"/>
      <c r="H67" s="2282"/>
      <c r="I67" s="2282"/>
      <c r="J67" s="22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68" t="s">
        <v>1323</v>
      </c>
      <c r="B70" s="2271"/>
      <c r="C70" s="2271"/>
      <c r="D70" s="2271"/>
      <c r="E70" s="2272"/>
      <c r="F70" s="2272"/>
      <c r="G70" s="2272"/>
      <c r="H70" s="2272"/>
      <c r="I70" s="22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1898</v>
      </c>
      <c r="I77" s="181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3" t="s">
        <v>1320</v>
      </c>
      <c r="B83" s="2273"/>
      <c r="C83" s="2273"/>
      <c r="D83" s="22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1921</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55"/>
      <c r="C102" s="2256"/>
      <c r="D102" s="2256"/>
      <c r="E102" s="2256"/>
      <c r="F102" s="2256"/>
      <c r="G102" s="2256"/>
      <c r="H102" s="2256"/>
      <c r="I102" s="2257"/>
    </row>
    <row r="103" spans="1:9" s="181" customFormat="1" ht="11.25" customHeight="1" x14ac:dyDescent="0.2">
      <c r="A103" s="316"/>
      <c r="B103" s="2258"/>
      <c r="C103" s="2259"/>
      <c r="D103" s="2259"/>
      <c r="E103" s="2259"/>
      <c r="F103" s="2259"/>
      <c r="G103" s="2259"/>
      <c r="H103" s="2259"/>
      <c r="I103" s="2260"/>
    </row>
    <row r="104" spans="1:9" s="181" customFormat="1" ht="11.25" customHeight="1" x14ac:dyDescent="0.2">
      <c r="A104" s="316"/>
      <c r="B104" s="2258"/>
      <c r="C104" s="2259"/>
      <c r="D104" s="2259"/>
      <c r="E104" s="2259"/>
      <c r="F104" s="2259"/>
      <c r="G104" s="2259"/>
      <c r="H104" s="2259"/>
      <c r="I104" s="2260"/>
    </row>
    <row r="105" spans="1:9" s="181" customFormat="1" x14ac:dyDescent="0.2">
      <c r="A105" s="316"/>
      <c r="B105" s="2258"/>
      <c r="C105" s="2259"/>
      <c r="D105" s="2259"/>
      <c r="E105" s="2259"/>
      <c r="F105" s="2259"/>
      <c r="G105" s="2259"/>
      <c r="H105" s="2259"/>
      <c r="I105" s="2260"/>
    </row>
    <row r="106" spans="1:9" s="181" customFormat="1" ht="11.25" customHeight="1" x14ac:dyDescent="0.2">
      <c r="A106" s="316"/>
      <c r="B106" s="2258"/>
      <c r="C106" s="2259"/>
      <c r="D106" s="2259"/>
      <c r="E106" s="2259"/>
      <c r="F106" s="2259"/>
      <c r="G106" s="2259"/>
      <c r="H106" s="2259"/>
      <c r="I106" s="2260"/>
    </row>
    <row r="107" spans="1:9" s="181" customFormat="1" ht="11.25" customHeight="1" x14ac:dyDescent="0.2">
      <c r="A107" s="316"/>
      <c r="B107" s="2258"/>
      <c r="C107" s="2259"/>
      <c r="D107" s="2259"/>
      <c r="E107" s="2259"/>
      <c r="F107" s="2259"/>
      <c r="G107" s="2259"/>
      <c r="H107" s="2259"/>
      <c r="I107" s="2260"/>
    </row>
    <row r="108" spans="1:9" s="181" customFormat="1" ht="11.25" customHeight="1" x14ac:dyDescent="0.2">
      <c r="A108" s="316"/>
      <c r="B108" s="2258"/>
      <c r="C108" s="2259"/>
      <c r="D108" s="2259"/>
      <c r="E108" s="2259"/>
      <c r="F108" s="2259"/>
      <c r="G108" s="2259"/>
      <c r="H108" s="2259"/>
      <c r="I108" s="2260"/>
    </row>
    <row r="109" spans="1:9" s="181" customFormat="1" ht="11.25" customHeight="1" x14ac:dyDescent="0.2">
      <c r="A109" s="316"/>
      <c r="B109" s="2258"/>
      <c r="C109" s="2259"/>
      <c r="D109" s="2259"/>
      <c r="E109" s="2259"/>
      <c r="F109" s="2259"/>
      <c r="G109" s="2259"/>
      <c r="H109" s="2259"/>
      <c r="I109" s="2260"/>
    </row>
    <row r="110" spans="1:9" s="181" customFormat="1" ht="11.25" customHeight="1" x14ac:dyDescent="0.2">
      <c r="A110" s="316"/>
      <c r="B110" s="2258"/>
      <c r="C110" s="2259"/>
      <c r="D110" s="2259"/>
      <c r="E110" s="2259"/>
      <c r="F110" s="2259"/>
      <c r="G110" s="2259"/>
      <c r="H110" s="2259"/>
      <c r="I110" s="2260"/>
    </row>
    <row r="111" spans="1:9" s="181" customFormat="1" ht="11.25" customHeight="1" x14ac:dyDescent="0.2">
      <c r="A111" s="316"/>
      <c r="B111" s="2258"/>
      <c r="C111" s="2259"/>
      <c r="D111" s="2259"/>
      <c r="E111" s="2259"/>
      <c r="F111" s="2259"/>
      <c r="G111" s="2259"/>
      <c r="H111" s="2259"/>
      <c r="I111" s="2260"/>
    </row>
    <row r="112" spans="1:9" s="181" customFormat="1" ht="11.25" customHeight="1" x14ac:dyDescent="0.2">
      <c r="A112" s="316"/>
      <c r="B112" s="2261"/>
      <c r="C112" s="2262"/>
      <c r="D112" s="2262"/>
      <c r="E112" s="2262"/>
      <c r="F112" s="2262"/>
      <c r="G112" s="2262"/>
      <c r="H112" s="2262"/>
      <c r="I112" s="22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4" t="s">
        <v>2065</v>
      </c>
      <c r="D114" s="22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5" t="s">
        <v>1330</v>
      </c>
      <c r="D117" s="2266"/>
      <c r="E117" s="2267"/>
      <c r="F117" s="2267"/>
      <c r="G117" s="2267"/>
      <c r="H117" s="2267"/>
      <c r="I117" s="304"/>
    </row>
    <row r="118" spans="1:9" s="181" customFormat="1" ht="24" customHeight="1" x14ac:dyDescent="0.2">
      <c r="A118" s="316"/>
      <c r="B118" s="316"/>
      <c r="C118" s="316"/>
      <c r="D118" s="323" t="s">
        <v>2353</v>
      </c>
      <c r="E118" s="322"/>
      <c r="F118" s="324"/>
      <c r="G118" s="1814"/>
      <c r="H118" s="322"/>
      <c r="I118" s="304"/>
    </row>
    <row r="119" spans="1:9" s="181" customFormat="1" ht="11.25" customHeight="1" x14ac:dyDescent="0.2">
      <c r="A119" s="325"/>
      <c r="B119" s="325"/>
      <c r="C119" s="326"/>
      <c r="D119" s="327" t="s">
        <v>361</v>
      </c>
      <c r="E119" s="310"/>
      <c r="F119" s="1813" t="s">
        <v>1899</v>
      </c>
      <c r="G119" s="328"/>
      <c r="H119" s="328"/>
      <c r="I119" s="304"/>
    </row>
    <row r="120" spans="1:9" x14ac:dyDescent="0.2">
      <c r="A120" s="329"/>
      <c r="B120" s="180"/>
      <c r="C120" s="330"/>
      <c r="D120" s="256"/>
      <c r="E120" s="256"/>
      <c r="F120" s="256"/>
      <c r="G120" s="256"/>
      <c r="H120" s="256"/>
      <c r="I120" s="304"/>
    </row>
    <row r="121" spans="1:9" x14ac:dyDescent="0.2">
      <c r="A121" s="329"/>
      <c r="B121" s="146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72"/>
  <sheetViews>
    <sheetView showGridLines="0" zoomScale="120" zoomScaleNormal="120" workbookViewId="0">
      <selection sqref="A1:F1"/>
    </sheetView>
  </sheetViews>
  <sheetFormatPr defaultColWidth="8" defaultRowHeight="12" x14ac:dyDescent="0.2"/>
  <cols>
    <col min="1" max="1" width="1.42578125" style="1273" customWidth="1"/>
    <col min="2" max="2" width="53.28515625" style="1273" customWidth="1"/>
    <col min="3" max="3" width="14" style="1924" customWidth="1"/>
    <col min="4" max="4" width="16.7109375" style="1924" customWidth="1"/>
    <col min="5" max="5" width="7.7109375" style="1273" customWidth="1"/>
    <col min="6" max="6" width="3.28515625" style="1273" bestFit="1" customWidth="1"/>
    <col min="7" max="7" width="3.28515625" style="1273" customWidth="1"/>
    <col min="8" max="16384" width="8" style="1273"/>
  </cols>
  <sheetData>
    <row r="1" spans="1:7" ht="13.5" customHeight="1" x14ac:dyDescent="0.2">
      <c r="A1" s="2653" t="s">
        <v>2068</v>
      </c>
      <c r="B1" s="2653"/>
      <c r="C1" s="2653"/>
      <c r="D1" s="2653"/>
      <c r="E1" s="2653"/>
      <c r="F1" s="2653"/>
    </row>
    <row r="2" spans="1:7" ht="13.5" customHeight="1" x14ac:dyDescent="0.2">
      <c r="A2" s="2635" t="s">
        <v>2066</v>
      </c>
      <c r="B2" s="2635"/>
      <c r="C2" s="2635"/>
      <c r="D2" s="2635"/>
      <c r="E2" s="2635"/>
      <c r="F2" s="2635"/>
      <c r="G2" s="1947"/>
    </row>
    <row r="3" spans="1:7" ht="15.75" customHeight="1" x14ac:dyDescent="0.2">
      <c r="A3" s="2654" t="s">
        <v>1271</v>
      </c>
      <c r="B3" s="2654"/>
      <c r="C3" s="2654"/>
      <c r="D3" s="2654"/>
      <c r="E3" s="2654"/>
      <c r="F3" s="2654"/>
    </row>
    <row r="4" spans="1:7" ht="13.5" customHeight="1" x14ac:dyDescent="0.2">
      <c r="A4" s="2655" t="s">
        <v>1982</v>
      </c>
      <c r="B4" s="2655"/>
      <c r="C4" s="2655"/>
      <c r="D4" s="2655"/>
      <c r="E4" s="2655"/>
      <c r="F4" s="2655"/>
    </row>
    <row r="5" spans="1:7" ht="8.25" customHeight="1" x14ac:dyDescent="0.2">
      <c r="C5" s="1273"/>
      <c r="D5" s="1273"/>
    </row>
    <row r="6" spans="1:7" ht="14.25" customHeight="1" x14ac:dyDescent="0.2">
      <c r="A6" s="1268" t="s">
        <v>1727</v>
      </c>
      <c r="C6" s="1273"/>
      <c r="D6" s="1273"/>
    </row>
    <row r="7" spans="1:7" ht="14.1" customHeight="1" x14ac:dyDescent="0.2">
      <c r="A7" s="2649" t="s">
        <v>2116</v>
      </c>
      <c r="B7" s="2649"/>
      <c r="C7" s="2649"/>
      <c r="D7" s="2649"/>
      <c r="E7" s="2649"/>
      <c r="F7" s="2649"/>
    </row>
    <row r="8" spans="1:7" ht="14.1" customHeight="1" x14ac:dyDescent="0.2">
      <c r="A8" s="2649"/>
      <c r="B8" s="2649"/>
      <c r="C8" s="2649"/>
      <c r="D8" s="2649"/>
      <c r="E8" s="2649"/>
      <c r="F8" s="2649"/>
    </row>
    <row r="9" spans="1:7" ht="14.1" customHeight="1" x14ac:dyDescent="0.2">
      <c r="A9" s="2649"/>
      <c r="B9" s="2649"/>
      <c r="C9" s="2649"/>
      <c r="D9" s="2649"/>
      <c r="E9" s="2649"/>
      <c r="F9" s="2649"/>
    </row>
    <row r="10" spans="1:7" ht="14.1" customHeight="1" x14ac:dyDescent="0.2">
      <c r="A10" s="2649"/>
      <c r="B10" s="2649"/>
      <c r="C10" s="2649"/>
      <c r="D10" s="2649"/>
      <c r="E10" s="2649"/>
      <c r="F10" s="2649"/>
    </row>
    <row r="11" spans="1:7" ht="14.1" customHeight="1" x14ac:dyDescent="0.2">
      <c r="A11" s="2649"/>
      <c r="B11" s="2649"/>
      <c r="C11" s="2649"/>
      <c r="D11" s="2649"/>
      <c r="E11" s="2649"/>
      <c r="F11" s="2649"/>
    </row>
    <row r="12" spans="1:7" ht="6" customHeight="1" x14ac:dyDescent="0.2">
      <c r="A12" s="1268"/>
      <c r="C12" s="1273"/>
      <c r="D12" s="1273"/>
    </row>
    <row r="13" spans="1:7" ht="14.25" customHeight="1" x14ac:dyDescent="0.2">
      <c r="A13" s="1269" t="s">
        <v>1728</v>
      </c>
      <c r="B13" s="1272"/>
      <c r="C13" s="1272"/>
      <c r="D13" s="1272"/>
      <c r="E13" s="1272"/>
      <c r="F13" s="1272"/>
      <c r="G13" s="1272"/>
    </row>
    <row r="14" spans="1:7" ht="14.1" customHeight="1" x14ac:dyDescent="0.2">
      <c r="A14" s="1271" t="s">
        <v>1546</v>
      </c>
      <c r="B14" s="1272"/>
      <c r="C14" s="1946"/>
      <c r="D14" s="1272" t="s">
        <v>1547</v>
      </c>
      <c r="E14" s="1946" t="s">
        <v>2063</v>
      </c>
      <c r="F14" s="1272" t="s">
        <v>99</v>
      </c>
      <c r="G14" s="1272"/>
    </row>
    <row r="15" spans="1:7" ht="6" customHeight="1" x14ac:dyDescent="0.2">
      <c r="A15" s="1271"/>
      <c r="B15" s="1272"/>
      <c r="C15" s="1945"/>
      <c r="D15" s="1272"/>
      <c r="E15" s="1945"/>
      <c r="F15" s="1272"/>
      <c r="G15" s="1272"/>
    </row>
    <row r="16" spans="1:7" ht="14.25" customHeight="1" x14ac:dyDescent="0.2">
      <c r="A16" s="1268" t="s">
        <v>1586</v>
      </c>
      <c r="C16" s="1268"/>
      <c r="D16" s="1268"/>
    </row>
    <row r="17" spans="1:6" ht="14.1" customHeight="1" x14ac:dyDescent="0.2">
      <c r="A17" s="2649" t="s">
        <v>2115</v>
      </c>
      <c r="B17" s="2649"/>
      <c r="C17" s="2649"/>
      <c r="D17" s="2649"/>
      <c r="E17" s="2649"/>
      <c r="F17" s="2649"/>
    </row>
    <row r="18" spans="1:6" ht="14.1" customHeight="1" x14ac:dyDescent="0.2">
      <c r="A18" s="2649"/>
      <c r="B18" s="2649"/>
      <c r="C18" s="2649"/>
      <c r="D18" s="2649"/>
      <c r="E18" s="2649"/>
      <c r="F18" s="2649"/>
    </row>
    <row r="19" spans="1:6" ht="5.0999999999999996" customHeight="1" x14ac:dyDescent="0.2">
      <c r="C19" s="1268"/>
      <c r="D19" s="1268"/>
    </row>
    <row r="20" spans="1:6" ht="14.1" customHeight="1" x14ac:dyDescent="0.2">
      <c r="C20" s="1921" t="s">
        <v>1270</v>
      </c>
      <c r="D20" s="2650" t="s">
        <v>1269</v>
      </c>
      <c r="E20" s="2650"/>
      <c r="F20" s="2650"/>
    </row>
    <row r="21" spans="1:6" ht="14.1" customHeight="1" x14ac:dyDescent="0.2">
      <c r="B21" s="1268" t="s">
        <v>1268</v>
      </c>
      <c r="C21" s="1921" t="s">
        <v>1267</v>
      </c>
      <c r="D21" s="2651" t="s">
        <v>1587</v>
      </c>
      <c r="E21" s="2651"/>
      <c r="F21" s="2651"/>
    </row>
    <row r="22" spans="1:6" ht="14.1" customHeight="1" x14ac:dyDescent="0.2">
      <c r="A22" s="1274"/>
      <c r="B22" s="1275" t="s">
        <v>2114</v>
      </c>
      <c r="C22" s="1276">
        <v>84.027000000000001</v>
      </c>
      <c r="D22" s="2652">
        <v>5187642</v>
      </c>
      <c r="E22" s="2652"/>
      <c r="F22" s="2652"/>
    </row>
    <row r="23" spans="1:6" ht="20.65" hidden="1" customHeight="1" x14ac:dyDescent="0.2">
      <c r="A23" s="1274"/>
      <c r="B23" s="1275"/>
      <c r="C23" s="1276"/>
      <c r="D23" s="2642"/>
      <c r="E23" s="2642"/>
      <c r="F23" s="2642"/>
    </row>
    <row r="24" spans="1:6" ht="20.65" hidden="1" customHeight="1" x14ac:dyDescent="0.2">
      <c r="A24" s="1274"/>
      <c r="B24" s="1275"/>
      <c r="C24" s="1276"/>
      <c r="D24" s="2642"/>
      <c r="E24" s="2642"/>
      <c r="F24" s="2642"/>
    </row>
    <row r="25" spans="1:6" ht="20.65" hidden="1" customHeight="1" x14ac:dyDescent="0.2">
      <c r="A25" s="1274"/>
      <c r="B25" s="1275"/>
      <c r="C25" s="1276"/>
      <c r="D25" s="2642"/>
      <c r="E25" s="2642"/>
      <c r="F25" s="2642"/>
    </row>
    <row r="26" spans="1:6" ht="20.65" hidden="1" customHeight="1" x14ac:dyDescent="0.2">
      <c r="A26" s="1274"/>
      <c r="B26" s="1275"/>
      <c r="C26" s="1276"/>
      <c r="D26" s="2642"/>
      <c r="E26" s="2642"/>
      <c r="F26" s="2642"/>
    </row>
    <row r="27" spans="1:6" ht="20.65" hidden="1" customHeight="1" x14ac:dyDescent="0.2">
      <c r="A27" s="1274"/>
      <c r="B27" s="1275"/>
      <c r="C27" s="1276"/>
      <c r="D27" s="2642"/>
      <c r="E27" s="2642"/>
      <c r="F27" s="2642"/>
    </row>
    <row r="28" spans="1:6" ht="20.65" hidden="1" customHeight="1" x14ac:dyDescent="0.2">
      <c r="A28" s="1274"/>
      <c r="B28" s="1275"/>
      <c r="C28" s="1276"/>
      <c r="D28" s="2642"/>
      <c r="E28" s="2642"/>
      <c r="F28" s="2642"/>
    </row>
    <row r="29" spans="1:6" ht="20.65" hidden="1" customHeight="1" x14ac:dyDescent="0.2">
      <c r="A29" s="1274"/>
      <c r="B29" s="1275"/>
      <c r="C29" s="1276"/>
      <c r="D29" s="2642"/>
      <c r="E29" s="2642"/>
      <c r="F29" s="2642"/>
    </row>
    <row r="30" spans="1:6" ht="20.65" hidden="1" customHeight="1" x14ac:dyDescent="0.2">
      <c r="A30" s="1274"/>
      <c r="B30" s="1275"/>
      <c r="C30" s="1276"/>
      <c r="D30" s="2642"/>
      <c r="E30" s="2642"/>
      <c r="F30" s="2642"/>
    </row>
    <row r="31" spans="1:6" ht="20.65" hidden="1" customHeight="1" x14ac:dyDescent="0.2">
      <c r="A31" s="1274"/>
      <c r="B31" s="1275"/>
      <c r="C31" s="1276"/>
      <c r="D31" s="2642"/>
      <c r="E31" s="2642"/>
      <c r="F31" s="2642"/>
    </row>
    <row r="32" spans="1:6" ht="20.65" hidden="1" customHeight="1" x14ac:dyDescent="0.2">
      <c r="A32" s="1274"/>
      <c r="B32" s="1275"/>
      <c r="C32" s="1276"/>
      <c r="D32" s="2642"/>
      <c r="E32" s="2642"/>
      <c r="F32" s="2642"/>
    </row>
    <row r="33" spans="1:6" ht="20.65" hidden="1" customHeight="1" x14ac:dyDescent="0.2">
      <c r="A33" s="1274"/>
      <c r="B33" s="1275"/>
      <c r="C33" s="1276"/>
      <c r="D33" s="2642"/>
      <c r="E33" s="2642"/>
      <c r="F33" s="2642"/>
    </row>
    <row r="34" spans="1:6" ht="20.65" hidden="1" customHeight="1" x14ac:dyDescent="0.2">
      <c r="A34" s="1274"/>
      <c r="B34" s="1275"/>
      <c r="C34" s="1276"/>
      <c r="D34" s="2642"/>
      <c r="E34" s="2642"/>
      <c r="F34" s="2642"/>
    </row>
    <row r="35" spans="1:6" ht="9.9499999999999993" customHeight="1" x14ac:dyDescent="0.2">
      <c r="A35" s="328"/>
      <c r="B35" s="328"/>
      <c r="C35" s="1447"/>
      <c r="D35" s="1874"/>
      <c r="E35" s="1921"/>
    </row>
    <row r="36" spans="1:6" ht="14.25" customHeight="1" x14ac:dyDescent="0.2">
      <c r="A36" s="1278" t="s">
        <v>1548</v>
      </c>
      <c r="B36" s="328"/>
      <c r="C36" s="1447"/>
      <c r="D36" s="1874"/>
      <c r="E36" s="1921"/>
    </row>
    <row r="37" spans="1:6" ht="14.1" customHeight="1" x14ac:dyDescent="0.2">
      <c r="A37" s="2645" t="s">
        <v>2113</v>
      </c>
      <c r="B37" s="2645"/>
      <c r="C37" s="2645"/>
      <c r="D37" s="2645"/>
      <c r="E37" s="2645"/>
      <c r="F37" s="2645"/>
    </row>
    <row r="38" spans="1:6" ht="14.1" customHeight="1" x14ac:dyDescent="0.2">
      <c r="A38" s="2645"/>
      <c r="B38" s="2645"/>
      <c r="C38" s="2645"/>
      <c r="D38" s="2645"/>
      <c r="E38" s="2645"/>
      <c r="F38" s="2645"/>
    </row>
    <row r="39" spans="1:6" ht="5.0999999999999996" customHeight="1" x14ac:dyDescent="0.2">
      <c r="A39" s="1943"/>
      <c r="B39" s="1943"/>
      <c r="C39" s="1944"/>
      <c r="D39" s="1943"/>
      <c r="E39" s="1943"/>
      <c r="F39" s="1943"/>
    </row>
    <row r="40" spans="1:6" ht="14.1" customHeight="1" x14ac:dyDescent="0.2">
      <c r="A40" s="328" t="s">
        <v>1434</v>
      </c>
      <c r="B40" s="328"/>
      <c r="C40" s="1942">
        <v>4506</v>
      </c>
      <c r="D40" s="1874"/>
      <c r="E40" s="1921"/>
    </row>
    <row r="41" spans="1:6" ht="14.1" customHeight="1" x14ac:dyDescent="0.2">
      <c r="A41" s="328" t="s">
        <v>1832</v>
      </c>
      <c r="B41" s="328"/>
      <c r="C41" s="1941">
        <v>3659</v>
      </c>
      <c r="D41" s="1874" t="s">
        <v>1588</v>
      </c>
      <c r="E41" s="2646">
        <f>+C40+C41</f>
        <v>8165</v>
      </c>
      <c r="F41" s="2647"/>
    </row>
    <row r="42" spans="1:6" ht="6" customHeight="1" x14ac:dyDescent="0.2">
      <c r="A42" s="328"/>
      <c r="B42" s="328"/>
      <c r="C42" s="1875"/>
      <c r="D42" s="1874"/>
      <c r="E42" s="1940"/>
      <c r="F42" s="1939"/>
    </row>
    <row r="43" spans="1:6" ht="14.25" customHeight="1" x14ac:dyDescent="0.2">
      <c r="A43" s="1278" t="s">
        <v>1549</v>
      </c>
      <c r="B43" s="328"/>
      <c r="C43" s="1447"/>
      <c r="D43" s="1874"/>
      <c r="E43" s="1921"/>
    </row>
    <row r="44" spans="1:6" ht="14.1" customHeight="1" x14ac:dyDescent="0.2">
      <c r="A44" s="328" t="s">
        <v>2352</v>
      </c>
      <c r="B44" s="328"/>
      <c r="C44" s="1876"/>
      <c r="D44" s="1874"/>
      <c r="E44" s="1921"/>
    </row>
    <row r="45" spans="1:6" ht="14.1" customHeight="1" x14ac:dyDescent="0.2">
      <c r="A45" s="328"/>
      <c r="B45" s="328" t="s">
        <v>1435</v>
      </c>
      <c r="C45" s="1280" t="s">
        <v>572</v>
      </c>
      <c r="D45" s="1874"/>
      <c r="E45" s="1921"/>
    </row>
    <row r="46" spans="1:6" ht="14.1" customHeight="1" x14ac:dyDescent="0.2">
      <c r="A46" s="328"/>
      <c r="B46" s="328" t="s">
        <v>1436</v>
      </c>
      <c r="C46" s="1280" t="s">
        <v>383</v>
      </c>
      <c r="D46" s="1874"/>
      <c r="E46" s="1921"/>
    </row>
    <row r="47" spans="1:6" ht="14.1" customHeight="1" x14ac:dyDescent="0.2">
      <c r="A47" s="328"/>
      <c r="B47" s="328" t="s">
        <v>1437</v>
      </c>
      <c r="C47" s="1280" t="s">
        <v>572</v>
      </c>
      <c r="D47" s="1874"/>
      <c r="E47" s="1921"/>
    </row>
    <row r="48" spans="1:6" ht="14.1" customHeight="1" x14ac:dyDescent="0.2">
      <c r="A48" s="328"/>
      <c r="B48" s="328" t="s">
        <v>1438</v>
      </c>
      <c r="C48" s="1280" t="s">
        <v>572</v>
      </c>
      <c r="D48" s="1874"/>
      <c r="E48" s="1921"/>
    </row>
    <row r="49" spans="1:9" ht="14.1" customHeight="1" x14ac:dyDescent="0.2">
      <c r="A49" s="328" t="s">
        <v>1439</v>
      </c>
      <c r="B49" s="328"/>
      <c r="C49" s="1873" t="s">
        <v>383</v>
      </c>
      <c r="D49" s="1874"/>
      <c r="E49" s="1921"/>
    </row>
    <row r="50" spans="1:9" ht="14.1" customHeight="1" x14ac:dyDescent="0.2">
      <c r="A50" s="328" t="s">
        <v>1440</v>
      </c>
      <c r="B50" s="328"/>
      <c r="C50" s="1281" t="s">
        <v>383</v>
      </c>
      <c r="D50" s="1874"/>
      <c r="E50" s="1921"/>
    </row>
    <row r="51" spans="1:9" ht="10.5" customHeight="1" x14ac:dyDescent="0.2">
      <c r="A51" s="328"/>
      <c r="B51" s="328"/>
      <c r="C51" s="1938" t="s">
        <v>1441</v>
      </c>
      <c r="D51" s="1874"/>
      <c r="E51" s="1921"/>
    </row>
    <row r="52" spans="1:9" ht="7.5" customHeight="1" x14ac:dyDescent="0.2">
      <c r="A52" s="328"/>
      <c r="B52" s="328"/>
      <c r="C52" s="1938"/>
      <c r="D52" s="1874"/>
      <c r="E52" s="1921"/>
    </row>
    <row r="53" spans="1:9" ht="14.25" customHeight="1" x14ac:dyDescent="0.2">
      <c r="A53" s="1278" t="s">
        <v>2112</v>
      </c>
      <c r="B53" s="328"/>
      <c r="C53" s="1447"/>
      <c r="D53" s="1874"/>
      <c r="E53" s="1921"/>
    </row>
    <row r="54" spans="1:9" ht="14.1" customHeight="1" x14ac:dyDescent="0.2">
      <c r="A54" s="328" t="s">
        <v>2111</v>
      </c>
      <c r="B54" s="328"/>
      <c r="C54" s="1938"/>
      <c r="D54" s="1874"/>
      <c r="E54" s="1921"/>
    </row>
    <row r="55" spans="1:9" ht="14.1" customHeight="1" x14ac:dyDescent="0.2">
      <c r="A55" s="328"/>
      <c r="B55" s="328"/>
      <c r="C55" s="1937" t="s">
        <v>2110</v>
      </c>
      <c r="D55" s="1936" t="s">
        <v>2109</v>
      </c>
      <c r="E55" s="1921"/>
    </row>
    <row r="56" spans="1:9" ht="14.1" customHeight="1" x14ac:dyDescent="0.2">
      <c r="A56" s="328"/>
      <c r="B56" s="328" t="s">
        <v>2108</v>
      </c>
      <c r="C56" s="1933">
        <v>3457</v>
      </c>
      <c r="D56" s="1933">
        <v>2705</v>
      </c>
      <c r="E56" s="1921"/>
    </row>
    <row r="57" spans="1:9" ht="14.1" customHeight="1" x14ac:dyDescent="0.2">
      <c r="A57" s="328"/>
      <c r="B57" s="328" t="s">
        <v>2107</v>
      </c>
      <c r="C57" s="1933">
        <v>1157566</v>
      </c>
      <c r="D57" s="1935">
        <v>1054849</v>
      </c>
      <c r="E57" s="1934"/>
      <c r="F57" s="1272"/>
      <c r="G57" s="1272"/>
      <c r="H57" s="1272"/>
      <c r="I57" s="1272"/>
    </row>
    <row r="58" spans="1:9" ht="14.1" customHeight="1" x14ac:dyDescent="0.2">
      <c r="A58" s="328"/>
      <c r="B58" s="328" t="s">
        <v>2106</v>
      </c>
      <c r="C58" s="1933">
        <v>-9424</v>
      </c>
      <c r="D58" s="1935">
        <f>-9424-9504</f>
        <v>-18928</v>
      </c>
      <c r="E58" s="1934"/>
      <c r="F58" s="1272"/>
      <c r="G58" s="1272"/>
      <c r="H58" s="1272"/>
      <c r="I58" s="1272"/>
    </row>
    <row r="59" spans="1:9" ht="14.1" customHeight="1" x14ac:dyDescent="0.2">
      <c r="A59" s="328"/>
      <c r="B59" s="328" t="s">
        <v>2105</v>
      </c>
      <c r="C59" s="1933">
        <v>49625</v>
      </c>
      <c r="D59" s="1935">
        <v>52902</v>
      </c>
      <c r="E59" s="1934"/>
      <c r="F59" s="1272"/>
      <c r="G59" s="1272"/>
      <c r="H59" s="1272"/>
      <c r="I59" s="1272"/>
    </row>
    <row r="60" spans="1:9" ht="14.1" customHeight="1" x14ac:dyDescent="0.2">
      <c r="A60" s="328"/>
      <c r="B60" s="328" t="s">
        <v>2104</v>
      </c>
      <c r="C60" s="1933">
        <v>-1119</v>
      </c>
      <c r="D60" s="1935">
        <f>-1119-5350</f>
        <v>-6469</v>
      </c>
      <c r="E60" s="1934"/>
      <c r="F60" s="1272"/>
      <c r="G60" s="1272"/>
      <c r="H60" s="1272"/>
      <c r="I60" s="1272"/>
    </row>
    <row r="61" spans="1:9" ht="14.1" customHeight="1" x14ac:dyDescent="0.2">
      <c r="A61" s="328"/>
      <c r="B61" s="328" t="s">
        <v>2103</v>
      </c>
      <c r="C61" s="1933">
        <v>89352</v>
      </c>
      <c r="D61" s="1933">
        <v>33830</v>
      </c>
      <c r="E61" s="1921"/>
    </row>
    <row r="62" spans="1:9" ht="6.75" customHeight="1" x14ac:dyDescent="0.2">
      <c r="A62" s="328"/>
      <c r="B62" s="328"/>
      <c r="C62" s="1876"/>
      <c r="D62" s="1874"/>
      <c r="E62" s="1921"/>
    </row>
    <row r="63" spans="1:9" ht="14.25" customHeight="1" x14ac:dyDescent="0.2">
      <c r="A63" s="1278" t="s">
        <v>2102</v>
      </c>
      <c r="B63" s="328"/>
      <c r="C63" s="1447"/>
      <c r="D63" s="1874"/>
      <c r="E63" s="1921"/>
    </row>
    <row r="64" spans="1:9" ht="14.1" customHeight="1" x14ac:dyDescent="0.2">
      <c r="A64" s="2648" t="s">
        <v>2154</v>
      </c>
      <c r="B64" s="2648"/>
      <c r="C64" s="2648"/>
      <c r="D64" s="2648"/>
      <c r="E64" s="2648"/>
      <c r="F64" s="2648"/>
    </row>
    <row r="65" spans="1:6" ht="14.1" customHeight="1" x14ac:dyDescent="0.2">
      <c r="A65" s="2648"/>
      <c r="B65" s="2648"/>
      <c r="C65" s="2648"/>
      <c r="D65" s="2648"/>
      <c r="E65" s="2648"/>
      <c r="F65" s="2648"/>
    </row>
    <row r="66" spans="1:6" ht="9" customHeight="1" x14ac:dyDescent="0.2">
      <c r="B66" s="328"/>
      <c r="C66" s="1278"/>
      <c r="D66" s="1278"/>
    </row>
    <row r="67" spans="1:6" x14ac:dyDescent="0.2">
      <c r="A67" s="1932" t="s">
        <v>2101</v>
      </c>
      <c r="C67" s="1273"/>
      <c r="D67" s="1273"/>
    </row>
    <row r="68" spans="1:6" s="328" customFormat="1" ht="5.0999999999999996" customHeight="1" x14ac:dyDescent="0.2">
      <c r="A68" s="1931"/>
      <c r="B68" s="1930"/>
      <c r="C68" s="1930"/>
      <c r="D68" s="1930"/>
      <c r="E68" s="1930"/>
      <c r="F68" s="1930"/>
    </row>
    <row r="69" spans="1:6" s="328" customFormat="1" ht="6" customHeight="1" x14ac:dyDescent="0.2">
      <c r="A69" s="1929"/>
    </row>
    <row r="70" spans="1:6" ht="23.25" customHeight="1" x14ac:dyDescent="0.2">
      <c r="A70" s="1928">
        <v>5</v>
      </c>
      <c r="B70" s="2643" t="s">
        <v>1589</v>
      </c>
      <c r="C70" s="2643"/>
      <c r="D70" s="2643"/>
      <c r="E70" s="1926"/>
    </row>
    <row r="71" spans="1:6" ht="3.75" customHeight="1" x14ac:dyDescent="0.2">
      <c r="A71" s="1928"/>
      <c r="B71" s="1927"/>
      <c r="C71" s="1927"/>
      <c r="D71" s="1927"/>
      <c r="E71" s="1926"/>
    </row>
    <row r="72" spans="1:6" ht="20.25" customHeight="1" x14ac:dyDescent="0.2">
      <c r="A72" s="1925">
        <v>6</v>
      </c>
      <c r="B72" s="2644" t="s">
        <v>1550</v>
      </c>
      <c r="C72" s="2644"/>
      <c r="D72" s="2644"/>
    </row>
  </sheetData>
  <mergeCells count="26">
    <mergeCell ref="A1:F1"/>
    <mergeCell ref="A2:F2"/>
    <mergeCell ref="A3:F3"/>
    <mergeCell ref="A4:F4"/>
    <mergeCell ref="A7:F11"/>
    <mergeCell ref="A17:F18"/>
    <mergeCell ref="D20:F20"/>
    <mergeCell ref="D21:F21"/>
    <mergeCell ref="D22:F22"/>
    <mergeCell ref="D23:F23"/>
    <mergeCell ref="D24:F24"/>
    <mergeCell ref="D25:F25"/>
    <mergeCell ref="D26:F26"/>
    <mergeCell ref="D27:F27"/>
    <mergeCell ref="D28:F28"/>
    <mergeCell ref="D29:F29"/>
    <mergeCell ref="D30:F30"/>
    <mergeCell ref="D31:F31"/>
    <mergeCell ref="B70:D70"/>
    <mergeCell ref="B72:D72"/>
    <mergeCell ref="D32:F32"/>
    <mergeCell ref="D33:F33"/>
    <mergeCell ref="D34:F34"/>
    <mergeCell ref="A37:F38"/>
    <mergeCell ref="E41:F41"/>
    <mergeCell ref="A64:F65"/>
  </mergeCells>
  <pageMargins left="0.9" right="0.27" top="0.43" bottom="0" header="0.26" footer="0.5"/>
  <pageSetup scale="97" firstPageNumber="39" fitToHeight="0"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heetViews>
  <sheetFormatPr defaultColWidth="9.140625" defaultRowHeight="12.75" x14ac:dyDescent="0.2"/>
  <cols>
    <col min="1" max="1" width="1.42578125" style="1284" customWidth="1"/>
    <col min="2" max="2" width="24.42578125" style="134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75" t="s">
        <v>2068</v>
      </c>
      <c r="C1" s="2676"/>
      <c r="D1" s="2676"/>
      <c r="E1" s="2676"/>
      <c r="F1" s="2676"/>
      <c r="G1" s="2676"/>
      <c r="H1" s="2676"/>
      <c r="I1" s="2676"/>
      <c r="J1" s="1392"/>
    </row>
    <row r="2" spans="2:10" s="317" customFormat="1" ht="12.75" customHeight="1" x14ac:dyDescent="0.2">
      <c r="B2" s="2677" t="s">
        <v>2066</v>
      </c>
      <c r="C2" s="2678"/>
      <c r="D2" s="2678"/>
      <c r="E2" s="2678"/>
      <c r="F2" s="2678"/>
      <c r="G2" s="2678"/>
      <c r="H2" s="2678"/>
      <c r="I2" s="2678"/>
      <c r="J2" s="1392"/>
    </row>
    <row r="3" spans="2:10" s="317" customFormat="1" ht="12.75" customHeight="1" x14ac:dyDescent="0.2">
      <c r="B3" s="2679" t="s">
        <v>1285</v>
      </c>
      <c r="C3" s="2680"/>
      <c r="D3" s="2680"/>
      <c r="E3" s="2680"/>
      <c r="F3" s="2680"/>
      <c r="G3" s="2680"/>
      <c r="H3" s="2680"/>
      <c r="I3" s="2680"/>
      <c r="J3" s="1393"/>
    </row>
    <row r="4" spans="2:10" s="317" customFormat="1" ht="12.75" customHeight="1" x14ac:dyDescent="0.2">
      <c r="B4" s="2679" t="s">
        <v>1982</v>
      </c>
      <c r="C4" s="2680"/>
      <c r="D4" s="2680"/>
      <c r="E4" s="2680"/>
      <c r="F4" s="2680"/>
      <c r="G4" s="2680"/>
      <c r="H4" s="2680"/>
      <c r="I4" s="2680"/>
    </row>
    <row r="5" spans="2:10" s="317" customFormat="1" ht="6.2" customHeight="1" x14ac:dyDescent="0.2">
      <c r="B5" s="1394" t="s">
        <v>1169</v>
      </c>
      <c r="C5" s="1282"/>
      <c r="D5" s="1282"/>
      <c r="E5" s="1366"/>
      <c r="F5" s="322"/>
      <c r="G5" s="322"/>
      <c r="H5" s="322"/>
      <c r="I5" s="322"/>
    </row>
    <row r="6" spans="2:10" s="317" customFormat="1" ht="6.2" customHeight="1" x14ac:dyDescent="0.2">
      <c r="B6" s="1395"/>
      <c r="C6" s="1362"/>
      <c r="D6" s="1362"/>
      <c r="E6" s="1363"/>
      <c r="F6" s="1362"/>
      <c r="G6" s="1362"/>
      <c r="H6" s="1362"/>
      <c r="I6" s="1362"/>
    </row>
    <row r="7" spans="2:10" s="317" customFormat="1" ht="13.5" customHeight="1" x14ac:dyDescent="0.2">
      <c r="B7" s="2679" t="s">
        <v>1284</v>
      </c>
      <c r="C7" s="2680"/>
      <c r="D7" s="2680"/>
      <c r="E7" s="2680"/>
      <c r="F7" s="2680"/>
      <c r="G7" s="2680"/>
      <c r="H7" s="2680"/>
      <c r="I7" s="2680"/>
    </row>
    <row r="8" spans="2:10" s="317" customFormat="1" ht="6.2" customHeight="1" x14ac:dyDescent="0.2">
      <c r="B8" s="1396" t="s">
        <v>1169</v>
      </c>
      <c r="C8" s="1397"/>
      <c r="D8" s="1397"/>
      <c r="E8" s="1398"/>
      <c r="F8" s="1397"/>
      <c r="G8" s="1397"/>
      <c r="H8" s="1397"/>
      <c r="I8" s="1397"/>
    </row>
    <row r="9" spans="2:10" s="317" customFormat="1" ht="9" customHeight="1" x14ac:dyDescent="0.2">
      <c r="B9" s="1399"/>
      <c r="C9" s="322"/>
      <c r="D9" s="322"/>
      <c r="E9" s="1366"/>
      <c r="F9" s="322"/>
      <c r="G9" s="322"/>
      <c r="H9" s="322"/>
      <c r="I9" s="322"/>
    </row>
    <row r="10" spans="2:10" s="317" customFormat="1" ht="12.75" customHeight="1" x14ac:dyDescent="0.2">
      <c r="B10" s="1400" t="s">
        <v>1283</v>
      </c>
      <c r="C10" s="1401"/>
      <c r="D10" s="1401"/>
      <c r="E10" s="1252"/>
    </row>
    <row r="11" spans="2:10" s="317" customFormat="1" ht="13.5" customHeight="1" x14ac:dyDescent="0.2">
      <c r="B11" s="1332" t="s">
        <v>1282</v>
      </c>
      <c r="C11" s="2667" t="s">
        <v>2334</v>
      </c>
      <c r="D11" s="2667"/>
      <c r="E11" s="1402"/>
      <c r="F11" s="1402"/>
      <c r="G11" s="1402"/>
    </row>
    <row r="12" spans="2:10" s="317" customFormat="1" ht="11.45" customHeight="1" x14ac:dyDescent="0.2">
      <c r="B12" s="1340"/>
      <c r="C12" s="1403" t="s">
        <v>1442</v>
      </c>
      <c r="D12" s="1404"/>
      <c r="E12" s="1252"/>
    </row>
    <row r="13" spans="2:10" s="317" customFormat="1" ht="12.75" customHeight="1" x14ac:dyDescent="0.2">
      <c r="B13" s="1405"/>
      <c r="C13" s="1370"/>
      <c r="D13" s="1370"/>
      <c r="E13" s="1252"/>
    </row>
    <row r="14" spans="2:10" s="317" customFormat="1" ht="12.75" customHeight="1" x14ac:dyDescent="0.2">
      <c r="B14" s="1351" t="s">
        <v>1281</v>
      </c>
      <c r="C14" s="1273"/>
      <c r="E14" s="1948"/>
      <c r="F14" s="1270"/>
      <c r="G14" s="1270"/>
    </row>
    <row r="15" spans="2:10" s="317" customFormat="1" ht="13.5" customHeight="1" x14ac:dyDescent="0.2">
      <c r="B15" s="1406" t="s">
        <v>1278</v>
      </c>
      <c r="C15" s="1407"/>
      <c r="D15" s="1381"/>
      <c r="E15" s="1994" t="s">
        <v>2063</v>
      </c>
      <c r="F15" s="1995" t="s">
        <v>885</v>
      </c>
      <c r="G15" s="1994"/>
      <c r="H15" s="1284" t="s">
        <v>1276</v>
      </c>
      <c r="I15" s="1284"/>
    </row>
    <row r="16" spans="2:10" s="317" customFormat="1" ht="8.4499999999999993" customHeight="1" x14ac:dyDescent="0.2">
      <c r="B16" s="1351"/>
      <c r="C16" s="1273"/>
      <c r="E16" s="1996"/>
      <c r="F16" s="1995"/>
      <c r="G16" s="1364"/>
      <c r="H16" s="1284"/>
      <c r="I16" s="1284"/>
    </row>
    <row r="17" spans="2:9" s="317" customFormat="1" ht="13.5" customHeight="1" x14ac:dyDescent="0.2">
      <c r="B17" s="1406" t="s">
        <v>1277</v>
      </c>
      <c r="C17" s="1407"/>
      <c r="D17" s="1381"/>
      <c r="E17" s="1997"/>
      <c r="F17" s="1998"/>
      <c r="G17" s="1997"/>
      <c r="H17" s="1284"/>
      <c r="I17" s="1284"/>
    </row>
    <row r="18" spans="2:9" s="317" customFormat="1" ht="12.75" customHeight="1" x14ac:dyDescent="0.2">
      <c r="B18" s="1406" t="s">
        <v>1443</v>
      </c>
      <c r="C18" s="1407"/>
      <c r="D18" s="1381"/>
      <c r="E18" s="1994"/>
      <c r="F18" s="1995" t="s">
        <v>885</v>
      </c>
      <c r="G18" s="1994" t="s">
        <v>2063</v>
      </c>
      <c r="H18" s="1284" t="s">
        <v>1276</v>
      </c>
      <c r="I18" s="1284"/>
    </row>
    <row r="19" spans="2:9" s="317" customFormat="1" ht="8.4499999999999993" customHeight="1" x14ac:dyDescent="0.2">
      <c r="B19" s="1351"/>
      <c r="C19" s="1273"/>
      <c r="E19" s="1996"/>
      <c r="F19" s="1995"/>
      <c r="G19" s="1364"/>
      <c r="H19" s="1284"/>
      <c r="I19" s="1284"/>
    </row>
    <row r="20" spans="2:9" s="317" customFormat="1" ht="13.5" customHeight="1" x14ac:dyDescent="0.2">
      <c r="B20" s="1406" t="s">
        <v>1590</v>
      </c>
      <c r="C20" s="1407"/>
      <c r="D20" s="1381"/>
      <c r="E20" s="1994"/>
      <c r="F20" s="1995" t="s">
        <v>885</v>
      </c>
      <c r="G20" s="1994" t="s">
        <v>2063</v>
      </c>
      <c r="H20" s="1284" t="s">
        <v>99</v>
      </c>
      <c r="I20" s="1284"/>
    </row>
    <row r="21" spans="2:9" s="317" customFormat="1" ht="12.75" customHeight="1" x14ac:dyDescent="0.2">
      <c r="B21" s="1351"/>
      <c r="C21" s="1273"/>
      <c r="E21" s="1366"/>
      <c r="F21" s="1284"/>
      <c r="G21" s="322"/>
      <c r="H21" s="1284"/>
      <c r="I21" s="1284"/>
    </row>
    <row r="22" spans="2:9" s="317" customFormat="1" ht="12.75" customHeight="1" x14ac:dyDescent="0.2">
      <c r="B22" s="1400" t="s">
        <v>1280</v>
      </c>
      <c r="C22" s="1409"/>
      <c r="D22" s="1401"/>
      <c r="E22" s="1366"/>
      <c r="F22" s="1284"/>
      <c r="G22" s="322"/>
      <c r="H22" s="1284"/>
      <c r="I22" s="1284"/>
    </row>
    <row r="23" spans="2:9" s="317" customFormat="1" ht="12.75" customHeight="1" x14ac:dyDescent="0.2">
      <c r="B23" s="1351" t="s">
        <v>1279</v>
      </c>
      <c r="C23" s="1273"/>
      <c r="E23" s="1366"/>
      <c r="F23" s="1284"/>
      <c r="G23" s="322"/>
      <c r="H23" s="1284"/>
      <c r="I23" s="1284"/>
    </row>
    <row r="24" spans="2:9" s="317" customFormat="1" ht="13.5" customHeight="1" x14ac:dyDescent="0.2">
      <c r="B24" s="1406" t="s">
        <v>1278</v>
      </c>
      <c r="C24" s="1407"/>
      <c r="D24" s="1381"/>
      <c r="E24" s="1994"/>
      <c r="F24" s="1995" t="s">
        <v>885</v>
      </c>
      <c r="G24" s="1994" t="s">
        <v>2063</v>
      </c>
      <c r="H24" s="1284" t="s">
        <v>1276</v>
      </c>
      <c r="I24" s="1284"/>
    </row>
    <row r="25" spans="2:9" s="317" customFormat="1" ht="8.4499999999999993" customHeight="1" x14ac:dyDescent="0.2">
      <c r="B25" s="1351"/>
      <c r="C25" s="1273"/>
      <c r="E25" s="1996"/>
      <c r="F25" s="1995"/>
      <c r="G25" s="1364"/>
      <c r="H25" s="1284"/>
      <c r="I25" s="1284"/>
    </row>
    <row r="26" spans="2:9" s="317" customFormat="1" ht="13.5" customHeight="1" x14ac:dyDescent="0.2">
      <c r="B26" s="1406" t="s">
        <v>1277</v>
      </c>
      <c r="C26" s="1407"/>
      <c r="D26" s="1381"/>
      <c r="E26" s="1997"/>
      <c r="F26" s="1998"/>
      <c r="G26" s="1997"/>
      <c r="H26" s="1284"/>
      <c r="I26" s="1284"/>
    </row>
    <row r="27" spans="2:9" s="317" customFormat="1" ht="12.75" customHeight="1" x14ac:dyDescent="0.2">
      <c r="B27" s="1406" t="s">
        <v>1443</v>
      </c>
      <c r="C27" s="1407"/>
      <c r="D27" s="1381"/>
      <c r="E27" s="1994" t="s">
        <v>2063</v>
      </c>
      <c r="F27" s="1995" t="s">
        <v>885</v>
      </c>
      <c r="G27" s="1994"/>
      <c r="H27" s="1284" t="s">
        <v>1276</v>
      </c>
      <c r="I27" s="1284"/>
    </row>
    <row r="28" spans="2:9" s="317" customFormat="1" ht="12.75" customHeight="1" x14ac:dyDescent="0.2">
      <c r="B28" s="1351"/>
      <c r="C28" s="1273"/>
      <c r="E28" s="1252"/>
    </row>
    <row r="29" spans="2:9" s="317" customFormat="1" ht="12.75" customHeight="1" x14ac:dyDescent="0.2">
      <c r="B29" s="1351" t="s">
        <v>1275</v>
      </c>
      <c r="C29" s="1273"/>
      <c r="D29" s="2668" t="s">
        <v>2119</v>
      </c>
      <c r="E29" s="2668"/>
      <c r="F29" s="2668"/>
      <c r="G29" s="2668"/>
      <c r="H29" s="2668"/>
      <c r="I29" s="2668"/>
    </row>
    <row r="30" spans="2:9" s="317" customFormat="1" x14ac:dyDescent="0.2">
      <c r="B30" s="1351"/>
      <c r="C30" s="322"/>
      <c r="D30" s="1403" t="s">
        <v>1743</v>
      </c>
      <c r="E30" s="1404"/>
      <c r="F30" s="1404"/>
      <c r="G30" s="1404"/>
      <c r="H30" s="1404"/>
      <c r="I30" s="1404"/>
    </row>
    <row r="31" spans="2:9" s="317" customFormat="1" ht="9.9499999999999993" customHeight="1" x14ac:dyDescent="0.2">
      <c r="B31" s="1351"/>
      <c r="E31" s="1252"/>
    </row>
    <row r="32" spans="2:9" s="317" customFormat="1" x14ac:dyDescent="0.2">
      <c r="B32" s="1351" t="s">
        <v>1274</v>
      </c>
      <c r="C32" s="1273"/>
      <c r="E32" s="1252"/>
    </row>
    <row r="33" spans="2:9" ht="13.5" customHeight="1" x14ac:dyDescent="0.2">
      <c r="B33" s="1351" t="s">
        <v>1551</v>
      </c>
      <c r="C33" s="1273"/>
      <c r="E33" s="1994" t="s">
        <v>2063</v>
      </c>
      <c r="F33" s="1995" t="s">
        <v>885</v>
      </c>
      <c r="G33" s="1994"/>
      <c r="H33" s="1284" t="s">
        <v>99</v>
      </c>
    </row>
    <row r="35" spans="2:9" x14ac:dyDescent="0.2">
      <c r="B35" s="1410" t="s">
        <v>1744</v>
      </c>
      <c r="C35" s="1411"/>
      <c r="D35" s="1261"/>
    </row>
    <row r="36" spans="2:9" ht="6" customHeight="1" x14ac:dyDescent="0.2">
      <c r="B36" s="1410"/>
      <c r="C36" s="1411"/>
      <c r="D36" s="1261"/>
    </row>
    <row r="37" spans="2:9" ht="17.25" customHeight="1" x14ac:dyDescent="0.2">
      <c r="B37" s="1412" t="s">
        <v>1745</v>
      </c>
      <c r="C37" s="2669" t="s">
        <v>1746</v>
      </c>
      <c r="D37" s="2670"/>
      <c r="E37" s="2670"/>
      <c r="F37" s="2671"/>
      <c r="G37" s="2669" t="s">
        <v>1591</v>
      </c>
      <c r="H37" s="2670"/>
      <c r="I37" s="2671"/>
    </row>
    <row r="38" spans="2:9" ht="16.5" customHeight="1" x14ac:dyDescent="0.2">
      <c r="B38" s="1999" t="s">
        <v>2118</v>
      </c>
      <c r="C38" s="2657" t="s">
        <v>2117</v>
      </c>
      <c r="D38" s="2658"/>
      <c r="E38" s="2658"/>
      <c r="F38" s="2659"/>
      <c r="G38" s="2672">
        <v>6396615</v>
      </c>
      <c r="H38" s="2673"/>
      <c r="I38" s="2674"/>
    </row>
    <row r="39" spans="2:9" ht="16.5" hidden="1" customHeight="1" x14ac:dyDescent="0.2">
      <c r="B39" s="1413"/>
      <c r="C39" s="2657"/>
      <c r="D39" s="2658"/>
      <c r="E39" s="2658"/>
      <c r="F39" s="2659"/>
      <c r="G39" s="2660"/>
      <c r="H39" s="2660"/>
      <c r="I39" s="2660"/>
    </row>
    <row r="40" spans="2:9" ht="16.5" hidden="1" customHeight="1" x14ac:dyDescent="0.2">
      <c r="B40" s="1413"/>
      <c r="C40" s="2657"/>
      <c r="D40" s="2658"/>
      <c r="E40" s="2658"/>
      <c r="F40" s="2659"/>
      <c r="G40" s="2660"/>
      <c r="H40" s="2660"/>
      <c r="I40" s="2660"/>
    </row>
    <row r="41" spans="2:9" ht="16.5" hidden="1" customHeight="1" x14ac:dyDescent="0.2">
      <c r="B41" s="1413"/>
      <c r="C41" s="2657"/>
      <c r="D41" s="2658"/>
      <c r="E41" s="2658"/>
      <c r="F41" s="2659"/>
      <c r="G41" s="2660"/>
      <c r="H41" s="2660"/>
      <c r="I41" s="2660"/>
    </row>
    <row r="42" spans="2:9" ht="16.5" customHeight="1" x14ac:dyDescent="0.2">
      <c r="B42" s="1413"/>
      <c r="C42" s="2657"/>
      <c r="D42" s="2658"/>
      <c r="E42" s="2658"/>
      <c r="F42" s="2659"/>
      <c r="G42" s="2660"/>
      <c r="H42" s="2660"/>
      <c r="I42" s="2660"/>
    </row>
    <row r="43" spans="2:9" ht="16.5" customHeight="1" x14ac:dyDescent="0.2">
      <c r="B43" s="1413"/>
      <c r="C43" s="2661" t="s">
        <v>1592</v>
      </c>
      <c r="D43" s="2662"/>
      <c r="E43" s="2662"/>
      <c r="F43" s="2663"/>
      <c r="G43" s="2664">
        <f>SUM(G38:I42)</f>
        <v>6396615</v>
      </c>
      <c r="H43" s="2664"/>
      <c r="I43" s="2664"/>
    </row>
    <row r="44" spans="2:9" ht="12.75" customHeight="1" x14ac:dyDescent="0.2">
      <c r="C44" s="1270"/>
      <c r="D44" s="1270"/>
      <c r="E44" s="1948"/>
      <c r="F44" s="1270"/>
      <c r="G44" s="1270"/>
      <c r="H44" s="1270"/>
      <c r="I44" s="1270"/>
    </row>
    <row r="45" spans="2:9" ht="12.75" customHeight="1" x14ac:dyDescent="0.2">
      <c r="B45" s="1405" t="s">
        <v>2155</v>
      </c>
      <c r="C45" s="1270"/>
      <c r="D45" s="2665">
        <v>6703196</v>
      </c>
      <c r="E45" s="2666"/>
      <c r="F45" s="1270"/>
      <c r="G45" s="1270"/>
      <c r="H45" s="1270"/>
      <c r="I45" s="1270"/>
    </row>
    <row r="46" spans="2:9" ht="5.25" customHeight="1" x14ac:dyDescent="0.2">
      <c r="B46" s="1414"/>
      <c r="D46" s="1415"/>
      <c r="E46" s="1416"/>
    </row>
    <row r="47" spans="2:9" ht="12.75" customHeight="1" x14ac:dyDescent="0.2">
      <c r="B47" s="1284" t="s">
        <v>1593</v>
      </c>
      <c r="C47" s="1284"/>
      <c r="D47" s="1417">
        <f>+G43/D45</f>
        <v>0.95426345880383034</v>
      </c>
      <c r="E47" s="1418"/>
      <c r="F47" s="1419"/>
      <c r="I47" s="1420"/>
    </row>
    <row r="48" spans="2:9" ht="9.9499999999999993" customHeight="1" x14ac:dyDescent="0.2"/>
    <row r="49" spans="1:9" x14ac:dyDescent="0.2">
      <c r="B49" s="1351" t="s">
        <v>1273</v>
      </c>
      <c r="C49" s="1273"/>
      <c r="D49" s="1273"/>
      <c r="E49" s="2656">
        <v>750000</v>
      </c>
      <c r="F49" s="2656"/>
      <c r="G49" s="2656"/>
      <c r="H49" s="322"/>
    </row>
    <row r="51" spans="1:9" ht="13.5" customHeight="1" x14ac:dyDescent="0.2">
      <c r="B51" s="1351" t="s">
        <v>1272</v>
      </c>
      <c r="C51" s="1273"/>
      <c r="E51" s="1408"/>
      <c r="F51" s="1284" t="s">
        <v>885</v>
      </c>
      <c r="G51" s="1408" t="s">
        <v>2063</v>
      </c>
      <c r="H51" s="1284" t="s">
        <v>99</v>
      </c>
    </row>
    <row r="52" spans="1:9" x14ac:dyDescent="0.2">
      <c r="B52" s="1343"/>
      <c r="C52" s="1283"/>
      <c r="D52" s="1421"/>
      <c r="E52" s="1422"/>
      <c r="F52" s="1423"/>
      <c r="G52" s="1423"/>
      <c r="H52" s="1423"/>
      <c r="I52" s="1423"/>
    </row>
    <row r="53" spans="1:9" ht="6" customHeight="1" x14ac:dyDescent="0.2">
      <c r="B53" s="1399"/>
      <c r="C53" s="322"/>
      <c r="D53" s="1424"/>
      <c r="E53" s="1425"/>
      <c r="F53" s="1426"/>
      <c r="G53" s="1426"/>
      <c r="H53" s="1426"/>
      <c r="I53" s="1426"/>
    </row>
    <row r="54" spans="1:9" s="1430" customFormat="1" ht="14.25" x14ac:dyDescent="0.2">
      <c r="A54" s="1427"/>
      <c r="B54" s="1428" t="s">
        <v>1747</v>
      </c>
      <c r="C54" s="1429"/>
      <c r="D54" s="1429"/>
    </row>
    <row r="55" spans="1:9" s="1430" customFormat="1" ht="12.75" customHeight="1" x14ac:dyDescent="0.2">
      <c r="A55" s="1427"/>
      <c r="B55" s="1431" t="s">
        <v>1594</v>
      </c>
      <c r="C55" s="1427"/>
      <c r="D55" s="1427"/>
    </row>
    <row r="56" spans="1:9" s="1430" customFormat="1" ht="12.75" customHeight="1" x14ac:dyDescent="0.2">
      <c r="A56" s="1427"/>
      <c r="B56" s="1431" t="s">
        <v>1595</v>
      </c>
      <c r="C56" s="1427"/>
      <c r="D56" s="1427"/>
    </row>
    <row r="57" spans="1:9" s="1430" customFormat="1" ht="3.95" customHeight="1" x14ac:dyDescent="0.2">
      <c r="A57" s="1427"/>
      <c r="B57" s="1431"/>
      <c r="C57" s="1427"/>
      <c r="D57" s="1427"/>
    </row>
    <row r="58" spans="1:9" s="1430" customFormat="1" ht="13.5" customHeight="1" x14ac:dyDescent="0.2">
      <c r="A58" s="1427"/>
      <c r="B58" s="1432" t="s">
        <v>1748</v>
      </c>
      <c r="C58" s="1433"/>
      <c r="D58" s="1433"/>
    </row>
    <row r="59" spans="1:9" s="1430" customFormat="1" ht="3.95" customHeight="1" x14ac:dyDescent="0.2">
      <c r="A59" s="1427"/>
      <c r="B59" s="1432"/>
      <c r="C59" s="1433"/>
      <c r="D59" s="1433"/>
    </row>
    <row r="60" spans="1:9" s="1430" customFormat="1" ht="13.5" customHeight="1" x14ac:dyDescent="0.2">
      <c r="A60" s="1427"/>
      <c r="B60" s="1432" t="s">
        <v>1749</v>
      </c>
      <c r="C60" s="1433"/>
      <c r="D60" s="1433"/>
    </row>
    <row r="61" spans="1:9" s="1430" customFormat="1" ht="3.95" customHeight="1" x14ac:dyDescent="0.2">
      <c r="A61" s="1427"/>
      <c r="B61" s="1432"/>
      <c r="C61" s="1433"/>
      <c r="D61" s="1433"/>
    </row>
    <row r="62" spans="1:9" s="1430" customFormat="1" ht="12.75" customHeight="1" x14ac:dyDescent="0.2">
      <c r="A62" s="1427"/>
      <c r="B62" s="1432" t="s">
        <v>1750</v>
      </c>
      <c r="C62" s="1433"/>
      <c r="D62" s="1433"/>
    </row>
    <row r="63" spans="1:9" s="1430" customFormat="1" ht="13.5" customHeight="1" x14ac:dyDescent="0.2">
      <c r="A63" s="1427"/>
      <c r="B63" s="1431" t="s">
        <v>1596</v>
      </c>
      <c r="C63" s="1427"/>
      <c r="D63" s="1427"/>
    </row>
  </sheetData>
  <mergeCells count="23">
    <mergeCell ref="B1:I1"/>
    <mergeCell ref="B2:I2"/>
    <mergeCell ref="B3:I3"/>
    <mergeCell ref="B4:I4"/>
    <mergeCell ref="B7:I7"/>
    <mergeCell ref="C11:D11"/>
    <mergeCell ref="D29:I29"/>
    <mergeCell ref="C37:F37"/>
    <mergeCell ref="G37:I37"/>
    <mergeCell ref="C38:F38"/>
    <mergeCell ref="G38:I38"/>
    <mergeCell ref="C39:F39"/>
    <mergeCell ref="G39:I39"/>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75" t="str">
        <f>'Single Audit Cover'!A7</f>
        <v xml:space="preserve">Black Hawk Area Sp Ed District </v>
      </c>
      <c r="C1" s="2675"/>
      <c r="D1" s="2675"/>
      <c r="E1" s="2675"/>
      <c r="F1" s="2675"/>
      <c r="G1" s="2675"/>
      <c r="H1" s="2675"/>
      <c r="I1" s="2675"/>
      <c r="J1" s="2675"/>
      <c r="K1" s="2675"/>
      <c r="L1" s="1357"/>
      <c r="M1" s="1357"/>
    </row>
    <row r="2" spans="1:13" ht="12" customHeight="1" x14ac:dyDescent="0.2">
      <c r="B2" s="2677">
        <f>'Single Audit Cover'!E7</f>
        <v>49081865060</v>
      </c>
      <c r="C2" s="2677"/>
      <c r="D2" s="2677"/>
      <c r="E2" s="2677"/>
      <c r="F2" s="2677"/>
      <c r="G2" s="2677"/>
      <c r="H2" s="2677"/>
      <c r="I2" s="2677"/>
      <c r="J2" s="2677"/>
      <c r="K2" s="2677"/>
      <c r="L2" s="1358"/>
      <c r="M2" s="1359"/>
    </row>
    <row r="3" spans="1:13" ht="10.35" customHeight="1" x14ac:dyDescent="0.2">
      <c r="B3" s="2683" t="s">
        <v>1285</v>
      </c>
      <c r="C3" s="2683"/>
      <c r="D3" s="2683"/>
      <c r="E3" s="2683"/>
      <c r="F3" s="2683"/>
      <c r="G3" s="2683"/>
      <c r="H3" s="2683"/>
      <c r="I3" s="2683"/>
      <c r="J3" s="2683"/>
      <c r="K3" s="2683"/>
      <c r="L3" s="1360"/>
      <c r="M3" s="1360"/>
    </row>
    <row r="4" spans="1:13" ht="14.25" customHeight="1" x14ac:dyDescent="0.2">
      <c r="B4" s="2684" t="str">
        <f>'Single Audit Cover'!A4</f>
        <v>Year Ending June 30, 2019</v>
      </c>
      <c r="C4" s="2684"/>
      <c r="D4" s="2684"/>
      <c r="E4" s="2684"/>
      <c r="F4" s="2684"/>
      <c r="G4" s="2684"/>
      <c r="H4" s="2684"/>
      <c r="I4" s="2684"/>
      <c r="J4" s="2684"/>
      <c r="K4" s="2684"/>
      <c r="L4" s="313"/>
      <c r="M4" s="313"/>
    </row>
    <row r="5" spans="1:13" ht="7.5" customHeight="1" x14ac:dyDescent="0.2">
      <c r="B5" s="1254" t="s">
        <v>1169</v>
      </c>
      <c r="C5" s="1254"/>
    </row>
    <row r="6" spans="1:13" ht="7.5" customHeight="1" x14ac:dyDescent="0.2">
      <c r="B6" s="1361"/>
      <c r="C6" s="1361"/>
      <c r="D6" s="1362"/>
      <c r="E6" s="1362"/>
      <c r="F6" s="1362"/>
      <c r="G6" s="1363"/>
      <c r="H6" s="1362"/>
      <c r="I6" s="1363"/>
      <c r="J6" s="1362"/>
      <c r="K6" s="1362"/>
      <c r="L6" s="1364"/>
    </row>
    <row r="7" spans="1:13" ht="12.75" customHeight="1" x14ac:dyDescent="0.2">
      <c r="A7" s="1273"/>
      <c r="B7" s="2684" t="s">
        <v>1296</v>
      </c>
      <c r="C7" s="2684"/>
      <c r="D7" s="2685"/>
      <c r="E7" s="2685"/>
      <c r="F7" s="2685"/>
      <c r="G7" s="2685"/>
      <c r="H7" s="2685"/>
      <c r="I7" s="2685"/>
      <c r="J7" s="2685"/>
      <c r="K7" s="2685"/>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1737</v>
      </c>
      <c r="C10" s="1368" t="s">
        <v>1984</v>
      </c>
      <c r="D10" s="1369"/>
      <c r="E10" s="322"/>
      <c r="F10" s="1370" t="s">
        <v>1295</v>
      </c>
      <c r="G10" s="1371"/>
      <c r="H10" s="1372" t="s">
        <v>1294</v>
      </c>
      <c r="I10" s="1371"/>
      <c r="J10" s="1373" t="s">
        <v>1293</v>
      </c>
      <c r="K10" s="322"/>
      <c r="L10" s="1364"/>
    </row>
    <row r="11" spans="1:13" ht="13.5" customHeight="1" x14ac:dyDescent="0.2">
      <c r="B11" s="322"/>
      <c r="C11" s="322"/>
      <c r="D11" s="322"/>
      <c r="E11" s="322"/>
      <c r="F11" s="322"/>
      <c r="G11" s="1366"/>
      <c r="H11" s="322"/>
      <c r="I11" s="1374" t="s">
        <v>1292</v>
      </c>
      <c r="J11" s="322"/>
      <c r="K11" s="1375"/>
      <c r="L11" s="1364"/>
    </row>
    <row r="12" spans="1:13" ht="13.5" customHeight="1" x14ac:dyDescent="0.2">
      <c r="B12" s="1282"/>
      <c r="C12" s="1282"/>
      <c r="D12" s="322"/>
      <c r="E12" s="322"/>
      <c r="F12" s="322"/>
      <c r="G12" s="1366"/>
      <c r="H12" s="322"/>
      <c r="I12" s="1366"/>
      <c r="J12" s="322"/>
      <c r="L12" s="1364"/>
    </row>
    <row r="13" spans="1:13" s="1273" customFormat="1" ht="13.5" customHeight="1" x14ac:dyDescent="0.2">
      <c r="B13" s="1376" t="s">
        <v>1291</v>
      </c>
      <c r="C13" s="1376"/>
      <c r="D13" s="1377"/>
      <c r="E13" s="1377"/>
      <c r="F13" s="1377"/>
      <c r="G13" s="1378"/>
      <c r="H13" s="1377"/>
      <c r="I13" s="1378"/>
      <c r="J13" s="1377"/>
      <c r="K13" s="1377"/>
      <c r="L13" s="1379"/>
    </row>
    <row r="14" spans="1:13" ht="45.75" customHeight="1" x14ac:dyDescent="0.2">
      <c r="B14" s="2682"/>
      <c r="C14" s="2682"/>
      <c r="D14" s="2682"/>
      <c r="E14" s="2682"/>
      <c r="F14" s="2682"/>
      <c r="G14" s="2682"/>
      <c r="H14" s="2682"/>
      <c r="I14" s="2682"/>
      <c r="J14" s="2682"/>
      <c r="K14" s="2682"/>
      <c r="L14" s="1380"/>
    </row>
    <row r="15" spans="1:13" ht="4.5" customHeight="1" x14ac:dyDescent="0.2">
      <c r="B15" s="1381"/>
      <c r="C15" s="1381"/>
      <c r="D15" s="1382"/>
      <c r="E15" s="1382"/>
      <c r="F15" s="1382"/>
      <c r="H15" s="1382"/>
      <c r="J15" s="1382"/>
      <c r="K15" s="1382"/>
      <c r="L15" s="1380"/>
    </row>
    <row r="16" spans="1:13" s="1273" customFormat="1" ht="13.5" customHeight="1" x14ac:dyDescent="0.2">
      <c r="B16" s="1376" t="s">
        <v>1290</v>
      </c>
      <c r="C16" s="1376"/>
      <c r="D16" s="1377"/>
      <c r="E16" s="1377"/>
      <c r="F16" s="1377"/>
      <c r="G16" s="1378"/>
      <c r="H16" s="1377"/>
      <c r="I16" s="1378"/>
      <c r="J16" s="1377"/>
      <c r="K16" s="1377"/>
      <c r="L16" s="1379"/>
    </row>
    <row r="17" spans="2:12" ht="45.75" customHeight="1" x14ac:dyDescent="0.2">
      <c r="B17" s="2682"/>
      <c r="C17" s="2682"/>
      <c r="D17" s="2682"/>
      <c r="E17" s="2682"/>
      <c r="F17" s="2682"/>
      <c r="G17" s="2682"/>
      <c r="H17" s="2682"/>
      <c r="I17" s="2682"/>
      <c r="J17" s="2682"/>
      <c r="K17" s="2682"/>
      <c r="L17" s="1364"/>
    </row>
    <row r="18" spans="2:12" ht="4.5" customHeight="1" x14ac:dyDescent="0.2">
      <c r="B18" s="1381"/>
      <c r="C18" s="1381"/>
      <c r="L18" s="1364"/>
    </row>
    <row r="19" spans="2:12" s="1273" customFormat="1" ht="13.5" customHeight="1" x14ac:dyDescent="0.2">
      <c r="B19" s="1376" t="s">
        <v>1738</v>
      </c>
      <c r="C19" s="1376"/>
      <c r="D19" s="1377"/>
      <c r="E19" s="1377"/>
      <c r="F19" s="1377"/>
      <c r="G19" s="1378"/>
      <c r="H19" s="1377"/>
      <c r="I19" s="1378"/>
      <c r="J19" s="1377"/>
      <c r="K19" s="1377"/>
      <c r="L19" s="1379"/>
    </row>
    <row r="20" spans="2:12" ht="45.75" customHeight="1" x14ac:dyDescent="0.2">
      <c r="B20" s="2686"/>
      <c r="C20" s="2686"/>
      <c r="D20" s="2682"/>
      <c r="E20" s="2682"/>
      <c r="F20" s="2682"/>
      <c r="G20" s="2682"/>
      <c r="H20" s="2682"/>
      <c r="I20" s="2682"/>
      <c r="J20" s="2682"/>
      <c r="K20" s="2682"/>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682"/>
      <c r="C23" s="2682"/>
      <c r="D23" s="2682"/>
      <c r="E23" s="2682"/>
      <c r="F23" s="2682"/>
      <c r="G23" s="2682"/>
      <c r="H23" s="2682"/>
      <c r="I23" s="2682"/>
      <c r="J23" s="2682"/>
      <c r="K23" s="2682"/>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682"/>
      <c r="C26" s="2682"/>
      <c r="D26" s="2682"/>
      <c r="E26" s="2682"/>
      <c r="F26" s="2682"/>
      <c r="G26" s="2682"/>
      <c r="H26" s="2682"/>
      <c r="I26" s="2682"/>
      <c r="J26" s="2682"/>
      <c r="K26" s="2682"/>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681"/>
      <c r="C29" s="2681"/>
      <c r="D29" s="2682"/>
      <c r="E29" s="2682"/>
      <c r="F29" s="2682"/>
      <c r="G29" s="2682"/>
      <c r="H29" s="2682"/>
      <c r="I29" s="2682"/>
      <c r="J29" s="2682"/>
      <c r="K29" s="2682"/>
      <c r="L29" s="1364"/>
    </row>
    <row r="30" spans="2:12" ht="4.5" customHeight="1" x14ac:dyDescent="0.2">
      <c r="B30" s="1385"/>
      <c r="C30" s="1385"/>
      <c r="D30" s="322"/>
      <c r="E30" s="322"/>
      <c r="F30" s="322"/>
      <c r="G30" s="1366"/>
      <c r="H30" s="322"/>
      <c r="I30" s="1366"/>
      <c r="J30" s="322"/>
      <c r="K30" s="322"/>
      <c r="L30" s="1364"/>
    </row>
    <row r="31" spans="2:12" s="322" customFormat="1" ht="13.5" customHeight="1" x14ac:dyDescent="0.2">
      <c r="B31" s="1386" t="s">
        <v>1739</v>
      </c>
      <c r="C31" s="1386"/>
      <c r="D31" s="1361"/>
      <c r="E31" s="1362"/>
      <c r="F31" s="1362"/>
      <c r="G31" s="1363"/>
      <c r="H31" s="1362"/>
      <c r="I31" s="1363"/>
      <c r="J31" s="1362"/>
      <c r="K31" s="1362"/>
      <c r="L31" s="1364"/>
    </row>
    <row r="32" spans="2:12" s="322" customFormat="1" ht="44.25" customHeight="1" x14ac:dyDescent="0.2">
      <c r="B32" s="2681"/>
      <c r="C32" s="2681"/>
      <c r="D32" s="2682"/>
      <c r="E32" s="2682"/>
      <c r="F32" s="2682"/>
      <c r="G32" s="2682"/>
      <c r="H32" s="2682"/>
      <c r="I32" s="2682"/>
      <c r="J32" s="2682"/>
      <c r="K32" s="2682"/>
      <c r="L32" s="1364"/>
    </row>
    <row r="33" spans="1:13" s="322" customFormat="1" ht="4.5" customHeight="1" x14ac:dyDescent="0.2">
      <c r="B33" s="1385"/>
      <c r="C33" s="1385"/>
      <c r="G33" s="1366"/>
      <c r="I33" s="1366"/>
      <c r="L33" s="1364"/>
    </row>
    <row r="34" spans="1:13" s="322" customFormat="1" x14ac:dyDescent="0.2">
      <c r="A34" s="1283"/>
      <c r="B34" s="1387"/>
      <c r="C34" s="1387"/>
      <c r="D34" s="1387"/>
      <c r="E34" s="1387"/>
      <c r="F34" s="1387"/>
      <c r="G34" s="1388"/>
      <c r="H34" s="1387"/>
      <c r="I34" s="1388"/>
      <c r="J34" s="1387"/>
      <c r="K34" s="1387"/>
      <c r="L34" s="1364"/>
    </row>
    <row r="35" spans="1:13" ht="11.85" customHeight="1" x14ac:dyDescent="0.2">
      <c r="B35" s="1389" t="s">
        <v>1740</v>
      </c>
      <c r="C35" s="1389"/>
      <c r="D35" s="322"/>
      <c r="E35" s="322"/>
      <c r="F35" s="322"/>
      <c r="L35" s="1364"/>
    </row>
    <row r="36" spans="1:13" ht="9.6" customHeight="1" x14ac:dyDescent="0.2">
      <c r="B36" s="1284" t="s">
        <v>1835</v>
      </c>
      <c r="C36" s="1284"/>
      <c r="L36" s="1364"/>
    </row>
    <row r="37" spans="1:13" ht="9.6" customHeight="1" x14ac:dyDescent="0.2">
      <c r="B37" s="1284" t="s">
        <v>1836</v>
      </c>
      <c r="C37" s="1284"/>
    </row>
    <row r="38" spans="1:13" ht="11.85" customHeight="1" x14ac:dyDescent="0.2">
      <c r="B38" s="1390" t="s">
        <v>1741</v>
      </c>
      <c r="C38" s="1390"/>
    </row>
    <row r="39" spans="1:13" ht="9.6" customHeight="1" x14ac:dyDescent="0.2">
      <c r="B39" s="1284" t="s">
        <v>1286</v>
      </c>
      <c r="C39" s="1284"/>
      <c r="M39" s="1391"/>
    </row>
    <row r="40" spans="1:13" ht="12.6" customHeight="1" x14ac:dyDescent="0.2">
      <c r="B40" s="1390" t="s">
        <v>1742</v>
      </c>
      <c r="C40" s="1390"/>
      <c r="M40" s="1391"/>
    </row>
    <row r="41" spans="1:13" ht="9.6" customHeight="1" x14ac:dyDescent="0.2">
      <c r="B41" s="1284"/>
      <c r="C41" s="1284"/>
      <c r="M41" s="139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75" t="s">
        <v>2068</v>
      </c>
      <c r="C1" s="2675"/>
      <c r="D1" s="2675"/>
      <c r="E1" s="2675"/>
      <c r="F1" s="2675"/>
      <c r="G1" s="2675"/>
      <c r="H1" s="2675"/>
      <c r="I1" s="2675"/>
      <c r="J1" s="2675"/>
      <c r="K1" s="2675"/>
      <c r="L1" s="1357"/>
      <c r="M1" s="1357"/>
    </row>
    <row r="2" spans="1:13" ht="12" customHeight="1" x14ac:dyDescent="0.2">
      <c r="B2" s="2677" t="s">
        <v>2066</v>
      </c>
      <c r="C2" s="2677"/>
      <c r="D2" s="2677"/>
      <c r="E2" s="2677"/>
      <c r="F2" s="2677"/>
      <c r="G2" s="2677"/>
      <c r="H2" s="2677"/>
      <c r="I2" s="2677"/>
      <c r="J2" s="2677"/>
      <c r="K2" s="2677"/>
      <c r="L2" s="1358"/>
      <c r="M2" s="1359"/>
    </row>
    <row r="3" spans="1:13" ht="10.35" customHeight="1" x14ac:dyDescent="0.2">
      <c r="B3" s="2683" t="s">
        <v>1285</v>
      </c>
      <c r="C3" s="2683"/>
      <c r="D3" s="2683"/>
      <c r="E3" s="2683"/>
      <c r="F3" s="2683"/>
      <c r="G3" s="2683"/>
      <c r="H3" s="2683"/>
      <c r="I3" s="2683"/>
      <c r="J3" s="2683"/>
      <c r="K3" s="2683"/>
      <c r="L3" s="1922"/>
      <c r="M3" s="1922"/>
    </row>
    <row r="4" spans="1:13" ht="14.25" customHeight="1" x14ac:dyDescent="0.2">
      <c r="B4" s="2684" t="s">
        <v>1982</v>
      </c>
      <c r="C4" s="2684"/>
      <c r="D4" s="2684"/>
      <c r="E4" s="2684"/>
      <c r="F4" s="2684"/>
      <c r="G4" s="2684"/>
      <c r="H4" s="2684"/>
      <c r="I4" s="2684"/>
      <c r="J4" s="2684"/>
      <c r="K4" s="2684"/>
      <c r="L4" s="313"/>
      <c r="M4" s="313"/>
    </row>
    <row r="5" spans="1:13" ht="7.5" customHeight="1" x14ac:dyDescent="0.2">
      <c r="B5" s="1254" t="s">
        <v>1169</v>
      </c>
      <c r="C5" s="1254"/>
    </row>
    <row r="6" spans="1:13" ht="7.5" customHeight="1" x14ac:dyDescent="0.2">
      <c r="B6" s="1361"/>
      <c r="C6" s="1361"/>
      <c r="D6" s="1362"/>
      <c r="E6" s="1362"/>
      <c r="F6" s="1362"/>
      <c r="G6" s="1363"/>
      <c r="H6" s="1362"/>
      <c r="I6" s="1363"/>
      <c r="J6" s="1362"/>
      <c r="K6" s="1362"/>
      <c r="L6" s="1364"/>
    </row>
    <row r="7" spans="1:13" ht="12.75" customHeight="1" x14ac:dyDescent="0.2">
      <c r="A7" s="1273"/>
      <c r="B7" s="2684" t="s">
        <v>1296</v>
      </c>
      <c r="C7" s="2684"/>
      <c r="D7" s="2685"/>
      <c r="E7" s="2685"/>
      <c r="F7" s="2685"/>
      <c r="G7" s="2685"/>
      <c r="H7" s="2685"/>
      <c r="I7" s="2685"/>
      <c r="J7" s="2685"/>
      <c r="K7" s="2685"/>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1737</v>
      </c>
      <c r="C10" s="1368" t="s">
        <v>1984</v>
      </c>
      <c r="D10" s="1369">
        <v>1</v>
      </c>
      <c r="E10" s="322"/>
      <c r="F10" s="1370" t="s">
        <v>1295</v>
      </c>
      <c r="G10" s="1371"/>
      <c r="H10" s="1372" t="s">
        <v>1294</v>
      </c>
      <c r="I10" s="1371" t="s">
        <v>2063</v>
      </c>
      <c r="J10" s="1373" t="s">
        <v>1293</v>
      </c>
      <c r="K10" s="322"/>
      <c r="L10" s="1364"/>
    </row>
    <row r="11" spans="1:13" ht="13.5" customHeight="1" x14ac:dyDescent="0.2">
      <c r="B11" s="322"/>
      <c r="C11" s="322"/>
      <c r="D11" s="322"/>
      <c r="E11" s="322"/>
      <c r="F11" s="322"/>
      <c r="G11" s="1366"/>
      <c r="H11" s="322"/>
      <c r="I11" s="1374" t="s">
        <v>1292</v>
      </c>
      <c r="J11" s="322"/>
      <c r="K11" s="1375">
        <v>1980</v>
      </c>
      <c r="L11" s="1364"/>
    </row>
    <row r="12" spans="1:13" ht="13.5" customHeight="1" x14ac:dyDescent="0.2">
      <c r="B12" s="1282"/>
      <c r="C12" s="1282"/>
      <c r="D12" s="322"/>
      <c r="E12" s="322"/>
      <c r="F12" s="322"/>
      <c r="G12" s="1366"/>
      <c r="H12" s="322"/>
      <c r="I12" s="1366"/>
      <c r="J12" s="322"/>
      <c r="L12" s="1364"/>
    </row>
    <row r="13" spans="1:13" s="1273" customFormat="1" ht="13.5" customHeight="1" x14ac:dyDescent="0.2">
      <c r="B13" s="1376" t="s">
        <v>1291</v>
      </c>
      <c r="C13" s="1376"/>
      <c r="D13" s="1377"/>
      <c r="E13" s="1377"/>
      <c r="F13" s="1377"/>
      <c r="G13" s="1378"/>
      <c r="H13" s="1377"/>
      <c r="I13" s="1378"/>
      <c r="J13" s="1377"/>
      <c r="K13" s="1377"/>
      <c r="L13" s="1379"/>
    </row>
    <row r="14" spans="1:13" ht="45.75" customHeight="1" x14ac:dyDescent="0.2">
      <c r="B14" s="2682" t="s">
        <v>2126</v>
      </c>
      <c r="C14" s="2682"/>
      <c r="D14" s="2682"/>
      <c r="E14" s="2682"/>
      <c r="F14" s="2682"/>
      <c r="G14" s="2682"/>
      <c r="H14" s="2682"/>
      <c r="I14" s="2682"/>
      <c r="J14" s="2682"/>
      <c r="K14" s="2682"/>
      <c r="L14" s="1380"/>
    </row>
    <row r="15" spans="1:13" ht="4.5" customHeight="1" x14ac:dyDescent="0.2">
      <c r="B15" s="1381"/>
      <c r="C15" s="1381"/>
      <c r="D15" s="1382"/>
      <c r="E15" s="1382"/>
      <c r="F15" s="1382"/>
      <c r="H15" s="1382"/>
      <c r="J15" s="1382"/>
      <c r="K15" s="1382"/>
      <c r="L15" s="1380"/>
    </row>
    <row r="16" spans="1:13" s="1273" customFormat="1" ht="13.5" customHeight="1" x14ac:dyDescent="0.2">
      <c r="B16" s="1376" t="s">
        <v>1290</v>
      </c>
      <c r="C16" s="1376"/>
      <c r="D16" s="1377"/>
      <c r="E16" s="1377"/>
      <c r="F16" s="1377"/>
      <c r="G16" s="1378"/>
      <c r="H16" s="1377"/>
      <c r="I16" s="1378"/>
      <c r="J16" s="1377"/>
      <c r="K16" s="1377"/>
      <c r="L16" s="1379"/>
    </row>
    <row r="17" spans="2:12" ht="56.25" customHeight="1" x14ac:dyDescent="0.2">
      <c r="B17" s="2682" t="s">
        <v>2125</v>
      </c>
      <c r="C17" s="2682"/>
      <c r="D17" s="2682"/>
      <c r="E17" s="2682"/>
      <c r="F17" s="2682"/>
      <c r="G17" s="2682"/>
      <c r="H17" s="2682"/>
      <c r="I17" s="2682"/>
      <c r="J17" s="2682"/>
      <c r="K17" s="2682"/>
      <c r="L17" s="1364"/>
    </row>
    <row r="18" spans="2:12" ht="4.5" customHeight="1" x14ac:dyDescent="0.2">
      <c r="B18" s="1381"/>
      <c r="C18" s="1381"/>
      <c r="L18" s="1364"/>
    </row>
    <row r="19" spans="2:12" s="1273" customFormat="1" ht="13.5" customHeight="1" x14ac:dyDescent="0.2">
      <c r="B19" s="1376" t="s">
        <v>1738</v>
      </c>
      <c r="C19" s="1376"/>
      <c r="D19" s="1377"/>
      <c r="E19" s="1377"/>
      <c r="F19" s="1377"/>
      <c r="G19" s="1378"/>
      <c r="H19" s="1377"/>
      <c r="I19" s="1378"/>
      <c r="J19" s="1377"/>
      <c r="K19" s="1377"/>
      <c r="L19" s="1379"/>
    </row>
    <row r="20" spans="2:12" ht="45.75" customHeight="1" x14ac:dyDescent="0.2">
      <c r="B20" s="2686" t="s">
        <v>2124</v>
      </c>
      <c r="C20" s="2686"/>
      <c r="D20" s="2682"/>
      <c r="E20" s="2682"/>
      <c r="F20" s="2682"/>
      <c r="G20" s="2682"/>
      <c r="H20" s="2682"/>
      <c r="I20" s="2682"/>
      <c r="J20" s="2682"/>
      <c r="K20" s="2682"/>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682" t="s">
        <v>2123</v>
      </c>
      <c r="C23" s="2682"/>
      <c r="D23" s="2682"/>
      <c r="E23" s="2682"/>
      <c r="F23" s="2682"/>
      <c r="G23" s="2682"/>
      <c r="H23" s="2682"/>
      <c r="I23" s="2682"/>
      <c r="J23" s="2682"/>
      <c r="K23" s="2682"/>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682" t="s">
        <v>2122</v>
      </c>
      <c r="C26" s="2682"/>
      <c r="D26" s="2682"/>
      <c r="E26" s="2682"/>
      <c r="F26" s="2682"/>
      <c r="G26" s="2682"/>
      <c r="H26" s="2682"/>
      <c r="I26" s="2682"/>
      <c r="J26" s="2682"/>
      <c r="K26" s="2682"/>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681" t="s">
        <v>2121</v>
      </c>
      <c r="C29" s="2681"/>
      <c r="D29" s="2682"/>
      <c r="E29" s="2682"/>
      <c r="F29" s="2682"/>
      <c r="G29" s="2682"/>
      <c r="H29" s="2682"/>
      <c r="I29" s="2682"/>
      <c r="J29" s="2682"/>
      <c r="K29" s="2682"/>
      <c r="L29" s="1364"/>
    </row>
    <row r="30" spans="2:12" ht="4.5" customHeight="1" x14ac:dyDescent="0.2">
      <c r="B30" s="1385"/>
      <c r="C30" s="1385"/>
      <c r="D30" s="322"/>
      <c r="E30" s="322"/>
      <c r="F30" s="322"/>
      <c r="G30" s="1366"/>
      <c r="H30" s="322"/>
      <c r="I30" s="1366"/>
      <c r="J30" s="322"/>
      <c r="K30" s="322"/>
      <c r="L30" s="1364"/>
    </row>
    <row r="31" spans="2:12" s="322" customFormat="1" ht="13.5" customHeight="1" x14ac:dyDescent="0.2">
      <c r="B31" s="1386" t="s">
        <v>1739</v>
      </c>
      <c r="C31" s="1386"/>
      <c r="D31" s="1361"/>
      <c r="E31" s="1362"/>
      <c r="F31" s="1362"/>
      <c r="G31" s="1363"/>
      <c r="H31" s="1362"/>
      <c r="I31" s="1363"/>
      <c r="J31" s="1362"/>
      <c r="K31" s="1362"/>
      <c r="L31" s="1364"/>
    </row>
    <row r="32" spans="2:12" s="322" customFormat="1" ht="58.5" customHeight="1" x14ac:dyDescent="0.2">
      <c r="B32" s="2681" t="s">
        <v>2120</v>
      </c>
      <c r="C32" s="2681"/>
      <c r="D32" s="2682"/>
      <c r="E32" s="2682"/>
      <c r="F32" s="2682"/>
      <c r="G32" s="2682"/>
      <c r="H32" s="2682"/>
      <c r="I32" s="2682"/>
      <c r="J32" s="2682"/>
      <c r="K32" s="2682"/>
      <c r="L32" s="1364"/>
    </row>
    <row r="33" spans="1:13" s="322" customFormat="1" ht="4.5" customHeight="1" x14ac:dyDescent="0.2">
      <c r="B33" s="1385"/>
      <c r="C33" s="1385"/>
      <c r="G33" s="1366"/>
      <c r="I33" s="1366"/>
      <c r="L33" s="1364"/>
    </row>
    <row r="34" spans="1:13" s="322" customFormat="1" x14ac:dyDescent="0.2">
      <c r="A34" s="1283"/>
      <c r="B34" s="1387"/>
      <c r="C34" s="1387"/>
      <c r="D34" s="1387"/>
      <c r="E34" s="1387"/>
      <c r="F34" s="1387"/>
      <c r="G34" s="1388"/>
      <c r="H34" s="1387"/>
      <c r="I34" s="1388"/>
      <c r="J34" s="1387"/>
      <c r="K34" s="1387"/>
      <c r="L34" s="1364"/>
    </row>
    <row r="35" spans="1:13" ht="11.85" customHeight="1" x14ac:dyDescent="0.2">
      <c r="B35" s="1389" t="s">
        <v>1740</v>
      </c>
      <c r="C35" s="1389"/>
      <c r="D35" s="322"/>
      <c r="E35" s="322"/>
      <c r="F35" s="322"/>
      <c r="L35" s="1364"/>
    </row>
    <row r="36" spans="1:13" ht="9.6" customHeight="1" x14ac:dyDescent="0.2">
      <c r="B36" s="1284" t="s">
        <v>1835</v>
      </c>
      <c r="C36" s="1284"/>
      <c r="L36" s="1364"/>
    </row>
    <row r="37" spans="1:13" ht="9.6" customHeight="1" x14ac:dyDescent="0.2">
      <c r="B37" s="1284" t="s">
        <v>1836</v>
      </c>
      <c r="C37" s="1284"/>
    </row>
    <row r="38" spans="1:13" ht="11.85" customHeight="1" x14ac:dyDescent="0.2">
      <c r="B38" s="1390" t="s">
        <v>1741</v>
      </c>
      <c r="C38" s="1390"/>
    </row>
    <row r="39" spans="1:13" ht="9.6" customHeight="1" x14ac:dyDescent="0.2">
      <c r="B39" s="1284" t="s">
        <v>1286</v>
      </c>
      <c r="C39" s="1284"/>
      <c r="M39" s="1391"/>
    </row>
    <row r="40" spans="1:13" ht="12.6" customHeight="1" x14ac:dyDescent="0.2">
      <c r="B40" s="1390" t="s">
        <v>1742</v>
      </c>
      <c r="C40" s="1390"/>
      <c r="M40" s="1391"/>
    </row>
    <row r="41" spans="1:13" ht="9.6" customHeight="1" x14ac:dyDescent="0.2">
      <c r="B41" s="1284"/>
      <c r="C41" s="1284"/>
      <c r="M41" s="1391"/>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75" t="s">
        <v>2068</v>
      </c>
      <c r="C1" s="2675"/>
      <c r="D1" s="2675"/>
      <c r="E1" s="2675"/>
      <c r="F1" s="2675"/>
      <c r="G1" s="2675"/>
      <c r="H1" s="2675"/>
      <c r="I1" s="2675"/>
      <c r="J1" s="2675"/>
      <c r="K1" s="2675"/>
      <c r="L1" s="1357"/>
      <c r="M1" s="1357"/>
    </row>
    <row r="2" spans="1:13" ht="12" customHeight="1" x14ac:dyDescent="0.2">
      <c r="B2" s="2677" t="s">
        <v>2066</v>
      </c>
      <c r="C2" s="2677"/>
      <c r="D2" s="2677"/>
      <c r="E2" s="2677"/>
      <c r="F2" s="2677"/>
      <c r="G2" s="2677"/>
      <c r="H2" s="2677"/>
      <c r="I2" s="2677"/>
      <c r="J2" s="2677"/>
      <c r="K2" s="2677"/>
      <c r="L2" s="1358"/>
      <c r="M2" s="1359"/>
    </row>
    <row r="3" spans="1:13" ht="10.35" customHeight="1" x14ac:dyDescent="0.2">
      <c r="B3" s="2683" t="s">
        <v>1285</v>
      </c>
      <c r="C3" s="2683"/>
      <c r="D3" s="2683"/>
      <c r="E3" s="2683"/>
      <c r="F3" s="2683"/>
      <c r="G3" s="2683"/>
      <c r="H3" s="2683"/>
      <c r="I3" s="2683"/>
      <c r="J3" s="2683"/>
      <c r="K3" s="2683"/>
      <c r="L3" s="2000"/>
      <c r="M3" s="2000"/>
    </row>
    <row r="4" spans="1:13" ht="14.25" customHeight="1" x14ac:dyDescent="0.2">
      <c r="B4" s="2684" t="s">
        <v>1982</v>
      </c>
      <c r="C4" s="2684"/>
      <c r="D4" s="2684"/>
      <c r="E4" s="2684"/>
      <c r="F4" s="2684"/>
      <c r="G4" s="2684"/>
      <c r="H4" s="2684"/>
      <c r="I4" s="2684"/>
      <c r="J4" s="2684"/>
      <c r="K4" s="2684"/>
      <c r="L4" s="313"/>
      <c r="M4" s="313"/>
    </row>
    <row r="5" spans="1:13" ht="7.5" customHeight="1" x14ac:dyDescent="0.2">
      <c r="B5" s="1254" t="s">
        <v>1169</v>
      </c>
      <c r="C5" s="1254"/>
    </row>
    <row r="6" spans="1:13" ht="7.5" customHeight="1" x14ac:dyDescent="0.2">
      <c r="B6" s="1361"/>
      <c r="C6" s="1361"/>
      <c r="D6" s="1362"/>
      <c r="E6" s="1362"/>
      <c r="F6" s="1362"/>
      <c r="G6" s="1363"/>
      <c r="H6" s="1362"/>
      <c r="I6" s="1363"/>
      <c r="J6" s="1362"/>
      <c r="K6" s="1362"/>
      <c r="L6" s="1364"/>
    </row>
    <row r="7" spans="1:13" ht="12.75" customHeight="1" x14ac:dyDescent="0.2">
      <c r="A7" s="1273"/>
      <c r="B7" s="2684" t="s">
        <v>1296</v>
      </c>
      <c r="C7" s="2684"/>
      <c r="D7" s="2685"/>
      <c r="E7" s="2685"/>
      <c r="F7" s="2685"/>
      <c r="G7" s="2685"/>
      <c r="H7" s="2685"/>
      <c r="I7" s="2685"/>
      <c r="J7" s="2685"/>
      <c r="K7" s="2685"/>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1737</v>
      </c>
      <c r="C10" s="1368" t="s">
        <v>1984</v>
      </c>
      <c r="D10" s="1369">
        <v>2</v>
      </c>
      <c r="E10" s="322"/>
      <c r="F10" s="1370" t="s">
        <v>1295</v>
      </c>
      <c r="G10" s="1371" t="s">
        <v>2063</v>
      </c>
      <c r="H10" s="1372" t="s">
        <v>1294</v>
      </c>
      <c r="I10" s="1371"/>
      <c r="J10" s="1373" t="s">
        <v>1293</v>
      </c>
      <c r="K10" s="322"/>
      <c r="L10" s="1364"/>
    </row>
    <row r="11" spans="1:13" ht="13.5" customHeight="1" x14ac:dyDescent="0.2">
      <c r="B11" s="322"/>
      <c r="C11" s="322"/>
      <c r="D11" s="322"/>
      <c r="E11" s="322"/>
      <c r="F11" s="322"/>
      <c r="G11" s="1366"/>
      <c r="H11" s="322"/>
      <c r="I11" s="1374" t="s">
        <v>1292</v>
      </c>
      <c r="J11" s="322"/>
      <c r="K11" s="1375"/>
      <c r="L11" s="1364"/>
    </row>
    <row r="12" spans="1:13" ht="13.5" customHeight="1" x14ac:dyDescent="0.2">
      <c r="B12" s="1282"/>
      <c r="C12" s="1282"/>
      <c r="D12" s="322"/>
      <c r="E12" s="322"/>
      <c r="F12" s="322"/>
      <c r="G12" s="1366"/>
      <c r="H12" s="322"/>
      <c r="I12" s="1366"/>
      <c r="J12" s="322"/>
      <c r="L12" s="1364"/>
    </row>
    <row r="13" spans="1:13" s="1273" customFormat="1" ht="13.5" customHeight="1" x14ac:dyDescent="0.2">
      <c r="B13" s="1376" t="s">
        <v>1291</v>
      </c>
      <c r="C13" s="1376"/>
      <c r="D13" s="1377"/>
      <c r="E13" s="1377"/>
      <c r="F13" s="1377"/>
      <c r="G13" s="1378"/>
      <c r="H13" s="1377"/>
      <c r="I13" s="1378"/>
      <c r="J13" s="1377"/>
      <c r="K13" s="1377"/>
      <c r="L13" s="1379"/>
    </row>
    <row r="14" spans="1:13" ht="61.5" customHeight="1" x14ac:dyDescent="0.2">
      <c r="B14" s="2688" t="s">
        <v>2335</v>
      </c>
      <c r="C14" s="2688"/>
      <c r="D14" s="2688"/>
      <c r="E14" s="2688"/>
      <c r="F14" s="2688"/>
      <c r="G14" s="2688"/>
      <c r="H14" s="2688"/>
      <c r="I14" s="2688"/>
      <c r="J14" s="2688"/>
      <c r="K14" s="2688"/>
      <c r="L14" s="1380"/>
    </row>
    <row r="15" spans="1:13" ht="4.5" customHeight="1" x14ac:dyDescent="0.2">
      <c r="B15" s="2125"/>
      <c r="C15" s="2125"/>
      <c r="D15" s="2126"/>
      <c r="E15" s="2126"/>
      <c r="F15" s="2126"/>
      <c r="G15" s="1948"/>
      <c r="H15" s="2126"/>
      <c r="I15" s="1948"/>
      <c r="J15" s="2126"/>
      <c r="K15" s="2126"/>
      <c r="L15" s="1380"/>
    </row>
    <row r="16" spans="1:13" s="1273" customFormat="1" ht="13.5" customHeight="1" x14ac:dyDescent="0.2">
      <c r="B16" s="2127" t="s">
        <v>1290</v>
      </c>
      <c r="C16" s="2127"/>
      <c r="D16" s="2128"/>
      <c r="E16" s="2128"/>
      <c r="F16" s="2128"/>
      <c r="G16" s="2129"/>
      <c r="H16" s="2128"/>
      <c r="I16" s="2129"/>
      <c r="J16" s="2128"/>
      <c r="K16" s="2128"/>
      <c r="L16" s="1379"/>
    </row>
    <row r="17" spans="2:12" ht="33" customHeight="1" x14ac:dyDescent="0.2">
      <c r="B17" s="2688" t="s">
        <v>2337</v>
      </c>
      <c r="C17" s="2688"/>
      <c r="D17" s="2688"/>
      <c r="E17" s="2688"/>
      <c r="F17" s="2688"/>
      <c r="G17" s="2688"/>
      <c r="H17" s="2688"/>
      <c r="I17" s="2688"/>
      <c r="J17" s="2688"/>
      <c r="K17" s="2688"/>
      <c r="L17" s="1364"/>
    </row>
    <row r="18" spans="2:12" ht="4.5" customHeight="1" x14ac:dyDescent="0.2">
      <c r="B18" s="2125"/>
      <c r="C18" s="2125"/>
      <c r="D18" s="1270"/>
      <c r="E18" s="1270"/>
      <c r="F18" s="1270"/>
      <c r="G18" s="1948"/>
      <c r="H18" s="1270"/>
      <c r="I18" s="1948"/>
      <c r="J18" s="1270"/>
      <c r="K18" s="1270"/>
      <c r="L18" s="1364"/>
    </row>
    <row r="19" spans="2:12" s="1273" customFormat="1" ht="13.5" customHeight="1" x14ac:dyDescent="0.2">
      <c r="B19" s="2127" t="s">
        <v>1738</v>
      </c>
      <c r="C19" s="2127"/>
      <c r="D19" s="2128"/>
      <c r="E19" s="2128"/>
      <c r="F19" s="2128"/>
      <c r="G19" s="2129"/>
      <c r="H19" s="2128"/>
      <c r="I19" s="2129"/>
      <c r="J19" s="2128"/>
      <c r="K19" s="2128"/>
      <c r="L19" s="1379"/>
    </row>
    <row r="20" spans="2:12" ht="42" customHeight="1" x14ac:dyDescent="0.2">
      <c r="B20" s="2689" t="s">
        <v>2336</v>
      </c>
      <c r="C20" s="2689"/>
      <c r="D20" s="2688"/>
      <c r="E20" s="2688"/>
      <c r="F20" s="2688"/>
      <c r="G20" s="2688"/>
      <c r="H20" s="2688"/>
      <c r="I20" s="2688"/>
      <c r="J20" s="2688"/>
      <c r="K20" s="2688"/>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29.25" customHeight="1" x14ac:dyDescent="0.2">
      <c r="B23" s="2688" t="s">
        <v>2338</v>
      </c>
      <c r="C23" s="2688"/>
      <c r="D23" s="2688"/>
      <c r="E23" s="2688"/>
      <c r="F23" s="2688"/>
      <c r="G23" s="2688"/>
      <c r="H23" s="2688"/>
      <c r="I23" s="2688"/>
      <c r="J23" s="2688"/>
      <c r="K23" s="2688"/>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34.5" customHeight="1" x14ac:dyDescent="0.2">
      <c r="B26" s="2688" t="s">
        <v>2339</v>
      </c>
      <c r="C26" s="2688"/>
      <c r="D26" s="2688"/>
      <c r="E26" s="2688"/>
      <c r="F26" s="2688"/>
      <c r="G26" s="2688"/>
      <c r="H26" s="2688"/>
      <c r="I26" s="2688"/>
      <c r="J26" s="2688"/>
      <c r="K26" s="2688"/>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687" t="s">
        <v>2340</v>
      </c>
      <c r="C29" s="2687"/>
      <c r="D29" s="2688"/>
      <c r="E29" s="2688"/>
      <c r="F29" s="2688"/>
      <c r="G29" s="2688"/>
      <c r="H29" s="2688"/>
      <c r="I29" s="2688"/>
      <c r="J29" s="2688"/>
      <c r="K29" s="2688"/>
      <c r="L29" s="1364"/>
    </row>
    <row r="30" spans="2:12" ht="4.5" customHeight="1" x14ac:dyDescent="0.2">
      <c r="B30" s="2130"/>
      <c r="C30" s="2130"/>
      <c r="D30" s="1364"/>
      <c r="E30" s="1364"/>
      <c r="F30" s="1364"/>
      <c r="G30" s="1996"/>
      <c r="H30" s="1364"/>
      <c r="I30" s="1996"/>
      <c r="J30" s="1364"/>
      <c r="K30" s="1364"/>
      <c r="L30" s="1364"/>
    </row>
    <row r="31" spans="2:12" s="322" customFormat="1" ht="13.5" customHeight="1" x14ac:dyDescent="0.2">
      <c r="B31" s="2131" t="s">
        <v>1739</v>
      </c>
      <c r="C31" s="2131"/>
      <c r="D31" s="2132"/>
      <c r="E31" s="2133"/>
      <c r="F31" s="2133"/>
      <c r="G31" s="2134"/>
      <c r="H31" s="2133"/>
      <c r="I31" s="2134"/>
      <c r="J31" s="2133"/>
      <c r="K31" s="2133"/>
      <c r="L31" s="1364"/>
    </row>
    <row r="32" spans="2:12" s="322" customFormat="1" ht="58.5" customHeight="1" x14ac:dyDescent="0.2">
      <c r="B32" s="2687" t="s">
        <v>2173</v>
      </c>
      <c r="C32" s="2687"/>
      <c r="D32" s="2688"/>
      <c r="E32" s="2688"/>
      <c r="F32" s="2688"/>
      <c r="G32" s="2688"/>
      <c r="H32" s="2688"/>
      <c r="I32" s="2688"/>
      <c r="J32" s="2688"/>
      <c r="K32" s="2688"/>
      <c r="L32" s="1364"/>
    </row>
    <row r="33" spans="1:13" s="322" customFormat="1" ht="4.5" customHeight="1" x14ac:dyDescent="0.2">
      <c r="B33" s="1385"/>
      <c r="C33" s="1385"/>
      <c r="G33" s="1366"/>
      <c r="I33" s="1366"/>
      <c r="L33" s="1364"/>
    </row>
    <row r="34" spans="1:13" s="322" customFormat="1" x14ac:dyDescent="0.2">
      <c r="A34" s="1283"/>
      <c r="B34" s="1387"/>
      <c r="C34" s="1387"/>
      <c r="D34" s="1387"/>
      <c r="E34" s="1387"/>
      <c r="F34" s="1387"/>
      <c r="G34" s="1388"/>
      <c r="H34" s="1387"/>
      <c r="I34" s="1388"/>
      <c r="J34" s="1387"/>
      <c r="K34" s="1387"/>
      <c r="L34" s="1364"/>
    </row>
    <row r="35" spans="1:13" ht="11.85" customHeight="1" x14ac:dyDescent="0.2">
      <c r="B35" s="1389" t="s">
        <v>1740</v>
      </c>
      <c r="C35" s="1389"/>
      <c r="D35" s="322"/>
      <c r="E35" s="322"/>
      <c r="F35" s="322"/>
      <c r="L35" s="1364"/>
    </row>
    <row r="36" spans="1:13" ht="9.6" customHeight="1" x14ac:dyDescent="0.2">
      <c r="B36" s="1284" t="s">
        <v>1835</v>
      </c>
      <c r="C36" s="1284"/>
      <c r="L36" s="1364"/>
    </row>
    <row r="37" spans="1:13" ht="9.6" customHeight="1" x14ac:dyDescent="0.2">
      <c r="B37" s="1284" t="s">
        <v>1836</v>
      </c>
      <c r="C37" s="1284"/>
    </row>
    <row r="38" spans="1:13" ht="11.85" customHeight="1" x14ac:dyDescent="0.2">
      <c r="B38" s="1390" t="s">
        <v>1741</v>
      </c>
      <c r="C38" s="1390"/>
    </row>
    <row r="39" spans="1:13" ht="9.6" customHeight="1" x14ac:dyDescent="0.2">
      <c r="B39" s="1284" t="s">
        <v>1286</v>
      </c>
      <c r="C39" s="1284"/>
      <c r="M39" s="1391"/>
    </row>
    <row r="40" spans="1:13" ht="12.6" customHeight="1" x14ac:dyDescent="0.2">
      <c r="B40" s="1390" t="s">
        <v>1742</v>
      </c>
      <c r="C40" s="1390"/>
      <c r="M40" s="1391"/>
    </row>
    <row r="41" spans="1:13" ht="9.6" customHeight="1" x14ac:dyDescent="0.2">
      <c r="B41" s="1284"/>
      <c r="C41" s="1284"/>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90" t="str">
        <f>'Single Audit Cover'!A7</f>
        <v xml:space="preserve">Black Hawk Area Sp Ed District </v>
      </c>
      <c r="C1" s="2690"/>
      <c r="D1" s="2690"/>
      <c r="E1" s="2690"/>
      <c r="F1" s="2690"/>
      <c r="G1" s="2690"/>
      <c r="H1" s="2690"/>
      <c r="I1" s="2690"/>
      <c r="J1" s="2690"/>
      <c r="K1" s="2690"/>
      <c r="L1" s="1434"/>
    </row>
    <row r="2" spans="1:12" ht="12.75" customHeight="1" x14ac:dyDescent="0.2">
      <c r="B2" s="2691">
        <f>'Single Audit Cover'!E7</f>
        <v>49081865060</v>
      </c>
      <c r="C2" s="2691"/>
      <c r="D2" s="2691"/>
      <c r="E2" s="2691"/>
      <c r="F2" s="2691"/>
      <c r="G2" s="2691"/>
      <c r="H2" s="2691"/>
      <c r="I2" s="2691"/>
      <c r="J2" s="2691"/>
      <c r="K2" s="2691"/>
      <c r="L2" s="1435"/>
    </row>
    <row r="3" spans="1:12" ht="12.75" customHeight="1" x14ac:dyDescent="0.2">
      <c r="B3" s="2683" t="s">
        <v>1285</v>
      </c>
      <c r="C3" s="2683"/>
      <c r="D3" s="2683"/>
      <c r="E3" s="2683"/>
      <c r="F3" s="2683"/>
      <c r="G3" s="2683"/>
      <c r="H3" s="2683"/>
      <c r="I3" s="2683"/>
      <c r="J3" s="2683"/>
      <c r="K3" s="2683"/>
      <c r="L3" s="1360"/>
    </row>
    <row r="4" spans="1:12" ht="12.75" customHeight="1" x14ac:dyDescent="0.2">
      <c r="B4" s="2683" t="str">
        <f>'Single Audit Cover'!A4</f>
        <v>Year Ending June 30, 2019</v>
      </c>
      <c r="C4" s="2683"/>
      <c r="D4" s="2683"/>
      <c r="E4" s="2683"/>
      <c r="F4" s="2683"/>
      <c r="G4" s="2683"/>
      <c r="H4" s="2683"/>
      <c r="I4" s="2683"/>
      <c r="J4" s="2683"/>
      <c r="K4" s="2683"/>
      <c r="L4" s="1360"/>
    </row>
    <row r="5" spans="1:12" ht="5.25" customHeight="1" x14ac:dyDescent="0.2">
      <c r="B5" s="1254" t="s">
        <v>1169</v>
      </c>
      <c r="C5" s="1254"/>
      <c r="L5" s="322"/>
    </row>
    <row r="6" spans="1:12" ht="30.75" customHeight="1" x14ac:dyDescent="0.2">
      <c r="A6" s="322"/>
      <c r="B6" s="2692" t="s">
        <v>1308</v>
      </c>
      <c r="C6" s="2692"/>
      <c r="D6" s="2692"/>
      <c r="E6" s="2692"/>
      <c r="F6" s="2692"/>
      <c r="G6" s="2692"/>
      <c r="H6" s="2692"/>
      <c r="I6" s="2692"/>
      <c r="J6" s="2692"/>
      <c r="K6" s="269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c r="E8" s="322"/>
      <c r="F8" s="1367" t="s">
        <v>1295</v>
      </c>
      <c r="G8" s="1438"/>
      <c r="H8" s="1439" t="s">
        <v>1307</v>
      </c>
      <c r="I8" s="1438"/>
      <c r="J8" s="1440" t="s">
        <v>1306</v>
      </c>
      <c r="L8" s="322"/>
    </row>
    <row r="9" spans="1:12" ht="13.5" customHeight="1" x14ac:dyDescent="0.2">
      <c r="D9" s="322"/>
      <c r="E9" s="322"/>
      <c r="F9" s="322"/>
      <c r="G9" s="1366"/>
      <c r="H9" s="322"/>
      <c r="I9" s="1441" t="s">
        <v>1292</v>
      </c>
      <c r="J9" s="322"/>
      <c r="K9" s="1442"/>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668"/>
      <c r="G12" s="2668"/>
      <c r="H12" s="2668"/>
      <c r="I12" s="2668"/>
      <c r="J12" s="2668"/>
      <c r="K12" s="2668"/>
      <c r="L12" s="322"/>
    </row>
    <row r="13" spans="1:12" ht="9.6" customHeight="1" x14ac:dyDescent="0.2">
      <c r="B13" s="1251"/>
      <c r="C13" s="1251"/>
      <c r="D13" s="304"/>
      <c r="E13" s="322"/>
      <c r="F13" s="322"/>
      <c r="G13" s="1366"/>
      <c r="H13" s="322"/>
      <c r="I13" s="1366"/>
      <c r="J13" s="322"/>
      <c r="K13" s="1402"/>
      <c r="L13" s="322"/>
    </row>
    <row r="14" spans="1:12" ht="13.5" customHeight="1" x14ac:dyDescent="0.2">
      <c r="B14" s="1370" t="s">
        <v>1304</v>
      </c>
      <c r="C14" s="1370"/>
      <c r="D14" s="2693"/>
      <c r="E14" s="2693"/>
      <c r="F14" s="2693"/>
      <c r="H14" s="1444" t="s">
        <v>1303</v>
      </c>
      <c r="I14" s="2694"/>
      <c r="J14" s="2694"/>
      <c r="K14" s="2694"/>
      <c r="L14" s="322"/>
    </row>
    <row r="15" spans="1:12" ht="9.4" customHeight="1" x14ac:dyDescent="0.2">
      <c r="B15" s="1370"/>
      <c r="C15" s="1370"/>
      <c r="D15" s="1356"/>
      <c r="E15" s="1254"/>
      <c r="F15" s="1254"/>
      <c r="G15" s="1277"/>
      <c r="H15" s="1254"/>
      <c r="I15" s="1445"/>
      <c r="J15" s="1282"/>
      <c r="K15" s="1279"/>
      <c r="L15" s="322"/>
    </row>
    <row r="16" spans="1:12" ht="13.5" customHeight="1" x14ac:dyDescent="0.2">
      <c r="B16" s="1370" t="s">
        <v>1302</v>
      </c>
      <c r="C16" s="1370"/>
      <c r="D16" s="2694"/>
      <c r="E16" s="2694"/>
      <c r="F16" s="2694"/>
      <c r="G16" s="2694"/>
      <c r="H16" s="2694"/>
      <c r="I16" s="2694"/>
      <c r="J16" s="2694"/>
      <c r="K16" s="2694"/>
      <c r="L16" s="322"/>
    </row>
    <row r="17" spans="2:12" ht="13.5" customHeight="1" x14ac:dyDescent="0.2">
      <c r="B17" s="1370" t="s">
        <v>1301</v>
      </c>
      <c r="C17" s="1370"/>
      <c r="D17" s="2695"/>
      <c r="E17" s="2695"/>
      <c r="F17" s="2695"/>
      <c r="G17" s="2695"/>
      <c r="H17" s="2695"/>
      <c r="I17" s="2695"/>
      <c r="J17" s="2695"/>
      <c r="K17" s="2695"/>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35.25" customHeight="1" x14ac:dyDescent="0.2">
      <c r="B20" s="2682"/>
      <c r="C20" s="2682"/>
      <c r="D20" s="2682"/>
      <c r="E20" s="2682"/>
      <c r="F20" s="2682"/>
      <c r="G20" s="2682"/>
      <c r="H20" s="2682"/>
      <c r="I20" s="2682"/>
      <c r="J20" s="2682"/>
      <c r="K20" s="268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37.5" customHeight="1" x14ac:dyDescent="0.2">
      <c r="B23" s="2682"/>
      <c r="C23" s="2682"/>
      <c r="D23" s="2682"/>
      <c r="E23" s="2682"/>
      <c r="F23" s="2682"/>
      <c r="G23" s="2682"/>
      <c r="H23" s="2682"/>
      <c r="I23" s="2682"/>
      <c r="J23" s="2682"/>
      <c r="K23" s="268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37.5" customHeight="1" x14ac:dyDescent="0.2">
      <c r="B26" s="2682"/>
      <c r="C26" s="2682"/>
      <c r="D26" s="2682"/>
      <c r="E26" s="2682"/>
      <c r="F26" s="2682"/>
      <c r="G26" s="2682"/>
      <c r="H26" s="2682"/>
      <c r="I26" s="2682"/>
      <c r="J26" s="2682"/>
      <c r="K26" s="2682"/>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37.5" customHeight="1" x14ac:dyDescent="0.2">
      <c r="B29" s="2682"/>
      <c r="C29" s="2682"/>
      <c r="D29" s="2682"/>
      <c r="E29" s="2682"/>
      <c r="F29" s="2682"/>
      <c r="G29" s="2682"/>
      <c r="H29" s="2682"/>
      <c r="I29" s="2682"/>
      <c r="J29" s="2682"/>
      <c r="K29" s="268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37.5" customHeight="1" x14ac:dyDescent="0.2">
      <c r="B32" s="2682"/>
      <c r="C32" s="2682"/>
      <c r="D32" s="2682"/>
      <c r="E32" s="2682"/>
      <c r="F32" s="2682"/>
      <c r="G32" s="2682"/>
      <c r="H32" s="2682"/>
      <c r="I32" s="2682"/>
      <c r="J32" s="2682"/>
      <c r="K32" s="268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37.5" customHeight="1" x14ac:dyDescent="0.2">
      <c r="B35" s="2682"/>
      <c r="C35" s="2682"/>
      <c r="D35" s="2682"/>
      <c r="E35" s="2682"/>
      <c r="F35" s="2682"/>
      <c r="G35" s="2682"/>
      <c r="H35" s="2682"/>
      <c r="I35" s="2682"/>
      <c r="J35" s="2682"/>
      <c r="K35" s="268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35.25" customHeight="1" x14ac:dyDescent="0.2">
      <c r="B38" s="2682"/>
      <c r="C38" s="2682"/>
      <c r="D38" s="2682"/>
      <c r="E38" s="2682"/>
      <c r="F38" s="2682"/>
      <c r="G38" s="2682"/>
      <c r="H38" s="2682"/>
      <c r="I38" s="2682"/>
      <c r="J38" s="2682"/>
      <c r="K38" s="268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33.75" customHeight="1" x14ac:dyDescent="0.2">
      <c r="B41" s="2682"/>
      <c r="C41" s="2682"/>
      <c r="D41" s="2682"/>
      <c r="E41" s="2682"/>
      <c r="F41" s="2682"/>
      <c r="G41" s="2682"/>
      <c r="H41" s="2682"/>
      <c r="I41" s="2682"/>
      <c r="J41" s="2682"/>
      <c r="K41" s="2682"/>
    </row>
    <row r="42" spans="2:12" s="322" customFormat="1" ht="4.5" customHeight="1" x14ac:dyDescent="0.2">
      <c r="B42" s="1385"/>
      <c r="C42" s="1385"/>
      <c r="G42" s="1366"/>
      <c r="I42" s="1366"/>
    </row>
    <row r="43" spans="2:12" ht="7.5" customHeight="1" x14ac:dyDescent="0.25">
      <c r="B43" s="1451"/>
      <c r="C43" s="1451"/>
      <c r="D43" s="1452"/>
      <c r="E43" s="1452"/>
      <c r="F43" s="1452"/>
      <c r="G43" s="1453"/>
      <c r="H43" s="1452"/>
      <c r="I43" s="1453"/>
      <c r="J43" s="1452"/>
      <c r="K43" s="1452"/>
    </row>
    <row r="44" spans="2:12" ht="13.5" customHeight="1" x14ac:dyDescent="0.2">
      <c r="B44" s="1389" t="s">
        <v>1756</v>
      </c>
      <c r="C44" s="1389"/>
      <c r="D44" s="322"/>
      <c r="E44" s="322"/>
      <c r="F44" s="322"/>
    </row>
    <row r="45" spans="2:12" ht="10.5" customHeight="1" x14ac:dyDescent="0.2">
      <c r="B45" s="1390" t="s">
        <v>1757</v>
      </c>
      <c r="C45" s="1390"/>
      <c r="G45" s="317"/>
      <c r="I45" s="317"/>
    </row>
    <row r="46" spans="2:12" ht="11.1" customHeight="1" x14ac:dyDescent="0.2">
      <c r="B46" s="1390" t="s">
        <v>1758</v>
      </c>
      <c r="C46" s="1390"/>
      <c r="G46" s="317"/>
      <c r="I46" s="317"/>
    </row>
    <row r="47" spans="2:12" ht="11.1" customHeight="1" x14ac:dyDescent="0.2">
      <c r="B47" s="1390" t="s">
        <v>1759</v>
      </c>
      <c r="C47" s="1390"/>
      <c r="G47" s="317"/>
      <c r="I47" s="317"/>
    </row>
    <row r="48" spans="2:12" ht="11.1" customHeight="1" x14ac:dyDescent="0.2">
      <c r="B48" s="1390" t="s">
        <v>1760</v>
      </c>
      <c r="C48" s="139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90" t="s">
        <v>2068</v>
      </c>
      <c r="C1" s="2690"/>
      <c r="D1" s="2690"/>
      <c r="E1" s="2690"/>
      <c r="F1" s="2690"/>
      <c r="G1" s="2690"/>
      <c r="H1" s="2690"/>
      <c r="I1" s="2690"/>
      <c r="J1" s="2690"/>
      <c r="K1" s="2690"/>
      <c r="L1" s="1434"/>
    </row>
    <row r="2" spans="1:12" ht="12.75" customHeight="1" x14ac:dyDescent="0.2">
      <c r="B2" s="2691" t="s">
        <v>2066</v>
      </c>
      <c r="C2" s="2691"/>
      <c r="D2" s="2691"/>
      <c r="E2" s="2691"/>
      <c r="F2" s="2691"/>
      <c r="G2" s="2691"/>
      <c r="H2" s="2691"/>
      <c r="I2" s="2691"/>
      <c r="J2" s="2691"/>
      <c r="K2" s="2691"/>
      <c r="L2" s="1435"/>
    </row>
    <row r="3" spans="1:12" ht="12.75" customHeight="1" x14ac:dyDescent="0.2">
      <c r="B3" s="2683" t="s">
        <v>1285</v>
      </c>
      <c r="C3" s="2683"/>
      <c r="D3" s="2683"/>
      <c r="E3" s="2683"/>
      <c r="F3" s="2683"/>
      <c r="G3" s="2683"/>
      <c r="H3" s="2683"/>
      <c r="I3" s="2683"/>
      <c r="J3" s="2683"/>
      <c r="K3" s="2683"/>
      <c r="L3" s="1922"/>
    </row>
    <row r="4" spans="1:12" ht="12.75" customHeight="1" x14ac:dyDescent="0.2">
      <c r="B4" s="2683" t="s">
        <v>1982</v>
      </c>
      <c r="C4" s="2683"/>
      <c r="D4" s="2683"/>
      <c r="E4" s="2683"/>
      <c r="F4" s="2683"/>
      <c r="G4" s="2683"/>
      <c r="H4" s="2683"/>
      <c r="I4" s="2683"/>
      <c r="J4" s="2683"/>
      <c r="K4" s="2683"/>
      <c r="L4" s="1922"/>
    </row>
    <row r="5" spans="1:12" ht="5.25" customHeight="1" x14ac:dyDescent="0.2">
      <c r="B5" s="1254" t="s">
        <v>1169</v>
      </c>
      <c r="C5" s="1254"/>
      <c r="L5" s="322"/>
    </row>
    <row r="6" spans="1:12" ht="30.75" customHeight="1" x14ac:dyDescent="0.2">
      <c r="A6" s="322"/>
      <c r="B6" s="2692" t="s">
        <v>1308</v>
      </c>
      <c r="C6" s="2692"/>
      <c r="D6" s="2692"/>
      <c r="E6" s="2692"/>
      <c r="F6" s="2692"/>
      <c r="G6" s="2692"/>
      <c r="H6" s="2692"/>
      <c r="I6" s="2692"/>
      <c r="J6" s="2692"/>
      <c r="K6" s="269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v>3</v>
      </c>
      <c r="E8" s="322"/>
      <c r="F8" s="1367" t="s">
        <v>1295</v>
      </c>
      <c r="G8" s="1438"/>
      <c r="H8" s="1439" t="s">
        <v>1307</v>
      </c>
      <c r="I8" s="1438" t="s">
        <v>2063</v>
      </c>
      <c r="J8" s="1440" t="s">
        <v>1306</v>
      </c>
      <c r="L8" s="322"/>
    </row>
    <row r="9" spans="1:12" ht="13.5" customHeight="1" x14ac:dyDescent="0.2">
      <c r="D9" s="322"/>
      <c r="E9" s="322"/>
      <c r="F9" s="322"/>
      <c r="G9" s="1366"/>
      <c r="H9" s="322"/>
      <c r="I9" s="1441" t="s">
        <v>1292</v>
      </c>
      <c r="J9" s="322"/>
      <c r="K9" s="1442">
        <v>2018</v>
      </c>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668" t="s">
        <v>2160</v>
      </c>
      <c r="G12" s="2668"/>
      <c r="H12" s="2668"/>
      <c r="I12" s="2668"/>
      <c r="J12" s="2668"/>
      <c r="K12" s="2668"/>
      <c r="L12" s="322"/>
    </row>
    <row r="13" spans="1:12" ht="9.6" customHeight="1" x14ac:dyDescent="0.2">
      <c r="B13" s="1251"/>
      <c r="C13" s="1251"/>
      <c r="D13" s="304"/>
      <c r="E13" s="322"/>
      <c r="F13" s="322"/>
      <c r="G13" s="1366"/>
      <c r="H13" s="322"/>
      <c r="I13" s="1366"/>
      <c r="J13" s="322"/>
      <c r="K13" s="1402"/>
      <c r="L13" s="322"/>
    </row>
    <row r="14" spans="1:12" ht="13.5" customHeight="1" x14ac:dyDescent="0.2">
      <c r="B14" s="1370" t="s">
        <v>1304</v>
      </c>
      <c r="C14" s="1370"/>
      <c r="D14" s="2693" t="s">
        <v>2134</v>
      </c>
      <c r="E14" s="2693"/>
      <c r="F14" s="2693"/>
      <c r="H14" s="1444" t="s">
        <v>1303</v>
      </c>
      <c r="I14" s="2694">
        <v>84.027000000000001</v>
      </c>
      <c r="J14" s="2694"/>
      <c r="K14" s="2694"/>
      <c r="L14" s="322"/>
    </row>
    <row r="15" spans="1:12" ht="9.4" customHeight="1" x14ac:dyDescent="0.2">
      <c r="B15" s="1370"/>
      <c r="C15" s="1370"/>
      <c r="D15" s="1356"/>
      <c r="E15" s="1254"/>
      <c r="F15" s="1254"/>
      <c r="G15" s="1277"/>
      <c r="H15" s="1254"/>
      <c r="I15" s="1445"/>
      <c r="J15" s="1282"/>
      <c r="K15" s="1279"/>
      <c r="L15" s="322"/>
    </row>
    <row r="16" spans="1:12" ht="13.5" customHeight="1" x14ac:dyDescent="0.2">
      <c r="B16" s="1370" t="s">
        <v>1302</v>
      </c>
      <c r="C16" s="1370"/>
      <c r="D16" s="2694" t="s">
        <v>2133</v>
      </c>
      <c r="E16" s="2694"/>
      <c r="F16" s="2694"/>
      <c r="G16" s="2694"/>
      <c r="H16" s="2694"/>
      <c r="I16" s="2694"/>
      <c r="J16" s="2694"/>
      <c r="K16" s="2694"/>
      <c r="L16" s="322"/>
    </row>
    <row r="17" spans="2:12" ht="13.5" customHeight="1" x14ac:dyDescent="0.2">
      <c r="B17" s="1370" t="s">
        <v>1301</v>
      </c>
      <c r="C17" s="1370"/>
      <c r="D17" s="2695" t="s">
        <v>2132</v>
      </c>
      <c r="E17" s="2695"/>
      <c r="F17" s="2695"/>
      <c r="G17" s="2695"/>
      <c r="H17" s="2695"/>
      <c r="I17" s="2695"/>
      <c r="J17" s="2695"/>
      <c r="K17" s="2695"/>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69.75" customHeight="1" x14ac:dyDescent="0.2">
      <c r="B20" s="2682" t="s">
        <v>2156</v>
      </c>
      <c r="C20" s="2682"/>
      <c r="D20" s="2682"/>
      <c r="E20" s="2682"/>
      <c r="F20" s="2682"/>
      <c r="G20" s="2682"/>
      <c r="H20" s="2682"/>
      <c r="I20" s="2682"/>
      <c r="J20" s="2682"/>
      <c r="K20" s="268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33.75" customHeight="1" x14ac:dyDescent="0.2">
      <c r="B23" s="2682" t="s">
        <v>2179</v>
      </c>
      <c r="C23" s="2682"/>
      <c r="D23" s="2682"/>
      <c r="E23" s="2682"/>
      <c r="F23" s="2682"/>
      <c r="G23" s="2682"/>
      <c r="H23" s="2682"/>
      <c r="I23" s="2682"/>
      <c r="J23" s="2682"/>
      <c r="K23" s="268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17.25" customHeight="1" x14ac:dyDescent="0.2">
      <c r="B26" s="2696">
        <v>9504</v>
      </c>
      <c r="C26" s="2696"/>
      <c r="D26" s="2696"/>
      <c r="E26" s="2696"/>
      <c r="F26" s="2696"/>
      <c r="G26" s="2696"/>
      <c r="H26" s="2696"/>
      <c r="I26" s="2696"/>
      <c r="J26" s="2696"/>
      <c r="K26" s="2696"/>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23.25" customHeight="1" x14ac:dyDescent="0.2">
      <c r="B29" s="2682" t="s">
        <v>2186</v>
      </c>
      <c r="C29" s="2682"/>
      <c r="D29" s="2682"/>
      <c r="E29" s="2682"/>
      <c r="F29" s="2682"/>
      <c r="G29" s="2682"/>
      <c r="H29" s="2682"/>
      <c r="I29" s="2682"/>
      <c r="J29" s="2682"/>
      <c r="K29" s="268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23.25" customHeight="1" x14ac:dyDescent="0.2">
      <c r="B32" s="2682" t="s">
        <v>2158</v>
      </c>
      <c r="C32" s="2682"/>
      <c r="D32" s="2682"/>
      <c r="E32" s="2682"/>
      <c r="F32" s="2682"/>
      <c r="G32" s="2682"/>
      <c r="H32" s="2682"/>
      <c r="I32" s="2682"/>
      <c r="J32" s="2682"/>
      <c r="K32" s="268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32.25" customHeight="1" x14ac:dyDescent="0.2">
      <c r="B35" s="2682" t="s">
        <v>2159</v>
      </c>
      <c r="C35" s="2682"/>
      <c r="D35" s="2682"/>
      <c r="E35" s="2682"/>
      <c r="F35" s="2682"/>
      <c r="G35" s="2682"/>
      <c r="H35" s="2682"/>
      <c r="I35" s="2682"/>
      <c r="J35" s="2682"/>
      <c r="K35" s="268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33" customHeight="1" x14ac:dyDescent="0.2">
      <c r="B38" s="2682" t="s">
        <v>2187</v>
      </c>
      <c r="C38" s="2682"/>
      <c r="D38" s="2682"/>
      <c r="E38" s="2682"/>
      <c r="F38" s="2682"/>
      <c r="G38" s="2682"/>
      <c r="H38" s="2682"/>
      <c r="I38" s="2682"/>
      <c r="J38" s="2682"/>
      <c r="K38" s="268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42" customHeight="1" x14ac:dyDescent="0.2">
      <c r="B41" s="2688" t="s">
        <v>2169</v>
      </c>
      <c r="C41" s="2688"/>
      <c r="D41" s="2688"/>
      <c r="E41" s="2688"/>
      <c r="F41" s="2688"/>
      <c r="G41" s="2688"/>
      <c r="H41" s="2688"/>
      <c r="I41" s="2688"/>
      <c r="J41" s="2688"/>
      <c r="K41" s="2688"/>
    </row>
    <row r="42" spans="2:12" s="322" customFormat="1" ht="4.5" customHeight="1" x14ac:dyDescent="0.2">
      <c r="B42" s="1385"/>
      <c r="C42" s="1385"/>
      <c r="G42" s="1366"/>
      <c r="I42" s="1366"/>
    </row>
    <row r="43" spans="2:12" s="322" customFormat="1" ht="13.5" customHeight="1" x14ac:dyDescent="0.2">
      <c r="B43" s="1967" t="s">
        <v>2131</v>
      </c>
      <c r="C43" s="1966"/>
      <c r="D43" s="1964"/>
      <c r="E43" s="1964"/>
      <c r="F43" s="1964"/>
      <c r="G43" s="1965"/>
      <c r="H43" s="1964"/>
      <c r="I43" s="1965"/>
      <c r="J43" s="1964"/>
      <c r="K43" s="1963"/>
      <c r="L43" s="1949"/>
    </row>
    <row r="44" spans="2:12" s="322" customFormat="1" ht="13.5" customHeight="1" x14ac:dyDescent="0.2">
      <c r="B44" s="1960" t="s">
        <v>2130</v>
      </c>
      <c r="C44" s="1959"/>
      <c r="D44" s="1962"/>
      <c r="E44" s="1961"/>
      <c r="F44" s="1958" t="s">
        <v>2129</v>
      </c>
      <c r="G44" s="1956"/>
      <c r="H44" s="1957"/>
      <c r="I44" s="1956"/>
      <c r="J44" s="1955"/>
      <c r="K44" s="1954"/>
      <c r="L44" s="1949"/>
    </row>
    <row r="45" spans="2:12" s="322" customFormat="1" ht="13.5" customHeight="1" x14ac:dyDescent="0.2">
      <c r="B45" s="1960" t="s">
        <v>2128</v>
      </c>
      <c r="C45" s="1959"/>
      <c r="D45" s="1955"/>
      <c r="E45" s="1957"/>
      <c r="F45" s="1958" t="s">
        <v>2127</v>
      </c>
      <c r="G45" s="1956"/>
      <c r="H45" s="1957"/>
      <c r="I45" s="1956"/>
      <c r="J45" s="1955"/>
      <c r="K45" s="1954"/>
      <c r="L45" s="1949"/>
    </row>
    <row r="46" spans="2:12" s="322" customFormat="1" ht="13.5" customHeight="1" x14ac:dyDescent="0.2">
      <c r="B46" s="1953"/>
      <c r="C46" s="1951"/>
      <c r="D46" s="1951"/>
      <c r="E46" s="1951"/>
      <c r="F46" s="1951"/>
      <c r="G46" s="1952"/>
      <c r="H46" s="1951"/>
      <c r="I46" s="1952"/>
      <c r="J46" s="1951"/>
      <c r="K46" s="1950"/>
      <c r="L46" s="1949"/>
    </row>
    <row r="47" spans="2:12" ht="7.5" customHeight="1" x14ac:dyDescent="0.25">
      <c r="B47" s="1451"/>
      <c r="C47" s="1451"/>
      <c r="D47" s="1452"/>
      <c r="E47" s="1452"/>
      <c r="F47" s="1452"/>
      <c r="G47" s="1453"/>
      <c r="H47" s="1452"/>
      <c r="I47" s="1453"/>
      <c r="J47" s="1452"/>
      <c r="K47" s="1452"/>
    </row>
    <row r="48" spans="2:12" ht="13.5" customHeight="1" x14ac:dyDescent="0.2">
      <c r="B48" s="1389" t="s">
        <v>1756</v>
      </c>
      <c r="C48" s="1389"/>
      <c r="D48" s="322"/>
      <c r="E48" s="322"/>
      <c r="F48" s="322"/>
    </row>
    <row r="49" spans="2:3" s="317" customFormat="1" ht="10.5" customHeight="1" x14ac:dyDescent="0.2">
      <c r="B49" s="1390" t="s">
        <v>1757</v>
      </c>
      <c r="C49" s="1390"/>
    </row>
    <row r="50" spans="2:3" s="317" customFormat="1" ht="11.1" customHeight="1" x14ac:dyDescent="0.2">
      <c r="B50" s="1390" t="s">
        <v>1758</v>
      </c>
      <c r="C50" s="1390"/>
    </row>
    <row r="51" spans="2:3" s="317" customFormat="1" ht="11.1" customHeight="1" x14ac:dyDescent="0.2">
      <c r="B51" s="1390" t="s">
        <v>1759</v>
      </c>
      <c r="C51" s="1390"/>
    </row>
    <row r="52" spans="2:3" s="317" customFormat="1" ht="11.1" customHeight="1" x14ac:dyDescent="0.2">
      <c r="B52" s="1390" t="s">
        <v>1760</v>
      </c>
      <c r="C52" s="1390"/>
    </row>
  </sheetData>
  <mergeCells count="18">
    <mergeCell ref="B1:K1"/>
    <mergeCell ref="B2:K2"/>
    <mergeCell ref="B3:K3"/>
    <mergeCell ref="B4:K4"/>
    <mergeCell ref="B6:K6"/>
    <mergeCell ref="F12:K12"/>
    <mergeCell ref="D14:F14"/>
    <mergeCell ref="I14:K14"/>
    <mergeCell ref="D16:K16"/>
    <mergeCell ref="D17:K17"/>
    <mergeCell ref="B35:K35"/>
    <mergeCell ref="B38:K38"/>
    <mergeCell ref="B41:K41"/>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90" t="s">
        <v>2068</v>
      </c>
      <c r="C1" s="2690"/>
      <c r="D1" s="2690"/>
      <c r="E1" s="2690"/>
      <c r="F1" s="2690"/>
      <c r="G1" s="2690"/>
      <c r="H1" s="2690"/>
      <c r="I1" s="2690"/>
      <c r="J1" s="2690"/>
      <c r="K1" s="2690"/>
      <c r="L1" s="1434"/>
    </row>
    <row r="2" spans="1:12" ht="12.75" customHeight="1" x14ac:dyDescent="0.2">
      <c r="B2" s="2691" t="s">
        <v>2066</v>
      </c>
      <c r="C2" s="2691"/>
      <c r="D2" s="2691"/>
      <c r="E2" s="2691"/>
      <c r="F2" s="2691"/>
      <c r="G2" s="2691"/>
      <c r="H2" s="2691"/>
      <c r="I2" s="2691"/>
      <c r="J2" s="2691"/>
      <c r="K2" s="2691"/>
      <c r="L2" s="1435"/>
    </row>
    <row r="3" spans="1:12" ht="12.75" customHeight="1" x14ac:dyDescent="0.2">
      <c r="B3" s="2683" t="s">
        <v>1285</v>
      </c>
      <c r="C3" s="2683"/>
      <c r="D3" s="2683"/>
      <c r="E3" s="2683"/>
      <c r="F3" s="2683"/>
      <c r="G3" s="2683"/>
      <c r="H3" s="2683"/>
      <c r="I3" s="2683"/>
      <c r="J3" s="2683"/>
      <c r="K3" s="2683"/>
      <c r="L3" s="1923"/>
    </row>
    <row r="4" spans="1:12" ht="12.75" customHeight="1" x14ac:dyDescent="0.2">
      <c r="B4" s="2683" t="s">
        <v>1982</v>
      </c>
      <c r="C4" s="2683"/>
      <c r="D4" s="2683"/>
      <c r="E4" s="2683"/>
      <c r="F4" s="2683"/>
      <c r="G4" s="2683"/>
      <c r="H4" s="2683"/>
      <c r="I4" s="2683"/>
      <c r="J4" s="2683"/>
      <c r="K4" s="2683"/>
      <c r="L4" s="1923"/>
    </row>
    <row r="5" spans="1:12" ht="5.25" customHeight="1" x14ac:dyDescent="0.2">
      <c r="B5" s="1254" t="s">
        <v>1169</v>
      </c>
      <c r="C5" s="1254"/>
      <c r="L5" s="322"/>
    </row>
    <row r="6" spans="1:12" ht="30.75" customHeight="1" x14ac:dyDescent="0.2">
      <c r="A6" s="322"/>
      <c r="B6" s="2692" t="s">
        <v>1308</v>
      </c>
      <c r="C6" s="2692"/>
      <c r="D6" s="2692"/>
      <c r="E6" s="2692"/>
      <c r="F6" s="2692"/>
      <c r="G6" s="2692"/>
      <c r="H6" s="2692"/>
      <c r="I6" s="2692"/>
      <c r="J6" s="2692"/>
      <c r="K6" s="269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v>4</v>
      </c>
      <c r="E8" s="322"/>
      <c r="F8" s="1367" t="s">
        <v>1295</v>
      </c>
      <c r="G8" s="1438" t="s">
        <v>2063</v>
      </c>
      <c r="H8" s="1439" t="s">
        <v>1307</v>
      </c>
      <c r="I8" s="1438"/>
      <c r="J8" s="1440" t="s">
        <v>1306</v>
      </c>
      <c r="L8" s="322"/>
    </row>
    <row r="9" spans="1:12" ht="13.5" customHeight="1" x14ac:dyDescent="0.2">
      <c r="D9" s="322"/>
      <c r="E9" s="322"/>
      <c r="F9" s="322"/>
      <c r="G9" s="1366"/>
      <c r="H9" s="322"/>
      <c r="I9" s="1441" t="s">
        <v>1292</v>
      </c>
      <c r="J9" s="322"/>
      <c r="K9" s="1442"/>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668" t="s">
        <v>2161</v>
      </c>
      <c r="G12" s="2668"/>
      <c r="H12" s="2668"/>
      <c r="I12" s="2668"/>
      <c r="J12" s="2668"/>
      <c r="K12" s="2668"/>
      <c r="L12" s="322"/>
    </row>
    <row r="13" spans="1:12" ht="9.6" customHeight="1" x14ac:dyDescent="0.2">
      <c r="B13" s="1251"/>
      <c r="C13" s="1251"/>
      <c r="D13" s="304"/>
      <c r="E13" s="322"/>
      <c r="F13" s="322"/>
      <c r="G13" s="1366"/>
      <c r="H13" s="322"/>
      <c r="I13" s="1366"/>
      <c r="J13" s="322"/>
      <c r="K13" s="1402"/>
      <c r="L13" s="322"/>
    </row>
    <row r="14" spans="1:12" ht="13.5" customHeight="1" x14ac:dyDescent="0.2">
      <c r="B14" s="1370" t="s">
        <v>1304</v>
      </c>
      <c r="C14" s="1370"/>
      <c r="D14" s="2693" t="s">
        <v>2162</v>
      </c>
      <c r="E14" s="2693"/>
      <c r="F14" s="2693"/>
      <c r="H14" s="1444" t="s">
        <v>1303</v>
      </c>
      <c r="I14" s="2694">
        <v>84.173000000000002</v>
      </c>
      <c r="J14" s="2694"/>
      <c r="K14" s="2694"/>
      <c r="L14" s="322"/>
    </row>
    <row r="15" spans="1:12" ht="9.4" customHeight="1" x14ac:dyDescent="0.2">
      <c r="B15" s="1370"/>
      <c r="C15" s="1370"/>
      <c r="D15" s="1356"/>
      <c r="E15" s="1254"/>
      <c r="F15" s="1254"/>
      <c r="G15" s="1277"/>
      <c r="H15" s="1254"/>
      <c r="I15" s="1445"/>
      <c r="J15" s="1282"/>
      <c r="K15" s="1279"/>
      <c r="L15" s="322"/>
    </row>
    <row r="16" spans="1:12" ht="13.5" customHeight="1" x14ac:dyDescent="0.2">
      <c r="B16" s="1370" t="s">
        <v>1302</v>
      </c>
      <c r="C16" s="1370"/>
      <c r="D16" s="2694" t="s">
        <v>2133</v>
      </c>
      <c r="E16" s="2694"/>
      <c r="F16" s="2694"/>
      <c r="G16" s="2694"/>
      <c r="H16" s="2694"/>
      <c r="I16" s="2694"/>
      <c r="J16" s="2694"/>
      <c r="K16" s="2694"/>
      <c r="L16" s="322"/>
    </row>
    <row r="17" spans="2:12" ht="13.5" customHeight="1" x14ac:dyDescent="0.2">
      <c r="B17" s="1370" t="s">
        <v>1301</v>
      </c>
      <c r="C17" s="1370"/>
      <c r="D17" s="2695" t="s">
        <v>2132</v>
      </c>
      <c r="E17" s="2695"/>
      <c r="F17" s="2695"/>
      <c r="G17" s="2695"/>
      <c r="H17" s="2695"/>
      <c r="I17" s="2695"/>
      <c r="J17" s="2695"/>
      <c r="K17" s="2695"/>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69.75" customHeight="1" x14ac:dyDescent="0.2">
      <c r="B20" s="2682" t="s">
        <v>2156</v>
      </c>
      <c r="C20" s="2682"/>
      <c r="D20" s="2682"/>
      <c r="E20" s="2682"/>
      <c r="F20" s="2682"/>
      <c r="G20" s="2682"/>
      <c r="H20" s="2682"/>
      <c r="I20" s="2682"/>
      <c r="J20" s="2682"/>
      <c r="K20" s="268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33.75" customHeight="1" x14ac:dyDescent="0.2">
      <c r="B23" s="2682" t="s">
        <v>2157</v>
      </c>
      <c r="C23" s="2682"/>
      <c r="D23" s="2682"/>
      <c r="E23" s="2682"/>
      <c r="F23" s="2682"/>
      <c r="G23" s="2682"/>
      <c r="H23" s="2682"/>
      <c r="I23" s="2682"/>
      <c r="J23" s="2682"/>
      <c r="K23" s="268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17.25" customHeight="1" x14ac:dyDescent="0.2">
      <c r="B26" s="2696">
        <v>5350</v>
      </c>
      <c r="C26" s="2696"/>
      <c r="D26" s="2696"/>
      <c r="E26" s="2696"/>
      <c r="F26" s="2696"/>
      <c r="G26" s="2696"/>
      <c r="H26" s="2696"/>
      <c r="I26" s="2696"/>
      <c r="J26" s="2696"/>
      <c r="K26" s="2696"/>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27" customHeight="1" x14ac:dyDescent="0.2">
      <c r="B29" s="2682" t="s">
        <v>2186</v>
      </c>
      <c r="C29" s="2682"/>
      <c r="D29" s="2682"/>
      <c r="E29" s="2682"/>
      <c r="F29" s="2682"/>
      <c r="G29" s="2682"/>
      <c r="H29" s="2682"/>
      <c r="I29" s="2682"/>
      <c r="J29" s="2682"/>
      <c r="K29" s="268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22.5" customHeight="1" x14ac:dyDescent="0.2">
      <c r="B32" s="2682" t="s">
        <v>2158</v>
      </c>
      <c r="C32" s="2682"/>
      <c r="D32" s="2682"/>
      <c r="E32" s="2682"/>
      <c r="F32" s="2682"/>
      <c r="G32" s="2682"/>
      <c r="H32" s="2682"/>
      <c r="I32" s="2682"/>
      <c r="J32" s="2682"/>
      <c r="K32" s="268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32.25" customHeight="1" x14ac:dyDescent="0.2">
      <c r="B35" s="2682" t="s">
        <v>2159</v>
      </c>
      <c r="C35" s="2682"/>
      <c r="D35" s="2682"/>
      <c r="E35" s="2682"/>
      <c r="F35" s="2682"/>
      <c r="G35" s="2682"/>
      <c r="H35" s="2682"/>
      <c r="I35" s="2682"/>
      <c r="J35" s="2682"/>
      <c r="K35" s="268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25.5" customHeight="1" x14ac:dyDescent="0.2">
      <c r="B38" s="2682" t="s">
        <v>2187</v>
      </c>
      <c r="C38" s="2682"/>
      <c r="D38" s="2682"/>
      <c r="E38" s="2682"/>
      <c r="F38" s="2682"/>
      <c r="G38" s="2682"/>
      <c r="H38" s="2682"/>
      <c r="I38" s="2682"/>
      <c r="J38" s="2682"/>
      <c r="K38" s="268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41.25" customHeight="1" x14ac:dyDescent="0.2">
      <c r="B41" s="2688" t="s">
        <v>2169</v>
      </c>
      <c r="C41" s="2688"/>
      <c r="D41" s="2688"/>
      <c r="E41" s="2688"/>
      <c r="F41" s="2688"/>
      <c r="G41" s="2688"/>
      <c r="H41" s="2688"/>
      <c r="I41" s="2688"/>
      <c r="J41" s="2688"/>
      <c r="K41" s="2688"/>
    </row>
    <row r="42" spans="2:12" s="322" customFormat="1" ht="4.5" customHeight="1" x14ac:dyDescent="0.2">
      <c r="B42" s="1385"/>
      <c r="C42" s="1385"/>
      <c r="G42" s="1366"/>
      <c r="I42" s="1366"/>
    </row>
    <row r="43" spans="2:12" s="322" customFormat="1" ht="13.5" customHeight="1" x14ac:dyDescent="0.2">
      <c r="B43" s="1967" t="s">
        <v>2131</v>
      </c>
      <c r="C43" s="1966"/>
      <c r="D43" s="1964"/>
      <c r="E43" s="1964"/>
      <c r="F43" s="1964"/>
      <c r="G43" s="1965"/>
      <c r="H43" s="1964"/>
      <c r="I43" s="1965"/>
      <c r="J43" s="1964"/>
      <c r="K43" s="1963"/>
      <c r="L43" s="1949"/>
    </row>
    <row r="44" spans="2:12" s="322" customFormat="1" ht="13.5" customHeight="1" x14ac:dyDescent="0.2">
      <c r="B44" s="1960" t="s">
        <v>2130</v>
      </c>
      <c r="C44" s="1959"/>
      <c r="D44" s="1962"/>
      <c r="E44" s="1961"/>
      <c r="F44" s="1958" t="s">
        <v>2129</v>
      </c>
      <c r="G44" s="1956"/>
      <c r="H44" s="1957"/>
      <c r="I44" s="1956"/>
      <c r="J44" s="1955"/>
      <c r="K44" s="1954"/>
      <c r="L44" s="1949"/>
    </row>
    <row r="45" spans="2:12" s="322" customFormat="1" ht="13.5" customHeight="1" x14ac:dyDescent="0.2">
      <c r="B45" s="1960" t="s">
        <v>2128</v>
      </c>
      <c r="C45" s="1959"/>
      <c r="D45" s="1955"/>
      <c r="E45" s="1957"/>
      <c r="F45" s="1958" t="s">
        <v>2127</v>
      </c>
      <c r="G45" s="1956"/>
      <c r="H45" s="1957"/>
      <c r="I45" s="1956"/>
      <c r="J45" s="1955"/>
      <c r="K45" s="1954"/>
      <c r="L45" s="1949"/>
    </row>
    <row r="46" spans="2:12" s="322" customFormat="1" ht="13.5" customHeight="1" x14ac:dyDescent="0.2">
      <c r="B46" s="1953"/>
      <c r="C46" s="1951"/>
      <c r="D46" s="1951"/>
      <c r="E46" s="1951"/>
      <c r="F46" s="1951"/>
      <c r="G46" s="1952"/>
      <c r="H46" s="1951"/>
      <c r="I46" s="1952"/>
      <c r="J46" s="1951"/>
      <c r="K46" s="1950"/>
      <c r="L46" s="1949"/>
    </row>
    <row r="47" spans="2:12" ht="7.5" customHeight="1" x14ac:dyDescent="0.25">
      <c r="B47" s="1451"/>
      <c r="C47" s="1451"/>
      <c r="D47" s="1452"/>
      <c r="E47" s="1452"/>
      <c r="F47" s="1452"/>
      <c r="G47" s="1453"/>
      <c r="H47" s="1452"/>
      <c r="I47" s="1453"/>
      <c r="J47" s="1452"/>
      <c r="K47" s="1452"/>
    </row>
    <row r="48" spans="2:12" ht="13.5" customHeight="1" x14ac:dyDescent="0.2">
      <c r="B48" s="1389" t="s">
        <v>1756</v>
      </c>
      <c r="C48" s="1389"/>
      <c r="D48" s="322"/>
      <c r="E48" s="322"/>
      <c r="F48" s="322"/>
    </row>
    <row r="49" spans="2:3" s="317" customFormat="1" ht="10.5" customHeight="1" x14ac:dyDescent="0.2">
      <c r="B49" s="1390" t="s">
        <v>1757</v>
      </c>
      <c r="C49" s="1390"/>
    </row>
    <row r="50" spans="2:3" s="317" customFormat="1" ht="11.1" customHeight="1" x14ac:dyDescent="0.2">
      <c r="B50" s="1390" t="s">
        <v>1758</v>
      </c>
      <c r="C50" s="1390"/>
    </row>
    <row r="51" spans="2:3" s="317" customFormat="1" ht="11.1" customHeight="1" x14ac:dyDescent="0.2">
      <c r="B51" s="1390" t="s">
        <v>1759</v>
      </c>
      <c r="C51" s="1390"/>
    </row>
    <row r="52" spans="2:3" s="317" customFormat="1" ht="11.1" customHeight="1" x14ac:dyDescent="0.2">
      <c r="B52" s="1390" t="s">
        <v>1760</v>
      </c>
      <c r="C52" s="139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90" t="s">
        <v>2068</v>
      </c>
      <c r="C1" s="2690"/>
      <c r="D1" s="2690"/>
      <c r="E1" s="2690"/>
      <c r="F1" s="2690"/>
      <c r="G1" s="2690"/>
      <c r="H1" s="2690"/>
      <c r="I1" s="2690"/>
      <c r="J1" s="2690"/>
      <c r="K1" s="2690"/>
      <c r="L1" s="1434"/>
    </row>
    <row r="2" spans="1:12" ht="12.75" customHeight="1" x14ac:dyDescent="0.2">
      <c r="B2" s="2691" t="s">
        <v>2066</v>
      </c>
      <c r="C2" s="2691"/>
      <c r="D2" s="2691"/>
      <c r="E2" s="2691"/>
      <c r="F2" s="2691"/>
      <c r="G2" s="2691"/>
      <c r="H2" s="2691"/>
      <c r="I2" s="2691"/>
      <c r="J2" s="2691"/>
      <c r="K2" s="2691"/>
      <c r="L2" s="1435"/>
    </row>
    <row r="3" spans="1:12" ht="12.75" customHeight="1" x14ac:dyDescent="0.2">
      <c r="B3" s="2683" t="s">
        <v>1285</v>
      </c>
      <c r="C3" s="2683"/>
      <c r="D3" s="2683"/>
      <c r="E3" s="2683"/>
      <c r="F3" s="2683"/>
      <c r="G3" s="2683"/>
      <c r="H3" s="2683"/>
      <c r="I3" s="2683"/>
      <c r="J3" s="2683"/>
      <c r="K3" s="2683"/>
      <c r="L3" s="1923"/>
    </row>
    <row r="4" spans="1:12" ht="12.75" customHeight="1" x14ac:dyDescent="0.2">
      <c r="B4" s="2683" t="s">
        <v>1982</v>
      </c>
      <c r="C4" s="2683"/>
      <c r="D4" s="2683"/>
      <c r="E4" s="2683"/>
      <c r="F4" s="2683"/>
      <c r="G4" s="2683"/>
      <c r="H4" s="2683"/>
      <c r="I4" s="2683"/>
      <c r="J4" s="2683"/>
      <c r="K4" s="2683"/>
      <c r="L4" s="1923"/>
    </row>
    <row r="5" spans="1:12" ht="5.25" customHeight="1" x14ac:dyDescent="0.2">
      <c r="B5" s="1254" t="s">
        <v>1169</v>
      </c>
      <c r="C5" s="1254"/>
      <c r="L5" s="322"/>
    </row>
    <row r="6" spans="1:12" ht="30.75" customHeight="1" x14ac:dyDescent="0.2">
      <c r="A6" s="322"/>
      <c r="B6" s="2692" t="s">
        <v>1308</v>
      </c>
      <c r="C6" s="2692"/>
      <c r="D6" s="2692"/>
      <c r="E6" s="2692"/>
      <c r="F6" s="2692"/>
      <c r="G6" s="2692"/>
      <c r="H6" s="2692"/>
      <c r="I6" s="2692"/>
      <c r="J6" s="2692"/>
      <c r="K6" s="269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v>5</v>
      </c>
      <c r="E8" s="322"/>
      <c r="F8" s="1367" t="s">
        <v>1295</v>
      </c>
      <c r="G8" s="1438"/>
      <c r="H8" s="1439" t="s">
        <v>1307</v>
      </c>
      <c r="I8" s="1438" t="s">
        <v>2063</v>
      </c>
      <c r="J8" s="1440" t="s">
        <v>1306</v>
      </c>
      <c r="L8" s="322"/>
    </row>
    <row r="9" spans="1:12" ht="13.5" customHeight="1" x14ac:dyDescent="0.2">
      <c r="D9" s="322"/>
      <c r="E9" s="322"/>
      <c r="F9" s="322"/>
      <c r="G9" s="1366"/>
      <c r="H9" s="322"/>
      <c r="I9" s="1441" t="s">
        <v>1292</v>
      </c>
      <c r="J9" s="322"/>
      <c r="K9" s="1442">
        <v>2018</v>
      </c>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668" t="s">
        <v>2160</v>
      </c>
      <c r="G12" s="2668"/>
      <c r="H12" s="2668"/>
      <c r="I12" s="2668"/>
      <c r="J12" s="2668"/>
      <c r="K12" s="2668"/>
      <c r="L12" s="322"/>
    </row>
    <row r="13" spans="1:12" ht="9.6" customHeight="1" x14ac:dyDescent="0.2">
      <c r="B13" s="1251"/>
      <c r="C13" s="1251"/>
      <c r="D13" s="304"/>
      <c r="E13" s="322"/>
      <c r="F13" s="322"/>
      <c r="G13" s="1366"/>
      <c r="H13" s="322"/>
      <c r="I13" s="1366"/>
      <c r="J13" s="322"/>
      <c r="K13" s="1402"/>
      <c r="L13" s="322"/>
    </row>
    <row r="14" spans="1:12" ht="13.5" customHeight="1" x14ac:dyDescent="0.2">
      <c r="B14" s="1370" t="s">
        <v>1304</v>
      </c>
      <c r="C14" s="1370"/>
      <c r="D14" s="2693" t="s">
        <v>2134</v>
      </c>
      <c r="E14" s="2693"/>
      <c r="F14" s="2693"/>
      <c r="H14" s="1444" t="s">
        <v>1303</v>
      </c>
      <c r="I14" s="2694">
        <v>84.027000000000001</v>
      </c>
      <c r="J14" s="2694"/>
      <c r="K14" s="2694"/>
      <c r="L14" s="322"/>
    </row>
    <row r="15" spans="1:12" ht="9.4" customHeight="1" x14ac:dyDescent="0.2">
      <c r="B15" s="1370"/>
      <c r="C15" s="1370"/>
      <c r="D15" s="1356"/>
      <c r="E15" s="1254"/>
      <c r="F15" s="1254"/>
      <c r="G15" s="1277"/>
      <c r="H15" s="1254"/>
      <c r="I15" s="1445"/>
      <c r="J15" s="1282"/>
      <c r="K15" s="1279"/>
      <c r="L15" s="322"/>
    </row>
    <row r="16" spans="1:12" ht="13.5" customHeight="1" x14ac:dyDescent="0.2">
      <c r="B16" s="1370" t="s">
        <v>1302</v>
      </c>
      <c r="C16" s="1370"/>
      <c r="D16" s="2694" t="s">
        <v>2133</v>
      </c>
      <c r="E16" s="2694"/>
      <c r="F16" s="2694"/>
      <c r="G16" s="2694"/>
      <c r="H16" s="2694"/>
      <c r="I16" s="2694"/>
      <c r="J16" s="2694"/>
      <c r="K16" s="2694"/>
      <c r="L16" s="322"/>
    </row>
    <row r="17" spans="2:12" ht="13.5" customHeight="1" x14ac:dyDescent="0.2">
      <c r="B17" s="1370" t="s">
        <v>1301</v>
      </c>
      <c r="C17" s="1370"/>
      <c r="D17" s="2695" t="s">
        <v>2132</v>
      </c>
      <c r="E17" s="2695"/>
      <c r="F17" s="2695"/>
      <c r="G17" s="2695"/>
      <c r="H17" s="2695"/>
      <c r="I17" s="2695"/>
      <c r="J17" s="2695"/>
      <c r="K17" s="2695"/>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73.5" customHeight="1" x14ac:dyDescent="0.2">
      <c r="B20" s="2682" t="s">
        <v>2172</v>
      </c>
      <c r="C20" s="2682"/>
      <c r="D20" s="2682"/>
      <c r="E20" s="2682"/>
      <c r="F20" s="2682"/>
      <c r="G20" s="2682"/>
      <c r="H20" s="2682"/>
      <c r="I20" s="2682"/>
      <c r="J20" s="2682"/>
      <c r="K20" s="268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26.25" customHeight="1" x14ac:dyDescent="0.2">
      <c r="B23" s="2682" t="s">
        <v>2163</v>
      </c>
      <c r="C23" s="2682"/>
      <c r="D23" s="2682"/>
      <c r="E23" s="2682"/>
      <c r="F23" s="2682"/>
      <c r="G23" s="2682"/>
      <c r="H23" s="2682"/>
      <c r="I23" s="2682"/>
      <c r="J23" s="2682"/>
      <c r="K23" s="268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13.5" customHeight="1" x14ac:dyDescent="0.2">
      <c r="B26" s="2696" t="s">
        <v>2164</v>
      </c>
      <c r="C26" s="2696"/>
      <c r="D26" s="2696"/>
      <c r="E26" s="2696"/>
      <c r="F26" s="2696"/>
      <c r="G26" s="2696"/>
      <c r="H26" s="2696"/>
      <c r="I26" s="2696"/>
      <c r="J26" s="2696"/>
      <c r="K26" s="2696"/>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15" customHeight="1" x14ac:dyDescent="0.2">
      <c r="B29" s="2682" t="s">
        <v>2165</v>
      </c>
      <c r="C29" s="2682"/>
      <c r="D29" s="2682"/>
      <c r="E29" s="2682"/>
      <c r="F29" s="2682"/>
      <c r="G29" s="2682"/>
      <c r="H29" s="2682"/>
      <c r="I29" s="2682"/>
      <c r="J29" s="2682"/>
      <c r="K29" s="268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51.75" customHeight="1" x14ac:dyDescent="0.2">
      <c r="B32" s="2682" t="s">
        <v>2170</v>
      </c>
      <c r="C32" s="2682"/>
      <c r="D32" s="2682"/>
      <c r="E32" s="2682"/>
      <c r="F32" s="2682"/>
      <c r="G32" s="2682"/>
      <c r="H32" s="2682"/>
      <c r="I32" s="2682"/>
      <c r="J32" s="2682"/>
      <c r="K32" s="268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27.75" customHeight="1" x14ac:dyDescent="0.2">
      <c r="B35" s="2682" t="s">
        <v>2171</v>
      </c>
      <c r="C35" s="2682"/>
      <c r="D35" s="2682"/>
      <c r="E35" s="2682"/>
      <c r="F35" s="2682"/>
      <c r="G35" s="2682"/>
      <c r="H35" s="2682"/>
      <c r="I35" s="2682"/>
      <c r="J35" s="2682"/>
      <c r="K35" s="268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27" customHeight="1" x14ac:dyDescent="0.2">
      <c r="B38" s="2682" t="s">
        <v>2166</v>
      </c>
      <c r="C38" s="2682"/>
      <c r="D38" s="2682"/>
      <c r="E38" s="2682"/>
      <c r="F38" s="2682"/>
      <c r="G38" s="2682"/>
      <c r="H38" s="2682"/>
      <c r="I38" s="2682"/>
      <c r="J38" s="2682"/>
      <c r="K38" s="268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23.25" customHeight="1" x14ac:dyDescent="0.2">
      <c r="B41" s="2688" t="s">
        <v>2173</v>
      </c>
      <c r="C41" s="2688"/>
      <c r="D41" s="2688"/>
      <c r="E41" s="2688"/>
      <c r="F41" s="2688"/>
      <c r="G41" s="2688"/>
      <c r="H41" s="2688"/>
      <c r="I41" s="2688"/>
      <c r="J41" s="2688"/>
      <c r="K41" s="2688"/>
    </row>
    <row r="42" spans="2:12" s="322" customFormat="1" ht="4.5" customHeight="1" x14ac:dyDescent="0.2">
      <c r="B42" s="1385"/>
      <c r="C42" s="1385"/>
      <c r="G42" s="1366"/>
      <c r="I42" s="1366"/>
    </row>
    <row r="43" spans="2:12" s="322" customFormat="1" ht="13.5" customHeight="1" x14ac:dyDescent="0.2">
      <c r="B43" s="1967" t="s">
        <v>2131</v>
      </c>
      <c r="C43" s="1966"/>
      <c r="D43" s="1964"/>
      <c r="E43" s="1964"/>
      <c r="F43" s="1964"/>
      <c r="G43" s="1965"/>
      <c r="H43" s="1964"/>
      <c r="I43" s="1965"/>
      <c r="J43" s="1964"/>
      <c r="K43" s="1963"/>
      <c r="L43" s="1949"/>
    </row>
    <row r="44" spans="2:12" s="322" customFormat="1" ht="13.5" customHeight="1" x14ac:dyDescent="0.2">
      <c r="B44" s="1960" t="s">
        <v>2130</v>
      </c>
      <c r="C44" s="1959"/>
      <c r="D44" s="1962"/>
      <c r="E44" s="1961"/>
      <c r="F44" s="1958" t="s">
        <v>2129</v>
      </c>
      <c r="G44" s="1956"/>
      <c r="H44" s="1957"/>
      <c r="I44" s="1956"/>
      <c r="J44" s="1955"/>
      <c r="K44" s="1954"/>
      <c r="L44" s="1949"/>
    </row>
    <row r="45" spans="2:12" s="322" customFormat="1" ht="13.5" customHeight="1" x14ac:dyDescent="0.2">
      <c r="B45" s="1960" t="s">
        <v>2128</v>
      </c>
      <c r="C45" s="1959"/>
      <c r="D45" s="1955"/>
      <c r="E45" s="1957"/>
      <c r="F45" s="1958" t="s">
        <v>2127</v>
      </c>
      <c r="G45" s="1956"/>
      <c r="H45" s="1957"/>
      <c r="I45" s="1956"/>
      <c r="J45" s="1955"/>
      <c r="K45" s="1954"/>
      <c r="L45" s="1949"/>
    </row>
    <row r="46" spans="2:12" s="322" customFormat="1" ht="13.5" customHeight="1" x14ac:dyDescent="0.2">
      <c r="B46" s="1953"/>
      <c r="C46" s="1951"/>
      <c r="D46" s="1951"/>
      <c r="E46" s="1951"/>
      <c r="F46" s="1951"/>
      <c r="G46" s="1952"/>
      <c r="H46" s="1951"/>
      <c r="I46" s="1952"/>
      <c r="J46" s="1951"/>
      <c r="K46" s="1950"/>
      <c r="L46" s="1949"/>
    </row>
    <row r="47" spans="2:12" ht="7.5" customHeight="1" x14ac:dyDescent="0.25">
      <c r="B47" s="1451"/>
      <c r="C47" s="1451"/>
      <c r="D47" s="1452"/>
      <c r="E47" s="1452"/>
      <c r="F47" s="1452"/>
      <c r="G47" s="1453"/>
      <c r="H47" s="1452"/>
      <c r="I47" s="1453"/>
      <c r="J47" s="1452"/>
      <c r="K47" s="1452"/>
    </row>
    <row r="48" spans="2:12" ht="13.5" customHeight="1" x14ac:dyDescent="0.2">
      <c r="B48" s="1389" t="s">
        <v>1756</v>
      </c>
      <c r="C48" s="1389"/>
      <c r="D48" s="322"/>
      <c r="E48" s="322"/>
      <c r="F48" s="322"/>
    </row>
    <row r="49" spans="2:3" s="317" customFormat="1" ht="10.5" customHeight="1" x14ac:dyDescent="0.2">
      <c r="B49" s="1390" t="s">
        <v>1757</v>
      </c>
      <c r="C49" s="1390"/>
    </row>
    <row r="50" spans="2:3" s="317" customFormat="1" ht="11.1" customHeight="1" x14ac:dyDescent="0.2">
      <c r="B50" s="1390" t="s">
        <v>1758</v>
      </c>
      <c r="C50" s="1390"/>
    </row>
    <row r="51" spans="2:3" s="317" customFormat="1" ht="11.1" customHeight="1" x14ac:dyDescent="0.2">
      <c r="B51" s="1390" t="s">
        <v>1759</v>
      </c>
      <c r="C51" s="1390"/>
    </row>
    <row r="52" spans="2:3" s="317" customFormat="1" ht="11.1" customHeight="1" x14ac:dyDescent="0.2">
      <c r="B52" s="1390" t="s">
        <v>1760</v>
      </c>
      <c r="C52" s="139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90" t="s">
        <v>2068</v>
      </c>
      <c r="C1" s="2690"/>
      <c r="D1" s="2690"/>
      <c r="E1" s="2690"/>
      <c r="F1" s="2690"/>
      <c r="G1" s="2690"/>
      <c r="H1" s="2690"/>
      <c r="I1" s="2690"/>
      <c r="J1" s="2690"/>
      <c r="K1" s="2690"/>
      <c r="L1" s="1434"/>
    </row>
    <row r="2" spans="1:12" ht="12.75" customHeight="1" x14ac:dyDescent="0.2">
      <c r="B2" s="2691" t="s">
        <v>2066</v>
      </c>
      <c r="C2" s="2691"/>
      <c r="D2" s="2691"/>
      <c r="E2" s="2691"/>
      <c r="F2" s="2691"/>
      <c r="G2" s="2691"/>
      <c r="H2" s="2691"/>
      <c r="I2" s="2691"/>
      <c r="J2" s="2691"/>
      <c r="K2" s="2691"/>
      <c r="L2" s="1435"/>
    </row>
    <row r="3" spans="1:12" ht="12.75" customHeight="1" x14ac:dyDescent="0.2">
      <c r="B3" s="2683" t="s">
        <v>1285</v>
      </c>
      <c r="C3" s="2683"/>
      <c r="D3" s="2683"/>
      <c r="E3" s="2683"/>
      <c r="F3" s="2683"/>
      <c r="G3" s="2683"/>
      <c r="H3" s="2683"/>
      <c r="I3" s="2683"/>
      <c r="J3" s="2683"/>
      <c r="K3" s="2683"/>
      <c r="L3" s="1923"/>
    </row>
    <row r="4" spans="1:12" ht="12.75" customHeight="1" x14ac:dyDescent="0.2">
      <c r="B4" s="2683" t="s">
        <v>1982</v>
      </c>
      <c r="C4" s="2683"/>
      <c r="D4" s="2683"/>
      <c r="E4" s="2683"/>
      <c r="F4" s="2683"/>
      <c r="G4" s="2683"/>
      <c r="H4" s="2683"/>
      <c r="I4" s="2683"/>
      <c r="J4" s="2683"/>
      <c r="K4" s="2683"/>
      <c r="L4" s="1923"/>
    </row>
    <row r="5" spans="1:12" ht="5.25" customHeight="1" x14ac:dyDescent="0.2">
      <c r="B5" s="1254" t="s">
        <v>1169</v>
      </c>
      <c r="C5" s="1254"/>
      <c r="L5" s="322"/>
    </row>
    <row r="6" spans="1:12" ht="30.75" customHeight="1" x14ac:dyDescent="0.2">
      <c r="A6" s="322"/>
      <c r="B6" s="2692" t="s">
        <v>1308</v>
      </c>
      <c r="C6" s="2692"/>
      <c r="D6" s="2692"/>
      <c r="E6" s="2692"/>
      <c r="F6" s="2692"/>
      <c r="G6" s="2692"/>
      <c r="H6" s="2692"/>
      <c r="I6" s="2692"/>
      <c r="J6" s="2692"/>
      <c r="K6" s="2692"/>
      <c r="L6" s="322"/>
    </row>
    <row r="7" spans="1:12" ht="4.5" customHeight="1" x14ac:dyDescent="0.2">
      <c r="B7" s="1362"/>
      <c r="C7" s="1362"/>
      <c r="D7" s="1362"/>
      <c r="E7" s="1362"/>
      <c r="F7" s="1362"/>
      <c r="G7" s="1363"/>
      <c r="H7" s="1362"/>
      <c r="I7" s="1363"/>
      <c r="J7" s="1362"/>
      <c r="K7" s="1362"/>
      <c r="L7" s="322"/>
    </row>
    <row r="8" spans="1:12" ht="13.5" customHeight="1" x14ac:dyDescent="0.2">
      <c r="B8" s="1370" t="s">
        <v>1751</v>
      </c>
      <c r="C8" s="1436" t="s">
        <v>1984</v>
      </c>
      <c r="D8" s="1437">
        <v>6</v>
      </c>
      <c r="E8" s="322"/>
      <c r="F8" s="1367" t="s">
        <v>1295</v>
      </c>
      <c r="G8" s="1438" t="s">
        <v>2063</v>
      </c>
      <c r="H8" s="1439" t="s">
        <v>1307</v>
      </c>
      <c r="I8" s="1438"/>
      <c r="J8" s="1440" t="s">
        <v>1306</v>
      </c>
      <c r="L8" s="322"/>
    </row>
    <row r="9" spans="1:12" ht="13.5" customHeight="1" x14ac:dyDescent="0.2">
      <c r="D9" s="322"/>
      <c r="E9" s="322"/>
      <c r="F9" s="322"/>
      <c r="G9" s="1366"/>
      <c r="H9" s="322"/>
      <c r="I9" s="1441" t="s">
        <v>1292</v>
      </c>
      <c r="J9" s="322"/>
      <c r="K9" s="1442"/>
      <c r="L9" s="322"/>
    </row>
    <row r="10" spans="1:12" ht="4.5" customHeight="1" x14ac:dyDescent="0.2">
      <c r="B10" s="1443"/>
      <c r="C10" s="1443"/>
      <c r="D10" s="1397"/>
      <c r="E10" s="1397"/>
      <c r="F10" s="1397"/>
      <c r="G10" s="1398"/>
      <c r="H10" s="1397"/>
      <c r="I10" s="1398"/>
      <c r="J10" s="1397"/>
      <c r="K10" s="1397"/>
      <c r="L10" s="322"/>
    </row>
    <row r="11" spans="1:12" ht="5.25" customHeight="1" x14ac:dyDescent="0.2">
      <c r="B11" s="322"/>
      <c r="C11" s="322"/>
      <c r="D11" s="304"/>
      <c r="E11" s="322"/>
      <c r="F11" s="322"/>
      <c r="G11" s="1366"/>
      <c r="H11" s="322"/>
      <c r="I11" s="1366"/>
      <c r="J11" s="322"/>
      <c r="K11" s="1402"/>
      <c r="L11" s="322"/>
    </row>
    <row r="12" spans="1:12" ht="13.5" customHeight="1" x14ac:dyDescent="0.2">
      <c r="B12" s="1367" t="s">
        <v>1305</v>
      </c>
      <c r="C12" s="1367"/>
      <c r="D12" s="304"/>
      <c r="E12" s="322"/>
      <c r="F12" s="2668" t="s">
        <v>2160</v>
      </c>
      <c r="G12" s="2668"/>
      <c r="H12" s="2668"/>
      <c r="I12" s="2668"/>
      <c r="J12" s="2668"/>
      <c r="K12" s="2668"/>
      <c r="L12" s="322"/>
    </row>
    <row r="13" spans="1:12" ht="9.6" customHeight="1" x14ac:dyDescent="0.2">
      <c r="B13" s="1251"/>
      <c r="C13" s="1251"/>
      <c r="D13" s="304"/>
      <c r="E13" s="322"/>
      <c r="F13" s="322"/>
      <c r="G13" s="1366"/>
      <c r="H13" s="322"/>
      <c r="I13" s="1366"/>
      <c r="J13" s="322"/>
      <c r="K13" s="1402"/>
      <c r="L13" s="322"/>
    </row>
    <row r="14" spans="1:12" ht="13.5" customHeight="1" x14ac:dyDescent="0.2">
      <c r="B14" s="1370" t="s">
        <v>1304</v>
      </c>
      <c r="C14" s="1370"/>
      <c r="D14" s="2693" t="s">
        <v>2134</v>
      </c>
      <c r="E14" s="2693"/>
      <c r="F14" s="2693"/>
      <c r="H14" s="1444" t="s">
        <v>1303</v>
      </c>
      <c r="I14" s="2694">
        <v>84.027000000000001</v>
      </c>
      <c r="J14" s="2694"/>
      <c r="K14" s="2694"/>
      <c r="L14" s="322"/>
    </row>
    <row r="15" spans="1:12" ht="9.4" customHeight="1" x14ac:dyDescent="0.2">
      <c r="B15" s="1370"/>
      <c r="C15" s="1370"/>
      <c r="D15" s="1356"/>
      <c r="E15" s="1254"/>
      <c r="F15" s="1254"/>
      <c r="G15" s="1277"/>
      <c r="H15" s="1254"/>
      <c r="I15" s="1445"/>
      <c r="J15" s="1282"/>
      <c r="K15" s="1279"/>
      <c r="L15" s="322"/>
    </row>
    <row r="16" spans="1:12" ht="13.5" customHeight="1" x14ac:dyDescent="0.2">
      <c r="B16" s="1370" t="s">
        <v>1302</v>
      </c>
      <c r="C16" s="1370"/>
      <c r="D16" s="2694" t="s">
        <v>2133</v>
      </c>
      <c r="E16" s="2694"/>
      <c r="F16" s="2694"/>
      <c r="G16" s="2694"/>
      <c r="H16" s="2694"/>
      <c r="I16" s="2694"/>
      <c r="J16" s="2694"/>
      <c r="K16" s="2694"/>
      <c r="L16" s="322"/>
    </row>
    <row r="17" spans="2:12" ht="13.5" customHeight="1" x14ac:dyDescent="0.2">
      <c r="B17" s="1370" t="s">
        <v>1301</v>
      </c>
      <c r="C17" s="1370"/>
      <c r="D17" s="2695" t="s">
        <v>2132</v>
      </c>
      <c r="E17" s="2695"/>
      <c r="F17" s="2695"/>
      <c r="G17" s="2695"/>
      <c r="H17" s="2695"/>
      <c r="I17" s="2695"/>
      <c r="J17" s="2695"/>
      <c r="K17" s="2695"/>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6" t="s">
        <v>1300</v>
      </c>
      <c r="C19" s="1446"/>
      <c r="D19" s="328"/>
      <c r="E19" s="328"/>
      <c r="F19" s="328"/>
      <c r="G19" s="1447"/>
      <c r="H19" s="328"/>
      <c r="I19" s="1447"/>
      <c r="J19" s="322"/>
      <c r="K19" s="322"/>
      <c r="L19" s="322"/>
    </row>
    <row r="20" spans="2:12" ht="106.5" customHeight="1" x14ac:dyDescent="0.2">
      <c r="B20" s="2682" t="s">
        <v>2185</v>
      </c>
      <c r="C20" s="2682"/>
      <c r="D20" s="2682"/>
      <c r="E20" s="2682"/>
      <c r="F20" s="2682"/>
      <c r="G20" s="2682"/>
      <c r="H20" s="2682"/>
      <c r="I20" s="2682"/>
      <c r="J20" s="2682"/>
      <c r="K20" s="2682"/>
      <c r="L20" s="1402"/>
    </row>
    <row r="21" spans="2:12" ht="4.5" customHeight="1" x14ac:dyDescent="0.2">
      <c r="B21" s="1448"/>
      <c r="C21" s="1448"/>
      <c r="D21" s="1449"/>
      <c r="E21" s="1449"/>
      <c r="F21" s="1449"/>
      <c r="G21" s="1398"/>
      <c r="H21" s="1449"/>
      <c r="I21" s="1398"/>
      <c r="J21" s="1449"/>
      <c r="K21" s="1449"/>
      <c r="L21" s="1402"/>
    </row>
    <row r="22" spans="2:12" ht="13.35" customHeight="1" x14ac:dyDescent="0.2">
      <c r="B22" s="1446" t="s">
        <v>1752</v>
      </c>
      <c r="C22" s="1446"/>
      <c r="D22" s="322"/>
      <c r="E22" s="322"/>
      <c r="F22" s="322"/>
      <c r="G22" s="1366"/>
      <c r="H22" s="322"/>
      <c r="I22" s="1366"/>
      <c r="J22" s="322"/>
      <c r="K22" s="322"/>
      <c r="L22" s="322"/>
    </row>
    <row r="23" spans="2:12" ht="26.25" customHeight="1" x14ac:dyDescent="0.2">
      <c r="B23" s="2682" t="s">
        <v>2174</v>
      </c>
      <c r="C23" s="2682"/>
      <c r="D23" s="2682"/>
      <c r="E23" s="2682"/>
      <c r="F23" s="2682"/>
      <c r="G23" s="2682"/>
      <c r="H23" s="2682"/>
      <c r="I23" s="2682"/>
      <c r="J23" s="2682"/>
      <c r="K23" s="2682"/>
      <c r="L23" s="322"/>
    </row>
    <row r="24" spans="2:12" ht="4.5" customHeight="1" x14ac:dyDescent="0.2">
      <c r="B24" s="1448"/>
      <c r="C24" s="1448"/>
      <c r="D24" s="1397"/>
      <c r="E24" s="1397"/>
      <c r="F24" s="1397"/>
      <c r="G24" s="1398"/>
      <c r="H24" s="1397"/>
      <c r="I24" s="1398"/>
      <c r="J24" s="1397"/>
      <c r="K24" s="1397"/>
      <c r="L24" s="322"/>
    </row>
    <row r="25" spans="2:12" ht="13.5" customHeight="1" x14ac:dyDescent="0.2">
      <c r="B25" s="1446" t="s">
        <v>1753</v>
      </c>
      <c r="C25" s="1446"/>
      <c r="D25" s="322"/>
      <c r="E25" s="322"/>
      <c r="F25" s="322"/>
      <c r="G25" s="1366"/>
      <c r="H25" s="322"/>
      <c r="I25" s="1366"/>
      <c r="J25" s="322"/>
      <c r="K25" s="322"/>
      <c r="L25" s="322"/>
    </row>
    <row r="26" spans="2:12" ht="15" customHeight="1" x14ac:dyDescent="0.2">
      <c r="B26" s="2696" t="s">
        <v>2164</v>
      </c>
      <c r="C26" s="2696"/>
      <c r="D26" s="2696"/>
      <c r="E26" s="2696"/>
      <c r="F26" s="2696"/>
      <c r="G26" s="2696"/>
      <c r="H26" s="2696"/>
      <c r="I26" s="2696"/>
      <c r="J26" s="2696"/>
      <c r="K26" s="2696"/>
      <c r="L26" s="322"/>
    </row>
    <row r="27" spans="2:12" ht="4.5" customHeight="1" x14ac:dyDescent="0.2">
      <c r="B27" s="1450"/>
      <c r="C27" s="1450"/>
      <c r="D27" s="1450"/>
      <c r="E27" s="1397"/>
      <c r="F27" s="1397"/>
      <c r="G27" s="1398"/>
      <c r="H27" s="1397"/>
      <c r="I27" s="1398"/>
      <c r="J27" s="1397"/>
      <c r="K27" s="1397"/>
      <c r="L27" s="322"/>
    </row>
    <row r="28" spans="2:12" ht="13.5" customHeight="1" x14ac:dyDescent="0.2">
      <c r="B28" s="1446" t="s">
        <v>1754</v>
      </c>
      <c r="C28" s="1446"/>
      <c r="D28" s="322"/>
      <c r="E28" s="322"/>
      <c r="F28" s="322"/>
      <c r="G28" s="1366"/>
      <c r="H28" s="322"/>
      <c r="I28" s="1366"/>
      <c r="J28" s="322"/>
      <c r="K28" s="322"/>
      <c r="L28" s="322"/>
    </row>
    <row r="29" spans="2:12" ht="21.75" customHeight="1" x14ac:dyDescent="0.2">
      <c r="B29" s="2682" t="s">
        <v>2177</v>
      </c>
      <c r="C29" s="2682"/>
      <c r="D29" s="2682"/>
      <c r="E29" s="2682"/>
      <c r="F29" s="2682"/>
      <c r="G29" s="2682"/>
      <c r="H29" s="2682"/>
      <c r="I29" s="2682"/>
      <c r="J29" s="2682"/>
      <c r="K29" s="2682"/>
      <c r="L29" s="322"/>
    </row>
    <row r="30" spans="2:12" ht="4.5" customHeight="1" x14ac:dyDescent="0.2">
      <c r="B30" s="1448"/>
      <c r="C30" s="1448"/>
      <c r="D30" s="1397"/>
      <c r="E30" s="1397"/>
      <c r="F30" s="1397"/>
      <c r="G30" s="1398"/>
      <c r="H30" s="1397"/>
      <c r="I30" s="1398"/>
      <c r="J30" s="1397"/>
      <c r="K30" s="1397"/>
      <c r="L30" s="322"/>
    </row>
    <row r="31" spans="2:12" ht="13.5" customHeight="1" x14ac:dyDescent="0.2">
      <c r="B31" s="1446" t="s">
        <v>1299</v>
      </c>
      <c r="C31" s="1446"/>
      <c r="D31" s="322"/>
      <c r="E31" s="322"/>
      <c r="F31" s="322"/>
      <c r="G31" s="1366"/>
      <c r="H31" s="322"/>
      <c r="I31" s="1366"/>
      <c r="J31" s="322"/>
      <c r="K31" s="322"/>
      <c r="L31" s="322"/>
    </row>
    <row r="32" spans="2:12" ht="35.25" customHeight="1" x14ac:dyDescent="0.2">
      <c r="B32" s="2682" t="s">
        <v>2168</v>
      </c>
      <c r="C32" s="2682"/>
      <c r="D32" s="2682"/>
      <c r="E32" s="2682"/>
      <c r="F32" s="2682"/>
      <c r="G32" s="2682"/>
      <c r="H32" s="2682"/>
      <c r="I32" s="2682"/>
      <c r="J32" s="2682"/>
      <c r="K32" s="2682"/>
      <c r="L32" s="322"/>
    </row>
    <row r="33" spans="2:12" ht="4.5" customHeight="1" x14ac:dyDescent="0.2">
      <c r="B33" s="1448"/>
      <c r="C33" s="1448"/>
      <c r="D33" s="1397"/>
      <c r="E33" s="1397"/>
      <c r="F33" s="1397"/>
      <c r="G33" s="1398"/>
      <c r="H33" s="1397"/>
      <c r="I33" s="1398"/>
      <c r="J33" s="1397"/>
      <c r="K33" s="1397"/>
      <c r="L33" s="322"/>
    </row>
    <row r="34" spans="2:12" ht="13.5" customHeight="1" x14ac:dyDescent="0.2">
      <c r="B34" s="1367" t="s">
        <v>1298</v>
      </c>
      <c r="C34" s="1367"/>
      <c r="D34" s="322"/>
      <c r="E34" s="322"/>
      <c r="F34" s="322"/>
      <c r="G34" s="1366"/>
      <c r="H34" s="322"/>
      <c r="I34" s="1366"/>
      <c r="J34" s="322"/>
      <c r="K34" s="322"/>
      <c r="L34" s="322"/>
    </row>
    <row r="35" spans="2:12" ht="27.75" customHeight="1" x14ac:dyDescent="0.2">
      <c r="B35" s="2682" t="s">
        <v>2175</v>
      </c>
      <c r="C35" s="2682"/>
      <c r="D35" s="2682"/>
      <c r="E35" s="2682"/>
      <c r="F35" s="2682"/>
      <c r="G35" s="2682"/>
      <c r="H35" s="2682"/>
      <c r="I35" s="2682"/>
      <c r="J35" s="2682"/>
      <c r="K35" s="2682"/>
      <c r="L35" s="322"/>
    </row>
    <row r="36" spans="2:12" ht="4.5" customHeight="1" x14ac:dyDescent="0.2">
      <c r="B36" s="1448"/>
      <c r="C36" s="1448"/>
      <c r="D36" s="1397"/>
      <c r="E36" s="1397"/>
      <c r="F36" s="1397"/>
      <c r="G36" s="1398"/>
      <c r="H36" s="1397"/>
      <c r="I36" s="1398"/>
      <c r="J36" s="1397"/>
      <c r="K36" s="1397"/>
      <c r="L36" s="322"/>
    </row>
    <row r="37" spans="2:12" ht="13.5" customHeight="1" x14ac:dyDescent="0.2">
      <c r="B37" s="1367" t="s">
        <v>1297</v>
      </c>
      <c r="C37" s="1367"/>
      <c r="D37" s="322"/>
      <c r="E37" s="322"/>
      <c r="F37" s="322"/>
      <c r="G37" s="1366"/>
      <c r="H37" s="322"/>
      <c r="I37" s="1366"/>
      <c r="J37" s="322"/>
      <c r="K37" s="322"/>
      <c r="L37" s="322"/>
    </row>
    <row r="38" spans="2:12" ht="27" customHeight="1" x14ac:dyDescent="0.2">
      <c r="B38" s="2682" t="s">
        <v>2167</v>
      </c>
      <c r="C38" s="2682"/>
      <c r="D38" s="2682"/>
      <c r="E38" s="2682"/>
      <c r="F38" s="2682"/>
      <c r="G38" s="2682"/>
      <c r="H38" s="2682"/>
      <c r="I38" s="2682"/>
      <c r="J38" s="2682"/>
      <c r="K38" s="2682"/>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1755</v>
      </c>
      <c r="C40" s="1386"/>
      <c r="D40" s="1361"/>
      <c r="E40" s="1362"/>
      <c r="F40" s="1362"/>
      <c r="G40" s="1363"/>
      <c r="H40" s="1362"/>
      <c r="I40" s="1363"/>
      <c r="J40" s="1362"/>
      <c r="K40" s="1362"/>
    </row>
    <row r="41" spans="2:12" s="322" customFormat="1" ht="23.25" customHeight="1" x14ac:dyDescent="0.2">
      <c r="B41" s="2688" t="s">
        <v>2176</v>
      </c>
      <c r="C41" s="2688"/>
      <c r="D41" s="2688"/>
      <c r="E41" s="2688"/>
      <c r="F41" s="2688"/>
      <c r="G41" s="2688"/>
      <c r="H41" s="2688"/>
      <c r="I41" s="2688"/>
      <c r="J41" s="2688"/>
      <c r="K41" s="2688"/>
    </row>
    <row r="42" spans="2:12" s="322" customFormat="1" ht="4.5" customHeight="1" x14ac:dyDescent="0.2">
      <c r="B42" s="1385"/>
      <c r="C42" s="1385"/>
      <c r="G42" s="1366"/>
      <c r="I42" s="1366"/>
    </row>
    <row r="43" spans="2:12" s="322" customFormat="1" ht="13.5" customHeight="1" x14ac:dyDescent="0.2">
      <c r="B43" s="1967" t="s">
        <v>2131</v>
      </c>
      <c r="C43" s="1966"/>
      <c r="D43" s="1964"/>
      <c r="E43" s="1964"/>
      <c r="F43" s="1964"/>
      <c r="G43" s="1965"/>
      <c r="H43" s="1964"/>
      <c r="I43" s="1965"/>
      <c r="J43" s="1964"/>
      <c r="K43" s="1963"/>
      <c r="L43" s="1949"/>
    </row>
    <row r="44" spans="2:12" s="322" customFormat="1" ht="13.5" customHeight="1" x14ac:dyDescent="0.2">
      <c r="B44" s="1960" t="s">
        <v>2130</v>
      </c>
      <c r="C44" s="1959"/>
      <c r="D44" s="1962"/>
      <c r="E44" s="1961"/>
      <c r="F44" s="1958" t="s">
        <v>2129</v>
      </c>
      <c r="G44" s="1956"/>
      <c r="H44" s="1957"/>
      <c r="I44" s="1956"/>
      <c r="J44" s="1955"/>
      <c r="K44" s="1954"/>
      <c r="L44" s="1949"/>
    </row>
    <row r="45" spans="2:12" s="322" customFormat="1" ht="13.5" customHeight="1" x14ac:dyDescent="0.2">
      <c r="B45" s="1960" t="s">
        <v>2128</v>
      </c>
      <c r="C45" s="1959"/>
      <c r="D45" s="1955"/>
      <c r="E45" s="1957"/>
      <c r="F45" s="1958" t="s">
        <v>2127</v>
      </c>
      <c r="G45" s="1956"/>
      <c r="H45" s="1957"/>
      <c r="I45" s="1956"/>
      <c r="J45" s="1955"/>
      <c r="K45" s="1954"/>
      <c r="L45" s="1949"/>
    </row>
    <row r="46" spans="2:12" s="322" customFormat="1" ht="13.5" customHeight="1" x14ac:dyDescent="0.2">
      <c r="B46" s="1953"/>
      <c r="C46" s="1951"/>
      <c r="D46" s="1951"/>
      <c r="E46" s="1951"/>
      <c r="F46" s="1951"/>
      <c r="G46" s="1952"/>
      <c r="H46" s="1951"/>
      <c r="I46" s="1952"/>
      <c r="J46" s="1951"/>
      <c r="K46" s="1950"/>
      <c r="L46" s="1949"/>
    </row>
    <row r="47" spans="2:12" ht="7.5" customHeight="1" x14ac:dyDescent="0.25">
      <c r="B47" s="1451"/>
      <c r="C47" s="1451"/>
      <c r="D47" s="1452"/>
      <c r="E47" s="1452"/>
      <c r="F47" s="1452"/>
      <c r="G47" s="1453"/>
      <c r="H47" s="1452"/>
      <c r="I47" s="1453"/>
      <c r="J47" s="1452"/>
      <c r="K47" s="1452"/>
    </row>
    <row r="48" spans="2:12" ht="13.5" customHeight="1" x14ac:dyDescent="0.2">
      <c r="B48" s="1389" t="s">
        <v>1756</v>
      </c>
      <c r="C48" s="1389"/>
      <c r="D48" s="322"/>
      <c r="E48" s="322"/>
      <c r="F48" s="322"/>
    </row>
    <row r="49" spans="2:3" s="317" customFormat="1" ht="10.5" customHeight="1" x14ac:dyDescent="0.2">
      <c r="B49" s="1390" t="s">
        <v>1757</v>
      </c>
      <c r="C49" s="1390"/>
    </row>
    <row r="50" spans="2:3" s="317" customFormat="1" ht="11.1" customHeight="1" x14ac:dyDescent="0.2">
      <c r="B50" s="1390" t="s">
        <v>1758</v>
      </c>
      <c r="C50" s="1390"/>
    </row>
    <row r="51" spans="2:3" s="317" customFormat="1" ht="11.1" customHeight="1" x14ac:dyDescent="0.2">
      <c r="B51" s="1390" t="s">
        <v>1759</v>
      </c>
      <c r="C51" s="1390"/>
    </row>
    <row r="52" spans="2:3" s="317" customFormat="1" ht="11.1" customHeight="1" x14ac:dyDescent="0.2">
      <c r="B52" s="1390" t="s">
        <v>1760</v>
      </c>
      <c r="C52" s="139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4" t="s">
        <v>386</v>
      </c>
      <c r="B1" s="2284"/>
      <c r="C1" s="2284"/>
      <c r="D1" s="2284"/>
      <c r="E1" s="2284"/>
      <c r="F1" s="2284"/>
      <c r="G1" s="2284"/>
      <c r="H1" s="2284"/>
      <c r="I1" s="2284"/>
      <c r="J1" s="2284"/>
      <c r="K1" s="2284"/>
      <c r="L1" s="2284"/>
      <c r="M1" s="22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06">
        <f>ROUND(D10+F10+H10,5)</f>
        <v>0</v>
      </c>
      <c r="K10" s="222"/>
      <c r="L10" s="355"/>
      <c r="M10" s="222"/>
    </row>
    <row r="11" spans="1:14" ht="7.5" customHeight="1" x14ac:dyDescent="0.2">
      <c r="B11" s="222"/>
      <c r="C11" s="222"/>
      <c r="D11" s="2294" t="str">
        <f>IF(SUM(J10)&lt;=0.0999999,"","Enter the Tax Rates by moving the decimal two places to the left.")</f>
        <v/>
      </c>
      <c r="E11" s="2295"/>
      <c r="F11" s="2295"/>
      <c r="G11" s="2295"/>
      <c r="H11" s="2295"/>
      <c r="I11" s="2295"/>
      <c r="J11" s="22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7">
        <f>SUM('Acct Summary 7-8'!C8,'Acct Summary 7-8'!D8,'Acct Summary 7-8'!F8,'Acct Summary 7-8'!I8)</f>
        <v>17105688</v>
      </c>
      <c r="E16" s="356"/>
      <c r="F16" s="1707">
        <f>SUM('Acct Summary 7-8'!C17,'Acct Summary 7-8'!D17,'Acct Summary 7-8'!F17)</f>
        <v>17016222</v>
      </c>
      <c r="G16" s="356"/>
      <c r="H16" s="1707">
        <f>SUM(D16-F16)</f>
        <v>89466</v>
      </c>
      <c r="I16" s="222"/>
      <c r="J16" s="1707">
        <f>SUM('Acct Summary 7-8'!C81,'Acct Summary 7-8'!D81,'Acct Summary 7-8'!F81,'Acct Summary 7-8'!I81)</f>
        <v>2483275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7">
        <f>'Short-Term Long-Term Debt 24'!F4</f>
        <v>0</v>
      </c>
      <c r="E22" s="356" t="s">
        <v>1005</v>
      </c>
      <c r="F22" s="1707">
        <f>'Short-Term Long-Term Debt 24'!F15</f>
        <v>0</v>
      </c>
      <c r="G22" s="356" t="s">
        <v>1005</v>
      </c>
      <c r="H22" s="1707">
        <f>'Short-Term Long-Term Debt 24'!F21</f>
        <v>0</v>
      </c>
      <c r="I22" s="356" t="s">
        <v>1005</v>
      </c>
      <c r="J22" s="1707">
        <f>'Short-Term Long-Term Debt 24'!F23</f>
        <v>0</v>
      </c>
      <c r="K22" s="356" t="s">
        <v>1005</v>
      </c>
      <c r="L22" s="170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7">
        <f>'Short-Term Long-Term Debt 24'!F27</f>
        <v>0</v>
      </c>
      <c r="E24" s="356" t="s">
        <v>1006</v>
      </c>
      <c r="F24" s="1708">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9">
        <f>IF(B31="X",(J7*0.069),IF(B32="X",(J7*0.138),"Enter x in a.or b."))</f>
        <v>0</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8">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85"/>
      <c r="C54" s="2286"/>
      <c r="D54" s="2286"/>
      <c r="E54" s="2286"/>
      <c r="F54" s="2286"/>
      <c r="G54" s="2286"/>
      <c r="H54" s="2286"/>
      <c r="I54" s="2286"/>
      <c r="J54" s="2286"/>
      <c r="K54" s="2286"/>
      <c r="L54" s="2287"/>
      <c r="M54" s="380"/>
    </row>
    <row r="55" spans="1:13" ht="12.75" customHeight="1" x14ac:dyDescent="0.2">
      <c r="B55" s="2288"/>
      <c r="C55" s="2289"/>
      <c r="D55" s="2289"/>
      <c r="E55" s="2289"/>
      <c r="F55" s="2289"/>
      <c r="G55" s="2289"/>
      <c r="H55" s="2289"/>
      <c r="I55" s="2289"/>
      <c r="J55" s="2289"/>
      <c r="K55" s="2289"/>
      <c r="L55" s="2290"/>
      <c r="M55" s="380"/>
    </row>
    <row r="56" spans="1:13" ht="12.75" customHeight="1" x14ac:dyDescent="0.2">
      <c r="B56" s="2288"/>
      <c r="C56" s="2289"/>
      <c r="D56" s="2289"/>
      <c r="E56" s="2289"/>
      <c r="F56" s="2289"/>
      <c r="G56" s="2289"/>
      <c r="H56" s="2289"/>
      <c r="I56" s="2289"/>
      <c r="J56" s="2289"/>
      <c r="K56" s="2289"/>
      <c r="L56" s="2290"/>
      <c r="M56" s="222"/>
    </row>
    <row r="57" spans="1:13" ht="12.75" customHeight="1" x14ac:dyDescent="0.2">
      <c r="B57" s="2288"/>
      <c r="C57" s="2289"/>
      <c r="D57" s="2289"/>
      <c r="E57" s="2289"/>
      <c r="F57" s="2289"/>
      <c r="G57" s="2289"/>
      <c r="H57" s="2289"/>
      <c r="I57" s="2289"/>
      <c r="J57" s="2289"/>
      <c r="K57" s="2289"/>
      <c r="L57" s="2290"/>
      <c r="M57" s="222"/>
    </row>
    <row r="58" spans="1:13" x14ac:dyDescent="0.2">
      <c r="B58" s="2291"/>
      <c r="C58" s="2292"/>
      <c r="D58" s="2292"/>
      <c r="E58" s="2292"/>
      <c r="F58" s="2292"/>
      <c r="G58" s="2292"/>
      <c r="H58" s="2292"/>
      <c r="I58" s="2292"/>
      <c r="J58" s="2292"/>
      <c r="K58" s="2292"/>
      <c r="L58" s="22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6"/>
      <c r="D61" s="22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8:G79"/>
  <sheetViews>
    <sheetView showGridLines="0" zoomScale="110" zoomScaleNormal="110" workbookViewId="0"/>
  </sheetViews>
  <sheetFormatPr defaultColWidth="9.140625" defaultRowHeight="12.75" x14ac:dyDescent="0.2"/>
  <cols>
    <col min="1" max="1" width="1.5703125" style="316" customWidth="1"/>
    <col min="2" max="2" width="11.28515625" style="316" customWidth="1"/>
    <col min="3" max="3" width="73" style="316" customWidth="1"/>
    <col min="4" max="4" width="16.28515625" style="316" bestFit="1" customWidth="1"/>
    <col min="5" max="5" width="8.140625" style="316" customWidth="1"/>
    <col min="6" max="9" width="9.140625" style="316"/>
    <col min="10" max="10" width="6.7109375" style="316" customWidth="1"/>
    <col min="11" max="16384" width="9.140625" style="316"/>
  </cols>
  <sheetData>
    <row r="8" spans="2:7" x14ac:dyDescent="0.2">
      <c r="G8" s="1084"/>
    </row>
    <row r="12" spans="2:7" s="1209" customFormat="1" ht="12.75" customHeight="1" x14ac:dyDescent="0.2">
      <c r="B12" s="2697" t="s">
        <v>2068</v>
      </c>
      <c r="C12" s="2697"/>
      <c r="D12" s="2697"/>
      <c r="E12" s="1908"/>
    </row>
    <row r="13" spans="2:7" s="1209" customFormat="1" ht="12.75" customHeight="1" x14ac:dyDescent="0.2">
      <c r="B13" s="2698" t="s">
        <v>2066</v>
      </c>
      <c r="C13" s="2698"/>
      <c r="D13" s="2698"/>
      <c r="E13" s="1909"/>
    </row>
    <row r="14" spans="2:7" ht="12.75" customHeight="1" x14ac:dyDescent="0.2">
      <c r="B14" s="2699" t="s">
        <v>1761</v>
      </c>
      <c r="C14" s="2699"/>
      <c r="D14" s="2699"/>
      <c r="E14" s="1910"/>
    </row>
    <row r="15" spans="2:7" s="1209" customFormat="1" ht="12" x14ac:dyDescent="0.2">
      <c r="B15" s="2699" t="s">
        <v>1982</v>
      </c>
      <c r="C15" s="2699"/>
      <c r="D15" s="2699"/>
      <c r="E15" s="1908"/>
    </row>
    <row r="16" spans="2:7" s="1209" customFormat="1" ht="12" x14ac:dyDescent="0.2">
      <c r="B16" s="1911"/>
    </row>
    <row r="17" spans="2:5" s="1209" customFormat="1" ht="13.5" customHeight="1" x14ac:dyDescent="0.2">
      <c r="B17" s="1912" t="s">
        <v>1315</v>
      </c>
      <c r="C17" s="1912" t="s">
        <v>1314</v>
      </c>
      <c r="D17" s="1912" t="s">
        <v>1762</v>
      </c>
    </row>
    <row r="18" spans="2:5" ht="13.5" customHeight="1" x14ac:dyDescent="0.2">
      <c r="B18" s="1455" t="s">
        <v>2088</v>
      </c>
      <c r="C18" s="323" t="s">
        <v>2094</v>
      </c>
      <c r="D18" s="323" t="s">
        <v>2150</v>
      </c>
      <c r="E18" s="323"/>
    </row>
    <row r="19" spans="2:5" x14ac:dyDescent="0.2">
      <c r="B19" s="1920" t="s">
        <v>2089</v>
      </c>
      <c r="C19" s="2682" t="s">
        <v>2096</v>
      </c>
      <c r="D19" s="323" t="s">
        <v>2151</v>
      </c>
      <c r="E19" s="323"/>
    </row>
    <row r="20" spans="2:5" x14ac:dyDescent="0.2">
      <c r="B20" s="1920"/>
      <c r="C20" s="2682"/>
      <c r="D20" s="323"/>
      <c r="E20" s="323"/>
    </row>
    <row r="21" spans="2:5" x14ac:dyDescent="0.2">
      <c r="B21" s="1455" t="s">
        <v>2090</v>
      </c>
      <c r="C21" s="1919" t="s">
        <v>2095</v>
      </c>
      <c r="D21" s="323" t="s">
        <v>2151</v>
      </c>
      <c r="E21" s="323"/>
    </row>
    <row r="22" spans="2:5" x14ac:dyDescent="0.2">
      <c r="B22" s="1455" t="s">
        <v>2091</v>
      </c>
      <c r="C22" s="2700" t="s">
        <v>2097</v>
      </c>
      <c r="D22" s="323" t="s">
        <v>2152</v>
      </c>
      <c r="E22" s="323"/>
    </row>
    <row r="23" spans="2:5" x14ac:dyDescent="0.2">
      <c r="B23" s="1455"/>
      <c r="C23" s="2700"/>
      <c r="D23" s="323"/>
      <c r="E23" s="323"/>
    </row>
    <row r="24" spans="2:5" ht="13.5" customHeight="1" x14ac:dyDescent="0.2">
      <c r="B24" s="1455" t="s">
        <v>2092</v>
      </c>
      <c r="C24" s="323" t="s">
        <v>2098</v>
      </c>
      <c r="D24" s="323" t="s">
        <v>2153</v>
      </c>
      <c r="E24" s="323"/>
    </row>
    <row r="25" spans="2:5" ht="13.5" customHeight="1" x14ac:dyDescent="0.2">
      <c r="B25" s="1455" t="s">
        <v>2093</v>
      </c>
      <c r="C25" s="323" t="s">
        <v>2099</v>
      </c>
      <c r="D25" s="323" t="s">
        <v>2151</v>
      </c>
      <c r="E25" s="323"/>
    </row>
    <row r="26" spans="2:5" ht="13.5" customHeight="1" x14ac:dyDescent="0.2">
      <c r="B26" s="1455"/>
      <c r="C26" s="323"/>
      <c r="D26" s="323"/>
      <c r="E26" s="323"/>
    </row>
    <row r="27" spans="2:5" ht="13.5" customHeight="1" x14ac:dyDescent="0.2">
      <c r="B27" s="1455"/>
      <c r="C27" s="323"/>
      <c r="D27" s="323"/>
      <c r="E27" s="323"/>
    </row>
    <row r="28" spans="2:5" ht="13.5" customHeight="1" x14ac:dyDescent="0.2">
      <c r="B28" s="1455"/>
      <c r="C28" s="323"/>
      <c r="D28" s="323"/>
      <c r="E28" s="323"/>
    </row>
    <row r="29" spans="2:5" ht="13.5" customHeight="1" x14ac:dyDescent="0.2">
      <c r="B29" s="1455"/>
      <c r="C29" s="323"/>
      <c r="D29" s="323"/>
      <c r="E29" s="323"/>
    </row>
    <row r="30" spans="2:5" ht="13.5" customHeight="1" x14ac:dyDescent="0.2">
      <c r="B30" s="1455"/>
      <c r="C30" s="323"/>
      <c r="D30" s="323"/>
      <c r="E30" s="323"/>
    </row>
    <row r="31" spans="2:5" ht="13.5" customHeight="1" x14ac:dyDescent="0.2">
      <c r="B31" s="1455"/>
      <c r="C31" s="323"/>
      <c r="D31" s="323"/>
      <c r="E31" s="323"/>
    </row>
    <row r="32" spans="2:5" ht="13.5" customHeight="1" x14ac:dyDescent="0.2">
      <c r="B32" s="1455"/>
      <c r="C32" s="323"/>
      <c r="D32" s="323"/>
      <c r="E32" s="323"/>
    </row>
    <row r="33" spans="2:5" ht="13.5" customHeight="1" x14ac:dyDescent="0.2">
      <c r="B33" s="1455"/>
      <c r="C33" s="323"/>
      <c r="D33" s="323"/>
      <c r="E33" s="323"/>
    </row>
    <row r="34" spans="2:5" ht="13.5" customHeight="1" x14ac:dyDescent="0.2">
      <c r="B34" s="1455"/>
      <c r="C34" s="323"/>
      <c r="D34" s="323"/>
      <c r="E34" s="323"/>
    </row>
    <row r="35" spans="2:5" ht="13.5" customHeight="1" x14ac:dyDescent="0.2">
      <c r="B35" s="1455"/>
      <c r="C35" s="323"/>
      <c r="D35" s="323"/>
      <c r="E35" s="323"/>
    </row>
    <row r="36" spans="2:5" ht="13.5" customHeight="1" x14ac:dyDescent="0.2">
      <c r="B36" s="1455"/>
      <c r="C36" s="323"/>
      <c r="D36" s="323"/>
      <c r="E36" s="323"/>
    </row>
    <row r="37" spans="2:5" ht="13.5" customHeight="1" x14ac:dyDescent="0.2">
      <c r="B37" s="1454"/>
      <c r="C37" s="323"/>
      <c r="D37" s="323"/>
      <c r="E37" s="323"/>
    </row>
    <row r="38" spans="2:5" ht="13.5" customHeight="1" x14ac:dyDescent="0.2">
      <c r="B38" s="1454"/>
      <c r="C38" s="323"/>
      <c r="D38" s="323"/>
      <c r="E38" s="323"/>
    </row>
    <row r="39" spans="2:5" ht="13.5" customHeight="1" x14ac:dyDescent="0.2">
      <c r="B39" s="1454"/>
      <c r="C39" s="323"/>
      <c r="D39" s="323"/>
      <c r="E39" s="323"/>
    </row>
    <row r="40" spans="2:5" ht="13.5" customHeight="1" x14ac:dyDescent="0.2">
      <c r="B40" s="1454"/>
      <c r="C40" s="323"/>
      <c r="D40" s="323"/>
      <c r="E40" s="323"/>
    </row>
    <row r="41" spans="2:5" ht="13.5" customHeight="1" x14ac:dyDescent="0.2">
      <c r="B41" s="1455"/>
      <c r="C41" s="323"/>
      <c r="D41" s="323"/>
      <c r="E41" s="323"/>
    </row>
    <row r="42" spans="2:5" ht="13.5" customHeight="1" x14ac:dyDescent="0.2">
      <c r="B42" s="1455"/>
      <c r="C42" s="323"/>
      <c r="D42" s="323"/>
      <c r="E42" s="323"/>
    </row>
    <row r="43" spans="2:5" ht="13.5" customHeight="1" x14ac:dyDescent="0.2">
      <c r="B43" s="1456"/>
      <c r="C43" s="323"/>
      <c r="D43" s="323"/>
      <c r="E43" s="323"/>
    </row>
    <row r="44" spans="2:5" ht="13.5" customHeight="1" x14ac:dyDescent="0.2">
      <c r="B44" s="1456"/>
      <c r="C44" s="323"/>
      <c r="D44" s="323"/>
      <c r="E44" s="323"/>
    </row>
    <row r="45" spans="2:5" ht="13.5" customHeight="1" x14ac:dyDescent="0.2">
      <c r="B45" s="1456"/>
      <c r="C45" s="323"/>
      <c r="D45" s="323"/>
      <c r="E45" s="323"/>
    </row>
    <row r="46" spans="2:5" ht="13.5" customHeight="1" x14ac:dyDescent="0.2">
      <c r="B46" s="1455"/>
      <c r="C46" s="323"/>
      <c r="D46" s="323"/>
      <c r="E46" s="323"/>
    </row>
    <row r="47" spans="2:5" ht="13.5" customHeight="1" x14ac:dyDescent="0.2">
      <c r="B47" s="1913"/>
      <c r="C47" s="323"/>
      <c r="D47" s="323"/>
      <c r="E47" s="323"/>
    </row>
    <row r="48" spans="2:5" ht="13.5" customHeight="1" x14ac:dyDescent="0.2">
      <c r="B48" s="1457"/>
      <c r="C48" s="323"/>
      <c r="D48" s="323"/>
      <c r="E48" s="323"/>
    </row>
    <row r="49" spans="2:5" ht="12.75" customHeight="1" x14ac:dyDescent="0.2">
      <c r="B49" s="1914"/>
      <c r="C49" s="1458"/>
      <c r="D49" s="1458"/>
      <c r="E49" s="323"/>
    </row>
    <row r="50" spans="2:5" ht="12.2" customHeight="1" x14ac:dyDescent="0.2">
      <c r="B50" s="1216" t="s">
        <v>1313</v>
      </c>
    </row>
    <row r="51" spans="2:5" ht="12.2" customHeight="1" x14ac:dyDescent="0.2">
      <c r="B51" s="1915" t="s">
        <v>1763</v>
      </c>
    </row>
    <row r="52" spans="2:5" ht="12.2" customHeight="1" x14ac:dyDescent="0.2">
      <c r="B52" s="1915" t="s">
        <v>1764</v>
      </c>
    </row>
    <row r="53" spans="2:5" ht="12.2" customHeight="1" x14ac:dyDescent="0.2">
      <c r="B53" s="1916" t="s">
        <v>1312</v>
      </c>
    </row>
    <row r="54" spans="2:5" ht="12.2" customHeight="1" x14ac:dyDescent="0.2">
      <c r="B54" s="1916" t="s">
        <v>1311</v>
      </c>
    </row>
    <row r="55" spans="2:5" ht="12.2" customHeight="1" x14ac:dyDescent="0.2">
      <c r="B55" s="1916" t="s">
        <v>1310</v>
      </c>
    </row>
    <row r="56" spans="2:5" ht="12.2" customHeight="1" x14ac:dyDescent="0.2">
      <c r="B56" s="1916" t="s">
        <v>1309</v>
      </c>
    </row>
    <row r="59" spans="2:5" ht="12.75" customHeight="1" x14ac:dyDescent="0.2"/>
    <row r="60" spans="2:5" ht="12.75" customHeight="1" x14ac:dyDescent="0.2">
      <c r="B60" s="1917"/>
    </row>
    <row r="61" spans="2:5" ht="12.75" customHeight="1" x14ac:dyDescent="0.2"/>
    <row r="62" spans="2:5" ht="12.75" customHeight="1" x14ac:dyDescent="0.2"/>
    <row r="63" spans="2:5" ht="12.75" customHeight="1" x14ac:dyDescent="0.2"/>
    <row r="64" spans="2:5" ht="12.75" customHeight="1" x14ac:dyDescent="0.2"/>
    <row r="65" spans="2:2" ht="12.75" customHeight="1" x14ac:dyDescent="0.2"/>
    <row r="66" spans="2:2" ht="12.75" customHeight="1" x14ac:dyDescent="0.2"/>
    <row r="67" spans="2:2" ht="12.75" customHeight="1" x14ac:dyDescent="0.2"/>
    <row r="68" spans="2:2" ht="12.75" customHeight="1" x14ac:dyDescent="0.2"/>
    <row r="69" spans="2:2" ht="12.75" customHeight="1" x14ac:dyDescent="0.2"/>
    <row r="73" spans="2:2" x14ac:dyDescent="0.2">
      <c r="B73" s="1918"/>
    </row>
    <row r="74" spans="2:2" x14ac:dyDescent="0.2">
      <c r="B74" s="1216"/>
    </row>
    <row r="75" spans="2:2" x14ac:dyDescent="0.2">
      <c r="B75" s="1216"/>
    </row>
    <row r="76" spans="2:2" x14ac:dyDescent="0.2">
      <c r="B76" s="1918"/>
    </row>
    <row r="77" spans="2:2" x14ac:dyDescent="0.2">
      <c r="B77" s="1918"/>
    </row>
    <row r="78" spans="2:2" x14ac:dyDescent="0.2">
      <c r="B78" s="1918"/>
    </row>
    <row r="79" spans="2:2" x14ac:dyDescent="0.2">
      <c r="B79" s="1216"/>
    </row>
  </sheetData>
  <mergeCells count="6">
    <mergeCell ref="B12:D12"/>
    <mergeCell ref="B13:D13"/>
    <mergeCell ref="B14:D14"/>
    <mergeCell ref="B15:D15"/>
    <mergeCell ref="C22:C23"/>
    <mergeCell ref="C19:C20"/>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1:L72"/>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ht="13.5" customHeight="1" x14ac:dyDescent="0.2">
      <c r="B11" s="2702" t="s">
        <v>2068</v>
      </c>
      <c r="C11" s="2702"/>
      <c r="D11" s="2702"/>
      <c r="E11" s="2702"/>
      <c r="F11" s="1992"/>
      <c r="G11" s="1992"/>
      <c r="H11" s="1992"/>
      <c r="I11" s="1992"/>
      <c r="J11" s="1992"/>
      <c r="K11" s="1992"/>
      <c r="L11" s="1992"/>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1</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6" t="s">
        <v>2144</v>
      </c>
      <c r="C21" s="2706"/>
      <c r="D21" s="2707"/>
      <c r="E21" s="2707"/>
    </row>
    <row r="22" spans="2:9" ht="13.5" customHeight="1" x14ac:dyDescent="0.2">
      <c r="B22" s="1972"/>
      <c r="C22" s="1972"/>
      <c r="D22" s="1972"/>
    </row>
    <row r="23" spans="2:9" ht="13.5" customHeight="1" x14ac:dyDescent="0.2">
      <c r="B23" s="1979" t="s">
        <v>2143</v>
      </c>
      <c r="C23" s="1979"/>
      <c r="D23" s="1972"/>
    </row>
    <row r="24" spans="2:9" ht="76.5" customHeight="1" x14ac:dyDescent="0.2">
      <c r="B24" s="2706" t="s">
        <v>2142</v>
      </c>
      <c r="C24" s="2706"/>
      <c r="D24" s="2707"/>
      <c r="E24" s="2707"/>
    </row>
    <row r="25" spans="2:9" ht="13.5" customHeight="1" x14ac:dyDescent="0.2">
      <c r="B25" s="1972"/>
      <c r="C25" s="1972"/>
      <c r="D25" s="1972"/>
    </row>
    <row r="26" spans="2:9" ht="13.5" customHeight="1" x14ac:dyDescent="0.2">
      <c r="B26" s="1979" t="s">
        <v>2141</v>
      </c>
      <c r="C26" s="1979"/>
      <c r="D26" s="1972"/>
      <c r="E26" s="1981" t="s">
        <v>2140</v>
      </c>
    </row>
    <row r="27" spans="2:9" ht="13.5" customHeight="1" x14ac:dyDescent="0.2">
      <c r="B27" s="1972"/>
      <c r="C27" s="1972"/>
      <c r="D27" s="1972"/>
    </row>
    <row r="28" spans="2:9" ht="13.5" customHeight="1" x14ac:dyDescent="0.2">
      <c r="B28" s="1979" t="s">
        <v>2139</v>
      </c>
      <c r="C28" s="1979"/>
      <c r="D28" s="1972"/>
      <c r="E28" s="1980" t="s">
        <v>2138</v>
      </c>
    </row>
    <row r="29" spans="2:9" ht="13.5" customHeight="1" x14ac:dyDescent="0.2">
      <c r="B29" s="1972"/>
      <c r="C29" s="1972"/>
      <c r="D29" s="1972"/>
    </row>
    <row r="30" spans="2:9" ht="13.5" customHeight="1" x14ac:dyDescent="0.2">
      <c r="B30" s="1979" t="s">
        <v>2137</v>
      </c>
      <c r="C30" s="1979"/>
      <c r="D30" s="1972"/>
      <c r="E30" s="2701" t="s">
        <v>2136</v>
      </c>
    </row>
    <row r="31" spans="2:9" ht="13.5" customHeight="1" x14ac:dyDescent="0.2">
      <c r="B31" s="1972"/>
      <c r="C31" s="1972"/>
      <c r="D31" s="1972"/>
      <c r="E31" s="2701"/>
    </row>
    <row r="32" spans="2:9" ht="13.5" customHeight="1" x14ac:dyDescent="0.2">
      <c r="B32" s="1972"/>
      <c r="C32" s="1972"/>
      <c r="D32" s="1972"/>
      <c r="E32" s="2701"/>
    </row>
    <row r="33" spans="2:5" ht="13.5" customHeight="1" x14ac:dyDescent="0.2">
      <c r="B33" s="1972"/>
      <c r="C33" s="1972"/>
      <c r="D33" s="1972"/>
      <c r="E33" s="2701"/>
    </row>
    <row r="34" spans="2:5" ht="13.5" customHeight="1" x14ac:dyDescent="0.2">
      <c r="B34" s="1972"/>
      <c r="C34" s="1972"/>
      <c r="D34" s="1972"/>
    </row>
    <row r="35" spans="2:5" ht="13.5" customHeight="1" x14ac:dyDescent="0.2"/>
    <row r="36" spans="2:5" ht="13.5" customHeight="1" x14ac:dyDescent="0.2"/>
    <row r="37" spans="2:5" ht="13.5" customHeight="1" x14ac:dyDescent="0.2"/>
    <row r="38" spans="2:5" ht="13.5" customHeight="1" x14ac:dyDescent="0.2"/>
    <row r="39" spans="2:5" ht="13.5" customHeight="1" x14ac:dyDescent="0.2">
      <c r="B39" s="1978"/>
      <c r="C39" s="1978"/>
      <c r="D39" s="1978"/>
    </row>
    <row r="40" spans="2:5" ht="13.5" customHeight="1" x14ac:dyDescent="0.2">
      <c r="B40" s="1978"/>
      <c r="C40" s="1978"/>
      <c r="D40" s="1978"/>
    </row>
    <row r="41" spans="2:5" ht="13.5" customHeight="1" x14ac:dyDescent="0.2">
      <c r="B41" s="1978"/>
      <c r="C41" s="1978"/>
      <c r="D41" s="1978"/>
    </row>
    <row r="42" spans="2:5" ht="13.5" customHeight="1" x14ac:dyDescent="0.2">
      <c r="B42" s="1978"/>
      <c r="C42" s="1978"/>
      <c r="D42" s="1978"/>
    </row>
    <row r="43" spans="2:5" ht="13.5" customHeight="1" x14ac:dyDescent="0.2">
      <c r="B43" s="1977"/>
      <c r="C43" s="1977"/>
      <c r="D43" s="1977"/>
      <c r="E43" s="1976"/>
    </row>
    <row r="44" spans="2:5" ht="12.2" customHeight="1" x14ac:dyDescent="0.2">
      <c r="B44" s="1975" t="s">
        <v>2135</v>
      </c>
      <c r="C44" s="1975"/>
      <c r="D44" s="1975"/>
    </row>
    <row r="45" spans="2:5" ht="12.2" customHeight="1" x14ac:dyDescent="0.2">
      <c r="B45" s="1974"/>
      <c r="C45" s="1974"/>
      <c r="D45" s="1974"/>
    </row>
    <row r="46" spans="2:5" ht="12.75" customHeight="1" x14ac:dyDescent="0.2">
      <c r="B46" s="1969"/>
      <c r="C46" s="1969"/>
      <c r="D46" s="1969"/>
    </row>
    <row r="47" spans="2:5" ht="12.75" customHeight="1" x14ac:dyDescent="0.2">
      <c r="B47" s="1969"/>
      <c r="C47" s="1969"/>
      <c r="D47" s="1969"/>
    </row>
    <row r="48" spans="2:5" x14ac:dyDescent="0.2">
      <c r="B48" s="1969"/>
      <c r="C48" s="1969"/>
      <c r="D48" s="1969"/>
    </row>
    <row r="49" spans="2:9" x14ac:dyDescent="0.2">
      <c r="B49" s="1969"/>
      <c r="C49" s="1969"/>
      <c r="D49" s="1969"/>
    </row>
    <row r="53" spans="2:9" x14ac:dyDescent="0.2">
      <c r="B53" s="1973"/>
      <c r="C53" s="1973"/>
      <c r="D53" s="1973"/>
    </row>
    <row r="54" spans="2:9" ht="12.75" customHeight="1" x14ac:dyDescent="0.2"/>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c r="G60" s="1972"/>
      <c r="H60" s="1972"/>
      <c r="I60" s="1972"/>
    </row>
    <row r="61" spans="2:9" ht="12.75" customHeight="1" x14ac:dyDescent="0.2">
      <c r="B61" s="1972"/>
      <c r="C61" s="1972"/>
      <c r="D61" s="1972"/>
      <c r="E61" s="1972"/>
      <c r="F61" s="1972"/>
    </row>
    <row r="62" spans="2:9" ht="12.75" customHeight="1" x14ac:dyDescent="0.2">
      <c r="B62" s="1972"/>
      <c r="C62" s="1972"/>
      <c r="D62" s="1972"/>
      <c r="E62" s="1972"/>
      <c r="F62" s="1972"/>
      <c r="G62" s="1972"/>
      <c r="H62" s="1972"/>
      <c r="I62" s="1972"/>
    </row>
    <row r="66" spans="2:4" x14ac:dyDescent="0.2">
      <c r="B66" s="1971"/>
      <c r="C66" s="1971"/>
      <c r="D66" s="1971"/>
    </row>
    <row r="67" spans="2:4" x14ac:dyDescent="0.2">
      <c r="B67" s="1969"/>
      <c r="C67" s="1969"/>
      <c r="D67" s="1969"/>
    </row>
    <row r="68" spans="2:4" x14ac:dyDescent="0.2">
      <c r="B68" s="1969"/>
      <c r="C68" s="1969"/>
      <c r="D68" s="1969"/>
    </row>
    <row r="69" spans="2:4" x14ac:dyDescent="0.2">
      <c r="B69" s="1970"/>
      <c r="C69" s="1970"/>
      <c r="D69" s="1970"/>
    </row>
    <row r="70" spans="2:4" x14ac:dyDescent="0.2">
      <c r="B70" s="1970"/>
      <c r="C70" s="1970"/>
      <c r="D70" s="1970"/>
    </row>
    <row r="71" spans="2:4" x14ac:dyDescent="0.2">
      <c r="B71" s="1970"/>
      <c r="C71" s="1970"/>
      <c r="D71" s="1970"/>
    </row>
    <row r="72" spans="2:4" x14ac:dyDescent="0.2">
      <c r="B72" s="1969"/>
      <c r="C72" s="1969"/>
      <c r="D72"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1:L72"/>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ht="13.5" customHeight="1" x14ac:dyDescent="0.2">
      <c r="B11" s="2702" t="s">
        <v>2068</v>
      </c>
      <c r="C11" s="2702"/>
      <c r="D11" s="2702"/>
      <c r="E11" s="2702"/>
      <c r="F11" s="1992"/>
      <c r="G11" s="1992"/>
      <c r="H11" s="1992"/>
      <c r="I11" s="1992"/>
      <c r="J11" s="1992"/>
      <c r="K11" s="1992"/>
      <c r="L11" s="1992"/>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2</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9" t="s">
        <v>2337</v>
      </c>
      <c r="C21" s="2709"/>
      <c r="D21" s="2710"/>
      <c r="E21" s="2710"/>
    </row>
    <row r="22" spans="2:9" ht="13.5" customHeight="1" x14ac:dyDescent="0.2">
      <c r="B22" s="1972"/>
      <c r="C22" s="1972"/>
      <c r="D22" s="1972"/>
    </row>
    <row r="23" spans="2:9" ht="13.5" customHeight="1" x14ac:dyDescent="0.2">
      <c r="B23" s="1979" t="s">
        <v>2143</v>
      </c>
      <c r="C23" s="1979"/>
      <c r="D23" s="1972"/>
    </row>
    <row r="24" spans="2:9" ht="76.5" customHeight="1" x14ac:dyDescent="0.2">
      <c r="B24" s="2709" t="s">
        <v>2341</v>
      </c>
      <c r="C24" s="2709"/>
      <c r="D24" s="2710"/>
      <c r="E24" s="2710"/>
    </row>
    <row r="25" spans="2:9" ht="13.5" customHeight="1" x14ac:dyDescent="0.2">
      <c r="B25" s="2135"/>
      <c r="C25" s="2135"/>
      <c r="D25" s="2135"/>
      <c r="E25" s="2136"/>
    </row>
    <row r="26" spans="2:9" ht="13.5" customHeight="1" x14ac:dyDescent="0.2">
      <c r="B26" s="2137" t="s">
        <v>2141</v>
      </c>
      <c r="C26" s="2137"/>
      <c r="D26" s="2135"/>
      <c r="E26" s="2138" t="s">
        <v>2140</v>
      </c>
    </row>
    <row r="27" spans="2:9" ht="13.5" customHeight="1" x14ac:dyDescent="0.2">
      <c r="B27" s="2135"/>
      <c r="C27" s="2135"/>
      <c r="D27" s="2135"/>
      <c r="E27" s="2136"/>
    </row>
    <row r="28" spans="2:9" ht="13.5" customHeight="1" x14ac:dyDescent="0.2">
      <c r="B28" s="2137" t="s">
        <v>2139</v>
      </c>
      <c r="C28" s="2137"/>
      <c r="D28" s="2135"/>
      <c r="E28" s="2139" t="s">
        <v>2138</v>
      </c>
    </row>
    <row r="29" spans="2:9" ht="13.5" customHeight="1" x14ac:dyDescent="0.2">
      <c r="B29" s="2135"/>
      <c r="C29" s="2135"/>
      <c r="D29" s="2135"/>
      <c r="E29" s="2136"/>
    </row>
    <row r="30" spans="2:9" ht="13.5" customHeight="1" x14ac:dyDescent="0.2">
      <c r="B30" s="2137" t="s">
        <v>2137</v>
      </c>
      <c r="C30" s="2137"/>
      <c r="D30" s="2135"/>
      <c r="E30" s="2708" t="s">
        <v>2173</v>
      </c>
    </row>
    <row r="31" spans="2:9" ht="13.5" customHeight="1" x14ac:dyDescent="0.2">
      <c r="B31" s="2135"/>
      <c r="C31" s="2135"/>
      <c r="D31" s="2135"/>
      <c r="E31" s="2708"/>
    </row>
    <row r="32" spans="2:9" ht="13.5" customHeight="1" x14ac:dyDescent="0.2">
      <c r="B32" s="2135"/>
      <c r="C32" s="2135"/>
      <c r="D32" s="2135"/>
      <c r="E32" s="2708"/>
    </row>
    <row r="33" spans="2:5" ht="13.5" customHeight="1" x14ac:dyDescent="0.2">
      <c r="B33" s="2135"/>
      <c r="C33" s="2135"/>
      <c r="D33" s="2135"/>
      <c r="E33" s="2708"/>
    </row>
    <row r="34" spans="2:5" ht="13.5" customHeight="1" x14ac:dyDescent="0.2">
      <c r="B34" s="1972"/>
      <c r="C34" s="1972"/>
      <c r="D34" s="1972"/>
    </row>
    <row r="35" spans="2:5" ht="13.5" customHeight="1" x14ac:dyDescent="0.2"/>
    <row r="36" spans="2:5" ht="13.5" customHeight="1" x14ac:dyDescent="0.2"/>
    <row r="37" spans="2:5" ht="13.5" customHeight="1" x14ac:dyDescent="0.2"/>
    <row r="38" spans="2:5" ht="13.5" customHeight="1" x14ac:dyDescent="0.2"/>
    <row r="39" spans="2:5" ht="13.5" customHeight="1" x14ac:dyDescent="0.2">
      <c r="B39" s="1978"/>
      <c r="C39" s="1978"/>
      <c r="D39" s="1978"/>
    </row>
    <row r="40" spans="2:5" ht="13.5" customHeight="1" x14ac:dyDescent="0.2">
      <c r="B40" s="1978"/>
      <c r="C40" s="1978"/>
      <c r="D40" s="1978"/>
    </row>
    <row r="41" spans="2:5" ht="13.5" customHeight="1" x14ac:dyDescent="0.2">
      <c r="B41" s="1978"/>
      <c r="C41" s="1978"/>
      <c r="D41" s="1978"/>
    </row>
    <row r="42" spans="2:5" ht="13.5" customHeight="1" x14ac:dyDescent="0.2">
      <c r="B42" s="1978"/>
      <c r="C42" s="1978"/>
      <c r="D42" s="1978"/>
    </row>
    <row r="43" spans="2:5" ht="13.5" customHeight="1" x14ac:dyDescent="0.2">
      <c r="B43" s="1977"/>
      <c r="C43" s="1977"/>
      <c r="D43" s="1977"/>
      <c r="E43" s="1976"/>
    </row>
    <row r="44" spans="2:5" ht="12.2" customHeight="1" x14ac:dyDescent="0.2">
      <c r="B44" s="1975" t="s">
        <v>2135</v>
      </c>
      <c r="C44" s="1975"/>
      <c r="D44" s="1975"/>
    </row>
    <row r="45" spans="2:5" ht="12.2" customHeight="1" x14ac:dyDescent="0.2">
      <c r="B45" s="1974"/>
      <c r="C45" s="1974"/>
      <c r="D45" s="1974"/>
    </row>
    <row r="46" spans="2:5" ht="12.75" customHeight="1" x14ac:dyDescent="0.2">
      <c r="B46" s="1969"/>
      <c r="C46" s="1969"/>
      <c r="D46" s="1969"/>
    </row>
    <row r="47" spans="2:5" ht="12.75" customHeight="1" x14ac:dyDescent="0.2">
      <c r="B47" s="1969"/>
      <c r="C47" s="1969"/>
      <c r="D47" s="1969"/>
    </row>
    <row r="48" spans="2:5" x14ac:dyDescent="0.2">
      <c r="B48" s="1969"/>
      <c r="C48" s="1969"/>
      <c r="D48" s="1969"/>
    </row>
    <row r="49" spans="2:9" x14ac:dyDescent="0.2">
      <c r="B49" s="1969"/>
      <c r="C49" s="1969"/>
      <c r="D49" s="1969"/>
    </row>
    <row r="53" spans="2:9" x14ac:dyDescent="0.2">
      <c r="B53" s="1973"/>
      <c r="C53" s="1973"/>
      <c r="D53" s="1973"/>
    </row>
    <row r="54" spans="2:9" ht="12.75" customHeight="1" x14ac:dyDescent="0.2"/>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c r="G60" s="1972"/>
      <c r="H60" s="1972"/>
      <c r="I60" s="1972"/>
    </row>
    <row r="61" spans="2:9" ht="12.75" customHeight="1" x14ac:dyDescent="0.2">
      <c r="B61" s="1972"/>
      <c r="C61" s="1972"/>
      <c r="D61" s="1972"/>
      <c r="E61" s="1972"/>
      <c r="F61" s="1972"/>
    </row>
    <row r="62" spans="2:9" ht="12.75" customHeight="1" x14ac:dyDescent="0.2">
      <c r="B62" s="1972"/>
      <c r="C62" s="1972"/>
      <c r="D62" s="1972"/>
      <c r="E62" s="1972"/>
      <c r="F62" s="1972"/>
      <c r="G62" s="1972"/>
      <c r="H62" s="1972"/>
      <c r="I62" s="1972"/>
    </row>
    <row r="66" spans="2:4" x14ac:dyDescent="0.2">
      <c r="B66" s="1971"/>
      <c r="C66" s="1971"/>
      <c r="D66" s="1971"/>
    </row>
    <row r="67" spans="2:4" x14ac:dyDescent="0.2">
      <c r="B67" s="1969"/>
      <c r="C67" s="1969"/>
      <c r="D67" s="1969"/>
    </row>
    <row r="68" spans="2:4" x14ac:dyDescent="0.2">
      <c r="B68" s="1969"/>
      <c r="C68" s="1969"/>
      <c r="D68" s="1969"/>
    </row>
    <row r="69" spans="2:4" x14ac:dyDescent="0.2">
      <c r="B69" s="1970"/>
      <c r="C69" s="1970"/>
      <c r="D69" s="1970"/>
    </row>
    <row r="70" spans="2:4" x14ac:dyDescent="0.2">
      <c r="B70" s="1970"/>
      <c r="C70" s="1970"/>
      <c r="D70" s="1970"/>
    </row>
    <row r="71" spans="2:4" x14ac:dyDescent="0.2">
      <c r="B71" s="1970"/>
      <c r="C71" s="1970"/>
      <c r="D71" s="1970"/>
    </row>
    <row r="72" spans="2:4" x14ac:dyDescent="0.2">
      <c r="B72" s="1969"/>
      <c r="C72" s="1969"/>
      <c r="D72"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1:L71"/>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x14ac:dyDescent="0.2">
      <c r="B11" s="2702" t="s">
        <v>2068</v>
      </c>
      <c r="C11" s="2702"/>
      <c r="D11" s="2702"/>
      <c r="E11" s="2702" t="s">
        <v>2068</v>
      </c>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3</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6" t="s">
        <v>2157</v>
      </c>
      <c r="C21" s="2706"/>
      <c r="D21" s="2707"/>
      <c r="E21" s="2707"/>
    </row>
    <row r="22" spans="2:9" ht="13.5" customHeight="1" x14ac:dyDescent="0.2">
      <c r="B22" s="1972"/>
      <c r="C22" s="1972"/>
      <c r="D22" s="1972"/>
    </row>
    <row r="23" spans="2:9" ht="13.5" customHeight="1" x14ac:dyDescent="0.2">
      <c r="B23" s="1979" t="s">
        <v>2143</v>
      </c>
      <c r="C23" s="1979"/>
      <c r="D23" s="1972"/>
    </row>
    <row r="24" spans="2:9" ht="76.5" customHeight="1" x14ac:dyDescent="0.2">
      <c r="B24" s="2706" t="s">
        <v>2178</v>
      </c>
      <c r="C24" s="2706"/>
      <c r="D24" s="2707"/>
      <c r="E24" s="2707"/>
    </row>
    <row r="25" spans="2:9" ht="13.5" customHeight="1" x14ac:dyDescent="0.2">
      <c r="B25" s="1972"/>
      <c r="C25" s="1972"/>
      <c r="D25" s="1972"/>
    </row>
    <row r="26" spans="2:9" ht="13.5" customHeight="1" x14ac:dyDescent="0.2">
      <c r="B26" s="1979" t="s">
        <v>2141</v>
      </c>
      <c r="C26" s="1979"/>
      <c r="D26" s="1972"/>
      <c r="E26" s="1981" t="s">
        <v>2140</v>
      </c>
    </row>
    <row r="27" spans="2:9" ht="13.5" customHeight="1" x14ac:dyDescent="0.2">
      <c r="B27" s="1972"/>
      <c r="C27" s="1972"/>
      <c r="D27" s="1972"/>
    </row>
    <row r="28" spans="2:9" ht="13.5" customHeight="1" x14ac:dyDescent="0.2">
      <c r="B28" s="1979" t="s">
        <v>2139</v>
      </c>
      <c r="C28" s="1979"/>
      <c r="D28" s="1972"/>
      <c r="E28" s="1980" t="s">
        <v>2138</v>
      </c>
    </row>
    <row r="29" spans="2:9" ht="13.5" customHeight="1" x14ac:dyDescent="0.2">
      <c r="B29" s="1972"/>
      <c r="C29" s="1972"/>
      <c r="D29" s="1972"/>
    </row>
    <row r="30" spans="2:9" ht="13.5" customHeight="1" x14ac:dyDescent="0.2">
      <c r="B30" s="1979" t="s">
        <v>2137</v>
      </c>
      <c r="C30" s="1979"/>
      <c r="D30" s="1972"/>
      <c r="E30" s="2701" t="s">
        <v>2180</v>
      </c>
    </row>
    <row r="31" spans="2:9" ht="13.5" customHeight="1" x14ac:dyDescent="0.2">
      <c r="B31" s="1972"/>
      <c r="C31" s="1972"/>
      <c r="D31" s="1972"/>
      <c r="E31" s="2701"/>
    </row>
    <row r="32" spans="2:9" ht="13.5" customHeight="1" x14ac:dyDescent="0.2">
      <c r="B32" s="1972"/>
      <c r="C32" s="1972"/>
      <c r="D32" s="1972"/>
      <c r="E32" s="2701"/>
    </row>
    <row r="33" spans="2:5" ht="13.5" customHeight="1" x14ac:dyDescent="0.2">
      <c r="B33" s="1972"/>
      <c r="C33" s="1972"/>
      <c r="D33" s="1972"/>
      <c r="E33" s="2701"/>
    </row>
    <row r="34" spans="2:5" ht="13.5" customHeight="1" x14ac:dyDescent="0.2">
      <c r="B34" s="1972"/>
      <c r="C34" s="1972"/>
      <c r="D34" s="1972"/>
    </row>
    <row r="35" spans="2:5" ht="13.5" customHeight="1" x14ac:dyDescent="0.2">
      <c r="B35" s="1993"/>
      <c r="C35" s="1993"/>
      <c r="D35" s="1993"/>
    </row>
    <row r="36" spans="2:5" ht="13.5" customHeight="1" x14ac:dyDescent="0.2">
      <c r="B36" s="1993"/>
      <c r="C36" s="1993"/>
      <c r="D36" s="1993"/>
    </row>
    <row r="37" spans="2:5" ht="13.5" customHeight="1" x14ac:dyDescent="0.2"/>
    <row r="38" spans="2:5" ht="13.5" customHeight="1" x14ac:dyDescent="0.2"/>
    <row r="39" spans="2:5" ht="13.5" customHeight="1" x14ac:dyDescent="0.2"/>
    <row r="40" spans="2:5" ht="13.5" customHeight="1" x14ac:dyDescent="0.2"/>
    <row r="41" spans="2:5" ht="13.5" customHeight="1" x14ac:dyDescent="0.2"/>
    <row r="42" spans="2:5" ht="13.5" customHeight="1" x14ac:dyDescent="0.2">
      <c r="B42" s="1977"/>
      <c r="C42" s="1977"/>
      <c r="D42" s="1977"/>
      <c r="E42" s="1976"/>
    </row>
    <row r="43" spans="2:5" ht="12.2" customHeight="1" x14ac:dyDescent="0.2">
      <c r="B43" s="1975" t="s">
        <v>2135</v>
      </c>
      <c r="C43" s="1975"/>
      <c r="D43" s="1975"/>
    </row>
    <row r="44" spans="2:5" ht="12.2" customHeight="1" x14ac:dyDescent="0.2">
      <c r="B44" s="1974"/>
      <c r="C44" s="1974"/>
      <c r="D44" s="1974"/>
    </row>
    <row r="45" spans="2:5" ht="12.75" customHeight="1" x14ac:dyDescent="0.2">
      <c r="B45" s="1969"/>
      <c r="C45" s="1969"/>
      <c r="D45" s="1969"/>
    </row>
    <row r="46" spans="2:5" ht="12.75" customHeight="1" x14ac:dyDescent="0.2">
      <c r="B46" s="1969"/>
      <c r="C46" s="1969"/>
      <c r="D46" s="1969"/>
    </row>
    <row r="47" spans="2:5" x14ac:dyDescent="0.2">
      <c r="B47" s="1969"/>
      <c r="C47" s="1969"/>
      <c r="D47" s="1969"/>
    </row>
    <row r="48" spans="2:5" x14ac:dyDescent="0.2">
      <c r="B48" s="1969"/>
      <c r="C48" s="1969"/>
      <c r="D48" s="1969"/>
    </row>
    <row r="52" spans="2:9" x14ac:dyDescent="0.2">
      <c r="B52" s="1973"/>
      <c r="C52" s="1973"/>
      <c r="D52" s="1973"/>
    </row>
    <row r="53" spans="2:9" ht="12.75" customHeight="1" x14ac:dyDescent="0.2"/>
    <row r="54" spans="2:9" ht="12.75" customHeight="1" x14ac:dyDescent="0.2">
      <c r="B54" s="1972"/>
      <c r="C54" s="1972"/>
      <c r="D54" s="1972"/>
      <c r="E54" s="1972"/>
      <c r="F54" s="1972"/>
      <c r="G54" s="1972"/>
      <c r="H54" s="1972"/>
      <c r="I54" s="1972"/>
    </row>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row>
    <row r="61" spans="2:9" ht="12.75" customHeight="1" x14ac:dyDescent="0.2">
      <c r="B61" s="1972"/>
      <c r="C61" s="1972"/>
      <c r="D61" s="1972"/>
      <c r="E61" s="1972"/>
      <c r="F61" s="1972"/>
      <c r="G61" s="1972"/>
      <c r="H61" s="1972"/>
      <c r="I61" s="1972"/>
    </row>
    <row r="65" spans="2:4" x14ac:dyDescent="0.2">
      <c r="B65" s="1971"/>
      <c r="C65" s="1971"/>
      <c r="D65" s="1971"/>
    </row>
    <row r="66" spans="2:4" x14ac:dyDescent="0.2">
      <c r="B66" s="1969"/>
      <c r="C66" s="1969"/>
      <c r="D66" s="1969"/>
    </row>
    <row r="67" spans="2:4" x14ac:dyDescent="0.2">
      <c r="B67" s="1969"/>
      <c r="C67" s="1969"/>
      <c r="D67" s="1969"/>
    </row>
    <row r="68" spans="2:4" x14ac:dyDescent="0.2">
      <c r="B68" s="1970"/>
      <c r="C68" s="1970"/>
      <c r="D68" s="1970"/>
    </row>
    <row r="69" spans="2:4" x14ac:dyDescent="0.2">
      <c r="B69" s="1970"/>
      <c r="C69" s="1970"/>
      <c r="D69" s="1970"/>
    </row>
    <row r="70" spans="2:4" x14ac:dyDescent="0.2">
      <c r="B70" s="1970"/>
      <c r="C70" s="1970"/>
      <c r="D70" s="1970"/>
    </row>
    <row r="71" spans="2:4" x14ac:dyDescent="0.2">
      <c r="B71" s="1969"/>
      <c r="C71" s="1969"/>
      <c r="D71"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1:L71"/>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x14ac:dyDescent="0.2">
      <c r="B11" s="2702" t="s">
        <v>2068</v>
      </c>
      <c r="C11" s="2702"/>
      <c r="D11" s="2702"/>
      <c r="E11" s="2702" t="s">
        <v>2068</v>
      </c>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4</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6" t="s">
        <v>2157</v>
      </c>
      <c r="C21" s="2706"/>
      <c r="D21" s="2707"/>
      <c r="E21" s="2707"/>
    </row>
    <row r="22" spans="2:9" ht="13.5" customHeight="1" x14ac:dyDescent="0.2">
      <c r="B22" s="1972"/>
      <c r="C22" s="1972"/>
      <c r="D22" s="1972"/>
    </row>
    <row r="23" spans="2:9" ht="13.5" customHeight="1" x14ac:dyDescent="0.2">
      <c r="B23" s="1979" t="s">
        <v>2143</v>
      </c>
      <c r="C23" s="1979"/>
      <c r="D23" s="1972"/>
    </row>
    <row r="24" spans="2:9" ht="76.5" customHeight="1" x14ac:dyDescent="0.2">
      <c r="B24" s="2706" t="s">
        <v>2178</v>
      </c>
      <c r="C24" s="2706"/>
      <c r="D24" s="2707"/>
      <c r="E24" s="2707"/>
    </row>
    <row r="25" spans="2:9" ht="13.5" customHeight="1" x14ac:dyDescent="0.2">
      <c r="B25" s="1972"/>
      <c r="C25" s="1972"/>
      <c r="D25" s="1972"/>
    </row>
    <row r="26" spans="2:9" ht="13.5" customHeight="1" x14ac:dyDescent="0.2">
      <c r="B26" s="1979" t="s">
        <v>2141</v>
      </c>
      <c r="C26" s="1979"/>
      <c r="D26" s="1972"/>
      <c r="E26" s="1981" t="s">
        <v>2140</v>
      </c>
    </row>
    <row r="27" spans="2:9" ht="13.5" customHeight="1" x14ac:dyDescent="0.2">
      <c r="B27" s="1972"/>
      <c r="C27" s="1972"/>
      <c r="D27" s="1972"/>
    </row>
    <row r="28" spans="2:9" ht="13.5" customHeight="1" x14ac:dyDescent="0.2">
      <c r="B28" s="1979" t="s">
        <v>2139</v>
      </c>
      <c r="C28" s="1979"/>
      <c r="D28" s="1972"/>
      <c r="E28" s="1980" t="s">
        <v>2138</v>
      </c>
    </row>
    <row r="29" spans="2:9" ht="13.5" customHeight="1" x14ac:dyDescent="0.2">
      <c r="B29" s="1972"/>
      <c r="C29" s="1972"/>
      <c r="D29" s="1972"/>
    </row>
    <row r="30" spans="2:9" ht="13.5" customHeight="1" x14ac:dyDescent="0.2">
      <c r="B30" s="1979" t="s">
        <v>2137</v>
      </c>
      <c r="C30" s="1979"/>
      <c r="D30" s="1972"/>
      <c r="E30" s="2701" t="s">
        <v>2180</v>
      </c>
    </row>
    <row r="31" spans="2:9" ht="13.5" customHeight="1" x14ac:dyDescent="0.2">
      <c r="B31" s="1972"/>
      <c r="C31" s="1972"/>
      <c r="D31" s="1972"/>
      <c r="E31" s="2701"/>
    </row>
    <row r="32" spans="2:9" ht="13.5" customHeight="1" x14ac:dyDescent="0.2">
      <c r="B32" s="1972"/>
      <c r="C32" s="1972"/>
      <c r="D32" s="1972"/>
      <c r="E32" s="2701"/>
    </row>
    <row r="33" spans="2:5" ht="13.5" customHeight="1" x14ac:dyDescent="0.2">
      <c r="B33" s="1972"/>
      <c r="C33" s="1972"/>
      <c r="D33" s="1972"/>
      <c r="E33" s="2701"/>
    </row>
    <row r="34" spans="2:5" ht="13.5" customHeight="1" x14ac:dyDescent="0.2">
      <c r="B34" s="1972"/>
      <c r="C34" s="1972"/>
      <c r="D34" s="1972"/>
    </row>
    <row r="35" spans="2:5" ht="13.5" customHeight="1" x14ac:dyDescent="0.2">
      <c r="B35" s="1993"/>
      <c r="C35" s="1993"/>
      <c r="D35" s="1993"/>
    </row>
    <row r="36" spans="2:5" ht="13.5" customHeight="1" x14ac:dyDescent="0.2">
      <c r="B36" s="1993"/>
      <c r="C36" s="1993"/>
      <c r="D36" s="1993"/>
    </row>
    <row r="37" spans="2:5" ht="13.5" customHeight="1" x14ac:dyDescent="0.2"/>
    <row r="38" spans="2:5" ht="13.5" customHeight="1" x14ac:dyDescent="0.2"/>
    <row r="39" spans="2:5" ht="13.5" customHeight="1" x14ac:dyDescent="0.2"/>
    <row r="40" spans="2:5" ht="13.5" customHeight="1" x14ac:dyDescent="0.2"/>
    <row r="41" spans="2:5" ht="13.5" customHeight="1" x14ac:dyDescent="0.2"/>
    <row r="42" spans="2:5" ht="13.5" customHeight="1" x14ac:dyDescent="0.2">
      <c r="B42" s="1977"/>
      <c r="C42" s="1977"/>
      <c r="D42" s="1977"/>
      <c r="E42" s="1976"/>
    </row>
    <row r="43" spans="2:5" ht="12.2" customHeight="1" x14ac:dyDescent="0.2">
      <c r="B43" s="1975" t="s">
        <v>2135</v>
      </c>
      <c r="C43" s="1975"/>
      <c r="D43" s="1975"/>
    </row>
    <row r="44" spans="2:5" ht="12.2" customHeight="1" x14ac:dyDescent="0.2">
      <c r="B44" s="1974"/>
      <c r="C44" s="1974"/>
      <c r="D44" s="1974"/>
    </row>
    <row r="45" spans="2:5" ht="12.75" customHeight="1" x14ac:dyDescent="0.2">
      <c r="B45" s="1969"/>
      <c r="C45" s="1969"/>
      <c r="D45" s="1969"/>
    </row>
    <row r="46" spans="2:5" ht="12.75" customHeight="1" x14ac:dyDescent="0.2">
      <c r="B46" s="1969"/>
      <c r="C46" s="1969"/>
      <c r="D46" s="1969"/>
    </row>
    <row r="47" spans="2:5" x14ac:dyDescent="0.2">
      <c r="B47" s="1969"/>
      <c r="C47" s="1969"/>
      <c r="D47" s="1969"/>
    </row>
    <row r="48" spans="2:5" x14ac:dyDescent="0.2">
      <c r="B48" s="1969"/>
      <c r="C48" s="1969"/>
      <c r="D48" s="1969"/>
    </row>
    <row r="52" spans="2:9" x14ac:dyDescent="0.2">
      <c r="B52" s="1973"/>
      <c r="C52" s="1973"/>
      <c r="D52" s="1973"/>
    </row>
    <row r="53" spans="2:9" ht="12.75" customHeight="1" x14ac:dyDescent="0.2"/>
    <row r="54" spans="2:9" ht="12.75" customHeight="1" x14ac:dyDescent="0.2">
      <c r="B54" s="1972"/>
      <c r="C54" s="1972"/>
      <c r="D54" s="1972"/>
      <c r="E54" s="1972"/>
      <c r="F54" s="1972"/>
      <c r="G54" s="1972"/>
      <c r="H54" s="1972"/>
      <c r="I54" s="1972"/>
    </row>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row>
    <row r="61" spans="2:9" ht="12.75" customHeight="1" x14ac:dyDescent="0.2">
      <c r="B61" s="1972"/>
      <c r="C61" s="1972"/>
      <c r="D61" s="1972"/>
      <c r="E61" s="1972"/>
      <c r="F61" s="1972"/>
      <c r="G61" s="1972"/>
      <c r="H61" s="1972"/>
      <c r="I61" s="1972"/>
    </row>
    <row r="65" spans="2:4" x14ac:dyDescent="0.2">
      <c r="B65" s="1971"/>
      <c r="C65" s="1971"/>
      <c r="D65" s="1971"/>
    </row>
    <row r="66" spans="2:4" x14ac:dyDescent="0.2">
      <c r="B66" s="1969"/>
      <c r="C66" s="1969"/>
      <c r="D66" s="1969"/>
    </row>
    <row r="67" spans="2:4" x14ac:dyDescent="0.2">
      <c r="B67" s="1969"/>
      <c r="C67" s="1969"/>
      <c r="D67" s="1969"/>
    </row>
    <row r="68" spans="2:4" x14ac:dyDescent="0.2">
      <c r="B68" s="1970"/>
      <c r="C68" s="1970"/>
      <c r="D68" s="1970"/>
    </row>
    <row r="69" spans="2:4" x14ac:dyDescent="0.2">
      <c r="B69" s="1970"/>
      <c r="C69" s="1970"/>
      <c r="D69" s="1970"/>
    </row>
    <row r="70" spans="2:4" x14ac:dyDescent="0.2">
      <c r="B70" s="1970"/>
      <c r="C70" s="1970"/>
      <c r="D70" s="1970"/>
    </row>
    <row r="71" spans="2:4" x14ac:dyDescent="0.2">
      <c r="B71" s="1969"/>
      <c r="C71" s="1969"/>
      <c r="D71"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1:L71"/>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x14ac:dyDescent="0.2">
      <c r="B11" s="2702" t="s">
        <v>2068</v>
      </c>
      <c r="C11" s="2702"/>
      <c r="D11" s="2702"/>
      <c r="E11" s="2702" t="s">
        <v>2068</v>
      </c>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5</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6" t="s">
        <v>2182</v>
      </c>
      <c r="C21" s="2706"/>
      <c r="D21" s="2707"/>
      <c r="E21" s="2707"/>
    </row>
    <row r="22" spans="2:9" ht="13.5" customHeight="1" x14ac:dyDescent="0.2">
      <c r="B22" s="1972"/>
      <c r="C22" s="1972"/>
      <c r="D22" s="1972"/>
    </row>
    <row r="23" spans="2:9" ht="13.5" customHeight="1" x14ac:dyDescent="0.2">
      <c r="B23" s="1979" t="s">
        <v>2143</v>
      </c>
      <c r="C23" s="1979"/>
      <c r="D23" s="1972"/>
    </row>
    <row r="24" spans="2:9" ht="76.5" customHeight="1" x14ac:dyDescent="0.2">
      <c r="B24" s="2706" t="s">
        <v>2181</v>
      </c>
      <c r="C24" s="2706"/>
      <c r="D24" s="2707"/>
      <c r="E24" s="2707"/>
    </row>
    <row r="25" spans="2:9" ht="13.5" customHeight="1" x14ac:dyDescent="0.2">
      <c r="B25" s="1972"/>
      <c r="C25" s="1972"/>
      <c r="D25" s="1972"/>
    </row>
    <row r="26" spans="2:9" ht="13.5" customHeight="1" x14ac:dyDescent="0.2">
      <c r="B26" s="1979" t="s">
        <v>2141</v>
      </c>
      <c r="C26" s="1979"/>
      <c r="D26" s="1972"/>
      <c r="E26" s="1981" t="s">
        <v>2140</v>
      </c>
    </row>
    <row r="27" spans="2:9" ht="13.5" customHeight="1" x14ac:dyDescent="0.2">
      <c r="B27" s="1972"/>
      <c r="C27" s="1972"/>
      <c r="D27" s="1972"/>
    </row>
    <row r="28" spans="2:9" ht="13.5" customHeight="1" x14ac:dyDescent="0.2">
      <c r="B28" s="1979" t="s">
        <v>2139</v>
      </c>
      <c r="C28" s="1979"/>
      <c r="D28" s="1972"/>
      <c r="E28" s="1980" t="s">
        <v>2138</v>
      </c>
    </row>
    <row r="29" spans="2:9" ht="13.5" customHeight="1" x14ac:dyDescent="0.2">
      <c r="B29" s="1972"/>
      <c r="C29" s="1972"/>
      <c r="D29" s="1972"/>
    </row>
    <row r="30" spans="2:9" ht="13.5" customHeight="1" x14ac:dyDescent="0.2">
      <c r="B30" s="1979" t="s">
        <v>2137</v>
      </c>
      <c r="C30" s="1979"/>
      <c r="D30" s="1972"/>
      <c r="E30" s="2701" t="s">
        <v>2183</v>
      </c>
    </row>
    <row r="31" spans="2:9" ht="13.5" customHeight="1" x14ac:dyDescent="0.2">
      <c r="B31" s="1972"/>
      <c r="C31" s="1972"/>
      <c r="D31" s="1972"/>
      <c r="E31" s="2701"/>
    </row>
    <row r="32" spans="2:9" ht="13.5" customHeight="1" x14ac:dyDescent="0.2">
      <c r="B32" s="1972"/>
      <c r="C32" s="1972"/>
      <c r="D32" s="1972"/>
      <c r="E32" s="2701"/>
    </row>
    <row r="33" spans="2:5" ht="13.5" customHeight="1" x14ac:dyDescent="0.2">
      <c r="B33" s="1972"/>
      <c r="C33" s="1972"/>
      <c r="D33" s="1972"/>
      <c r="E33" s="2701"/>
    </row>
    <row r="34" spans="2:5" ht="13.5" customHeight="1" x14ac:dyDescent="0.2">
      <c r="B34" s="1972"/>
      <c r="C34" s="1972"/>
      <c r="D34" s="1972"/>
    </row>
    <row r="35" spans="2:5" ht="13.5" customHeight="1" x14ac:dyDescent="0.2">
      <c r="B35" s="1993"/>
      <c r="C35" s="1993"/>
      <c r="D35" s="1993"/>
    </row>
    <row r="36" spans="2:5" ht="13.5" customHeight="1" x14ac:dyDescent="0.2">
      <c r="B36" s="1993"/>
      <c r="C36" s="1993"/>
      <c r="D36" s="1993"/>
    </row>
    <row r="37" spans="2:5" ht="13.5" customHeight="1" x14ac:dyDescent="0.2"/>
    <row r="38" spans="2:5" ht="13.5" customHeight="1" x14ac:dyDescent="0.2"/>
    <row r="39" spans="2:5" ht="13.5" customHeight="1" x14ac:dyDescent="0.2"/>
    <row r="40" spans="2:5" ht="13.5" customHeight="1" x14ac:dyDescent="0.2"/>
    <row r="41" spans="2:5" ht="13.5" customHeight="1" x14ac:dyDescent="0.2"/>
    <row r="42" spans="2:5" ht="13.5" customHeight="1" x14ac:dyDescent="0.2">
      <c r="B42" s="1977"/>
      <c r="C42" s="1977"/>
      <c r="D42" s="1977"/>
      <c r="E42" s="1976"/>
    </row>
    <row r="43" spans="2:5" ht="12.2" customHeight="1" x14ac:dyDescent="0.2">
      <c r="B43" s="1975" t="s">
        <v>2135</v>
      </c>
      <c r="C43" s="1975"/>
      <c r="D43" s="1975"/>
    </row>
    <row r="44" spans="2:5" ht="12.2" customHeight="1" x14ac:dyDescent="0.2">
      <c r="B44" s="1974"/>
      <c r="C44" s="1974"/>
      <c r="D44" s="1974"/>
    </row>
    <row r="45" spans="2:5" ht="12.75" customHeight="1" x14ac:dyDescent="0.2">
      <c r="B45" s="1969"/>
      <c r="C45" s="1969"/>
      <c r="D45" s="1969"/>
    </row>
    <row r="46" spans="2:5" ht="12.75" customHeight="1" x14ac:dyDescent="0.2">
      <c r="B46" s="1969"/>
      <c r="C46" s="1969"/>
      <c r="D46" s="1969"/>
    </row>
    <row r="47" spans="2:5" x14ac:dyDescent="0.2">
      <c r="B47" s="1969"/>
      <c r="C47" s="1969"/>
      <c r="D47" s="1969"/>
    </row>
    <row r="48" spans="2:5" x14ac:dyDescent="0.2">
      <c r="B48" s="1969"/>
      <c r="C48" s="1969"/>
      <c r="D48" s="1969"/>
    </row>
    <row r="52" spans="2:9" x14ac:dyDescent="0.2">
      <c r="B52" s="1973"/>
      <c r="C52" s="1973"/>
      <c r="D52" s="1973"/>
    </row>
    <row r="53" spans="2:9" ht="12.75" customHeight="1" x14ac:dyDescent="0.2"/>
    <row r="54" spans="2:9" ht="12.75" customHeight="1" x14ac:dyDescent="0.2">
      <c r="B54" s="1972"/>
      <c r="C54" s="1972"/>
      <c r="D54" s="1972"/>
      <c r="E54" s="1972"/>
      <c r="F54" s="1972"/>
      <c r="G54" s="1972"/>
      <c r="H54" s="1972"/>
      <c r="I54" s="1972"/>
    </row>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row>
    <row r="61" spans="2:9" ht="12.75" customHeight="1" x14ac:dyDescent="0.2">
      <c r="B61" s="1972"/>
      <c r="C61" s="1972"/>
      <c r="D61" s="1972"/>
      <c r="E61" s="1972"/>
      <c r="F61" s="1972"/>
      <c r="G61" s="1972"/>
      <c r="H61" s="1972"/>
      <c r="I61" s="1972"/>
    </row>
    <row r="65" spans="2:4" x14ac:dyDescent="0.2">
      <c r="B65" s="1971"/>
      <c r="C65" s="1971"/>
      <c r="D65" s="1971"/>
    </row>
    <row r="66" spans="2:4" x14ac:dyDescent="0.2">
      <c r="B66" s="1969"/>
      <c r="C66" s="1969"/>
      <c r="D66" s="1969"/>
    </row>
    <row r="67" spans="2:4" x14ac:dyDescent="0.2">
      <c r="B67" s="1969"/>
      <c r="C67" s="1969"/>
      <c r="D67" s="1969"/>
    </row>
    <row r="68" spans="2:4" x14ac:dyDescent="0.2">
      <c r="B68" s="1970"/>
      <c r="C68" s="1970"/>
      <c r="D68" s="1970"/>
    </row>
    <row r="69" spans="2:4" x14ac:dyDescent="0.2">
      <c r="B69" s="1970"/>
      <c r="C69" s="1970"/>
      <c r="D69" s="1970"/>
    </row>
    <row r="70" spans="2:4" x14ac:dyDescent="0.2">
      <c r="B70" s="1970"/>
      <c r="C70" s="1970"/>
      <c r="D70" s="1970"/>
    </row>
    <row r="71" spans="2:4" x14ac:dyDescent="0.2">
      <c r="B71" s="1969"/>
      <c r="C71" s="1969"/>
      <c r="D71"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1:L71"/>
  <sheetViews>
    <sheetView showGridLines="0" zoomScale="110" zoomScaleNormal="110" zoomScaleSheetLayoutView="100" workbookViewId="0"/>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11" spans="2:12" x14ac:dyDescent="0.2">
      <c r="B11" s="2702" t="s">
        <v>2068</v>
      </c>
      <c r="C11" s="2702"/>
      <c r="D11" s="2702"/>
      <c r="E11" s="2702" t="s">
        <v>2068</v>
      </c>
    </row>
    <row r="12" spans="2:12" ht="13.5" customHeight="1" x14ac:dyDescent="0.2">
      <c r="B12" s="2703" t="s">
        <v>2066</v>
      </c>
      <c r="C12" s="2703"/>
      <c r="D12" s="2703"/>
      <c r="E12" s="2703"/>
      <c r="F12" s="1991"/>
      <c r="G12" s="1991"/>
      <c r="H12" s="1991"/>
      <c r="I12" s="1991"/>
      <c r="J12" s="1991"/>
      <c r="K12" s="1991"/>
      <c r="L12" s="1991"/>
    </row>
    <row r="13" spans="2:12" ht="13.5" customHeight="1" x14ac:dyDescent="0.2">
      <c r="B13" s="2704" t="s">
        <v>2148</v>
      </c>
      <c r="C13" s="2704"/>
      <c r="D13" s="2704"/>
      <c r="E13" s="2704"/>
      <c r="F13" s="1990"/>
      <c r="G13" s="1990"/>
      <c r="H13" s="1990"/>
      <c r="I13" s="1990"/>
      <c r="J13" s="1990"/>
      <c r="K13" s="1990"/>
      <c r="L13" s="1990"/>
    </row>
    <row r="14" spans="2:12" ht="13.5" customHeight="1" x14ac:dyDescent="0.2">
      <c r="B14" s="2705" t="s">
        <v>1982</v>
      </c>
      <c r="C14" s="2705"/>
      <c r="D14" s="2705"/>
      <c r="E14" s="2705"/>
      <c r="F14" s="1989"/>
      <c r="G14" s="1989"/>
      <c r="H14" s="1989"/>
      <c r="I14" s="1989"/>
      <c r="J14" s="1989"/>
      <c r="K14" s="1989"/>
      <c r="L14" s="1989"/>
    </row>
    <row r="15" spans="2:12" ht="29.85" customHeight="1" x14ac:dyDescent="0.2">
      <c r="B15" s="1972"/>
      <c r="C15" s="1972"/>
      <c r="D15" s="1972"/>
      <c r="E15" s="1972"/>
      <c r="F15" s="1972"/>
      <c r="G15" s="1972"/>
      <c r="H15" s="1972"/>
      <c r="I15" s="1972"/>
    </row>
    <row r="16" spans="2:12" ht="13.5" customHeight="1" x14ac:dyDescent="0.2">
      <c r="B16" s="1988" t="s">
        <v>2147</v>
      </c>
      <c r="C16" s="1988"/>
      <c r="D16" s="1987"/>
      <c r="E16" s="1986"/>
      <c r="F16" s="1986"/>
      <c r="G16" s="1985"/>
      <c r="H16" s="1985"/>
      <c r="I16" s="1985"/>
    </row>
    <row r="17" spans="2:9" ht="13.5" customHeight="1" x14ac:dyDescent="0.2">
      <c r="B17" s="1972" t="s">
        <v>1169</v>
      </c>
      <c r="C17" s="1972"/>
      <c r="D17" s="1972"/>
      <c r="E17" s="1972"/>
      <c r="F17" s="1972"/>
      <c r="G17" s="1972"/>
      <c r="H17" s="1972"/>
      <c r="I17" s="1972"/>
    </row>
    <row r="18" spans="2:9" ht="13.5" customHeight="1" x14ac:dyDescent="0.2">
      <c r="B18" s="1979" t="s">
        <v>2146</v>
      </c>
      <c r="C18" s="1984" t="s">
        <v>1984</v>
      </c>
      <c r="D18" s="1983">
        <v>6</v>
      </c>
      <c r="E18" s="1972"/>
      <c r="F18" s="1972"/>
      <c r="G18" s="1972"/>
      <c r="H18" s="1972"/>
      <c r="I18" s="1972"/>
    </row>
    <row r="19" spans="2:9" ht="13.5" customHeight="1" x14ac:dyDescent="0.2">
      <c r="B19" s="1982"/>
      <c r="C19" s="1982"/>
      <c r="D19" s="1982"/>
    </row>
    <row r="20" spans="2:9" ht="13.5" customHeight="1" x14ac:dyDescent="0.2">
      <c r="B20" s="1979" t="s">
        <v>2145</v>
      </c>
      <c r="C20" s="1979"/>
      <c r="D20" s="1972"/>
    </row>
    <row r="21" spans="2:9" ht="66.75" customHeight="1" x14ac:dyDescent="0.2">
      <c r="B21" s="2706" t="s">
        <v>2174</v>
      </c>
      <c r="C21" s="2706"/>
      <c r="D21" s="2707"/>
      <c r="E21" s="2707"/>
    </row>
    <row r="22" spans="2:9" ht="13.5" customHeight="1" x14ac:dyDescent="0.2">
      <c r="B22" s="1972"/>
      <c r="C22" s="1972"/>
      <c r="D22" s="1972"/>
    </row>
    <row r="23" spans="2:9" ht="13.5" customHeight="1" x14ac:dyDescent="0.2">
      <c r="B23" s="1979" t="s">
        <v>2143</v>
      </c>
      <c r="C23" s="1979"/>
      <c r="D23" s="1972"/>
    </row>
    <row r="24" spans="2:9" ht="76.5" customHeight="1" x14ac:dyDescent="0.2">
      <c r="B24" s="2706" t="s">
        <v>2184</v>
      </c>
      <c r="C24" s="2706"/>
      <c r="D24" s="2707"/>
      <c r="E24" s="2707"/>
    </row>
    <row r="25" spans="2:9" ht="13.5" customHeight="1" x14ac:dyDescent="0.2">
      <c r="B25" s="1972"/>
      <c r="C25" s="1972"/>
      <c r="D25" s="1972"/>
    </row>
    <row r="26" spans="2:9" ht="13.5" customHeight="1" x14ac:dyDescent="0.2">
      <c r="B26" s="1979" t="s">
        <v>2141</v>
      </c>
      <c r="C26" s="1979"/>
      <c r="D26" s="1972"/>
      <c r="E26" s="1981" t="s">
        <v>2140</v>
      </c>
    </row>
    <row r="27" spans="2:9" ht="13.5" customHeight="1" x14ac:dyDescent="0.2">
      <c r="B27" s="1972"/>
      <c r="C27" s="1972"/>
      <c r="D27" s="1972"/>
    </row>
    <row r="28" spans="2:9" ht="13.5" customHeight="1" x14ac:dyDescent="0.2">
      <c r="B28" s="1979" t="s">
        <v>2139</v>
      </c>
      <c r="C28" s="1979"/>
      <c r="D28" s="1972"/>
      <c r="E28" s="1980" t="s">
        <v>2138</v>
      </c>
    </row>
    <row r="29" spans="2:9" ht="13.5" customHeight="1" x14ac:dyDescent="0.2">
      <c r="B29" s="1972"/>
      <c r="C29" s="1972"/>
      <c r="D29" s="1972"/>
    </row>
    <row r="30" spans="2:9" ht="13.5" customHeight="1" x14ac:dyDescent="0.2">
      <c r="B30" s="1979" t="s">
        <v>2137</v>
      </c>
      <c r="C30" s="1979"/>
      <c r="D30" s="1972"/>
      <c r="E30" s="2701" t="s">
        <v>2149</v>
      </c>
    </row>
    <row r="31" spans="2:9" ht="13.5" customHeight="1" x14ac:dyDescent="0.2">
      <c r="B31" s="1972"/>
      <c r="C31" s="1972"/>
      <c r="D31" s="1972"/>
      <c r="E31" s="2701"/>
    </row>
    <row r="32" spans="2:9" ht="13.5" customHeight="1" x14ac:dyDescent="0.2">
      <c r="B32" s="1972"/>
      <c r="C32" s="1972"/>
      <c r="D32" s="1972"/>
      <c r="E32" s="2701"/>
    </row>
    <row r="33" spans="2:5" ht="13.5" customHeight="1" x14ac:dyDescent="0.2">
      <c r="B33" s="1972"/>
      <c r="C33" s="1972"/>
      <c r="D33" s="1972"/>
      <c r="E33" s="2701"/>
    </row>
    <row r="34" spans="2:5" ht="13.5" customHeight="1" x14ac:dyDescent="0.2">
      <c r="B34" s="1972"/>
      <c r="C34" s="1972"/>
      <c r="D34" s="1972"/>
    </row>
    <row r="35" spans="2:5" ht="13.5" customHeight="1" x14ac:dyDescent="0.2">
      <c r="B35" s="1993"/>
      <c r="C35" s="1993"/>
      <c r="D35" s="1993"/>
    </row>
    <row r="36" spans="2:5" ht="13.5" customHeight="1" x14ac:dyDescent="0.2">
      <c r="B36" s="1993"/>
      <c r="C36" s="1993"/>
      <c r="D36" s="1993"/>
    </row>
    <row r="37" spans="2:5" ht="13.5" customHeight="1" x14ac:dyDescent="0.2"/>
    <row r="38" spans="2:5" ht="13.5" customHeight="1" x14ac:dyDescent="0.2"/>
    <row r="39" spans="2:5" ht="13.5" customHeight="1" x14ac:dyDescent="0.2"/>
    <row r="40" spans="2:5" ht="13.5" customHeight="1" x14ac:dyDescent="0.2"/>
    <row r="41" spans="2:5" ht="13.5" customHeight="1" x14ac:dyDescent="0.2"/>
    <row r="42" spans="2:5" ht="13.5" customHeight="1" x14ac:dyDescent="0.2">
      <c r="B42" s="1977"/>
      <c r="C42" s="1977"/>
      <c r="D42" s="1977"/>
      <c r="E42" s="1976"/>
    </row>
    <row r="43" spans="2:5" ht="12.2" customHeight="1" x14ac:dyDescent="0.2">
      <c r="B43" s="1975" t="s">
        <v>2135</v>
      </c>
      <c r="C43" s="1975"/>
      <c r="D43" s="1975"/>
    </row>
    <row r="44" spans="2:5" ht="12.2" customHeight="1" x14ac:dyDescent="0.2">
      <c r="B44" s="1974"/>
      <c r="C44" s="1974"/>
      <c r="D44" s="1974"/>
    </row>
    <row r="45" spans="2:5" ht="12.75" customHeight="1" x14ac:dyDescent="0.2">
      <c r="B45" s="1969"/>
      <c r="C45" s="1969"/>
      <c r="D45" s="1969"/>
    </row>
    <row r="46" spans="2:5" ht="12.75" customHeight="1" x14ac:dyDescent="0.2">
      <c r="B46" s="1969"/>
      <c r="C46" s="1969"/>
      <c r="D46" s="1969"/>
    </row>
    <row r="47" spans="2:5" x14ac:dyDescent="0.2">
      <c r="B47" s="1969"/>
      <c r="C47" s="1969"/>
      <c r="D47" s="1969"/>
    </row>
    <row r="48" spans="2:5" x14ac:dyDescent="0.2">
      <c r="B48" s="1969"/>
      <c r="C48" s="1969"/>
      <c r="D48" s="1969"/>
    </row>
    <row r="52" spans="2:9" x14ac:dyDescent="0.2">
      <c r="B52" s="1973"/>
      <c r="C52" s="1973"/>
      <c r="D52" s="1973"/>
    </row>
    <row r="53" spans="2:9" ht="12.75" customHeight="1" x14ac:dyDescent="0.2"/>
    <row r="54" spans="2:9" ht="12.75" customHeight="1" x14ac:dyDescent="0.2">
      <c r="B54" s="1972"/>
      <c r="C54" s="1972"/>
      <c r="D54" s="1972"/>
      <c r="E54" s="1972"/>
      <c r="F54" s="1972"/>
      <c r="G54" s="1972"/>
      <c r="H54" s="1972"/>
      <c r="I54" s="1972"/>
    </row>
    <row r="55" spans="2:9" ht="12.75" customHeight="1" x14ac:dyDescent="0.2">
      <c r="B55" s="1972"/>
      <c r="C55" s="1972"/>
      <c r="D55" s="1972"/>
      <c r="E55" s="1972"/>
      <c r="F55" s="1972"/>
      <c r="G55" s="1972"/>
      <c r="H55" s="1972"/>
      <c r="I55" s="1972"/>
    </row>
    <row r="56" spans="2:9" ht="12.75" customHeight="1" x14ac:dyDescent="0.2">
      <c r="B56" s="1972"/>
      <c r="C56" s="1972"/>
      <c r="D56" s="1972"/>
      <c r="E56" s="1972"/>
      <c r="F56" s="1972"/>
      <c r="G56" s="1972"/>
      <c r="H56" s="1972"/>
      <c r="I56" s="1972"/>
    </row>
    <row r="57" spans="2:9" ht="12.75" customHeight="1" x14ac:dyDescent="0.2">
      <c r="B57" s="1972"/>
      <c r="C57" s="1972"/>
      <c r="D57" s="1972"/>
      <c r="E57" s="1972"/>
      <c r="F57" s="1972"/>
      <c r="G57" s="1972"/>
      <c r="H57" s="1972"/>
      <c r="I57" s="1972"/>
    </row>
    <row r="58" spans="2:9" ht="12.75" customHeight="1" x14ac:dyDescent="0.2">
      <c r="B58" s="1972"/>
      <c r="C58" s="1972"/>
      <c r="D58" s="1972"/>
      <c r="E58" s="1972"/>
      <c r="F58" s="1972"/>
      <c r="G58" s="1972"/>
      <c r="H58" s="1972"/>
      <c r="I58" s="1972"/>
    </row>
    <row r="59" spans="2:9" ht="12.75" customHeight="1" x14ac:dyDescent="0.2">
      <c r="B59" s="1972"/>
      <c r="C59" s="1972"/>
      <c r="D59" s="1972"/>
      <c r="E59" s="1972"/>
      <c r="F59" s="1972"/>
      <c r="G59" s="1972"/>
      <c r="H59" s="1972"/>
      <c r="I59" s="1972"/>
    </row>
    <row r="60" spans="2:9" ht="12.75" customHeight="1" x14ac:dyDescent="0.2">
      <c r="B60" s="1972"/>
      <c r="C60" s="1972"/>
      <c r="D60" s="1972"/>
      <c r="E60" s="1972"/>
      <c r="F60" s="1972"/>
    </row>
    <row r="61" spans="2:9" ht="12.75" customHeight="1" x14ac:dyDescent="0.2">
      <c r="B61" s="1972"/>
      <c r="C61" s="1972"/>
      <c r="D61" s="1972"/>
      <c r="E61" s="1972"/>
      <c r="F61" s="1972"/>
      <c r="G61" s="1972"/>
      <c r="H61" s="1972"/>
      <c r="I61" s="1972"/>
    </row>
    <row r="65" spans="2:4" x14ac:dyDescent="0.2">
      <c r="B65" s="1971"/>
      <c r="C65" s="1971"/>
      <c r="D65" s="1971"/>
    </row>
    <row r="66" spans="2:4" x14ac:dyDescent="0.2">
      <c r="B66" s="1969"/>
      <c r="C66" s="1969"/>
      <c r="D66" s="1969"/>
    </row>
    <row r="67" spans="2:4" x14ac:dyDescent="0.2">
      <c r="B67" s="1969"/>
      <c r="C67" s="1969"/>
      <c r="D67" s="1969"/>
    </row>
    <row r="68" spans="2:4" x14ac:dyDescent="0.2">
      <c r="B68" s="1970"/>
      <c r="C68" s="1970"/>
      <c r="D68" s="1970"/>
    </row>
    <row r="69" spans="2:4" x14ac:dyDescent="0.2">
      <c r="B69" s="1970"/>
      <c r="C69" s="1970"/>
      <c r="D69" s="1970"/>
    </row>
    <row r="70" spans="2:4" x14ac:dyDescent="0.2">
      <c r="B70" s="1970"/>
      <c r="C70" s="1970"/>
      <c r="D70" s="1970"/>
    </row>
    <row r="71" spans="2:4" x14ac:dyDescent="0.2">
      <c r="B71" s="1969"/>
      <c r="C71" s="1969"/>
      <c r="D71" s="1969"/>
    </row>
  </sheetData>
  <mergeCells count="7">
    <mergeCell ref="E30:E33"/>
    <mergeCell ref="B11:E11"/>
    <mergeCell ref="B12:E12"/>
    <mergeCell ref="B13:E13"/>
    <mergeCell ref="B14:E14"/>
    <mergeCell ref="B21:E21"/>
    <mergeCell ref="B24:E2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99"/>
      <c r="B1" s="2300"/>
      <c r="C1" s="2300"/>
      <c r="D1" s="384"/>
      <c r="E1" s="384"/>
      <c r="F1" s="384"/>
      <c r="G1" s="384"/>
      <c r="H1" s="384"/>
      <c r="I1" s="384"/>
      <c r="J1" s="384"/>
      <c r="K1" s="384"/>
      <c r="L1" s="384"/>
      <c r="M1" s="384"/>
      <c r="N1" s="384"/>
      <c r="O1" s="2299"/>
      <c r="P1" s="2300"/>
      <c r="Q1" s="2300"/>
    </row>
    <row r="2" spans="1:18" ht="15" x14ac:dyDescent="0.2">
      <c r="A2" s="2303" t="s">
        <v>556</v>
      </c>
      <c r="B2" s="2303"/>
      <c r="C2" s="2303"/>
      <c r="D2" s="2303"/>
      <c r="E2" s="2303"/>
      <c r="F2" s="2303"/>
      <c r="G2" s="2303"/>
      <c r="H2" s="2303"/>
      <c r="I2" s="2303"/>
      <c r="J2" s="2303"/>
      <c r="K2" s="2303"/>
      <c r="L2" s="2303"/>
      <c r="M2" s="2303"/>
      <c r="N2" s="2303"/>
      <c r="O2" s="2303"/>
      <c r="P2" s="2303"/>
      <c r="Q2" s="2303"/>
      <c r="R2" s="2303"/>
    </row>
    <row r="3" spans="1:18" ht="12.75" x14ac:dyDescent="0.2">
      <c r="A3" s="2304" t="s">
        <v>1413</v>
      </c>
      <c r="B3" s="2304"/>
      <c r="C3" s="2304"/>
      <c r="D3" s="2304"/>
      <c r="E3" s="2304"/>
      <c r="F3" s="2304"/>
      <c r="G3" s="2304"/>
      <c r="H3" s="2304"/>
      <c r="I3" s="2304"/>
      <c r="J3" s="2304"/>
      <c r="K3" s="2304"/>
      <c r="L3" s="2304"/>
      <c r="M3" s="2304"/>
      <c r="N3" s="2304"/>
      <c r="O3" s="2304"/>
      <c r="P3" s="2304"/>
      <c r="Q3" s="2304"/>
      <c r="R3" s="2304"/>
    </row>
    <row r="4" spans="1:18" x14ac:dyDescent="0.2">
      <c r="A4" s="2305" t="s">
        <v>1553</v>
      </c>
      <c r="B4" s="2305"/>
      <c r="C4" s="2305"/>
      <c r="D4" s="2305"/>
      <c r="E4" s="2305"/>
      <c r="F4" s="2305"/>
      <c r="G4" s="2305"/>
      <c r="H4" s="2305"/>
      <c r="I4" s="2305"/>
      <c r="J4" s="2305"/>
      <c r="K4" s="2305"/>
      <c r="L4" s="2305"/>
      <c r="M4" s="2305"/>
      <c r="N4" s="2305"/>
      <c r="O4" s="2305"/>
      <c r="P4" s="2305"/>
      <c r="Q4" s="2305"/>
      <c r="R4" s="23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Black Hawk Area Sp Ed District </v>
      </c>
      <c r="E7" s="391"/>
      <c r="G7" s="252"/>
      <c r="H7" s="387"/>
      <c r="I7" s="387"/>
      <c r="J7" s="387"/>
      <c r="K7" s="387"/>
      <c r="L7" s="329"/>
      <c r="M7" s="329"/>
      <c r="N7" s="329"/>
      <c r="O7" s="329"/>
      <c r="P7" s="329"/>
    </row>
    <row r="8" spans="1:18" ht="12.75" x14ac:dyDescent="0.2">
      <c r="A8" s="329"/>
      <c r="B8" s="329"/>
      <c r="C8" s="389" t="s">
        <v>1125</v>
      </c>
      <c r="D8" s="392">
        <f>COVER!A13</f>
        <v>49081865060</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2483275</v>
      </c>
      <c r="I12" s="404"/>
      <c r="J12" s="404"/>
      <c r="K12" s="405">
        <f>TRUNC((H12/H13*100000),5)/100000</f>
        <v>0.14517247119999999</v>
      </c>
      <c r="L12" s="406"/>
      <c r="M12" s="360" t="s">
        <v>1144</v>
      </c>
      <c r="N12" s="360"/>
      <c r="O12" s="407">
        <v>0.35</v>
      </c>
      <c r="P12" s="218"/>
      <c r="Q12" s="218"/>
    </row>
    <row r="13" spans="1:18" s="408" customFormat="1" ht="12.75" x14ac:dyDescent="0.2">
      <c r="A13" s="218"/>
      <c r="B13" s="401"/>
      <c r="C13" s="2301" t="s">
        <v>1324</v>
      </c>
      <c r="D13" s="2302"/>
      <c r="E13" s="218"/>
      <c r="F13" s="409" t="s">
        <v>793</v>
      </c>
      <c r="G13" s="402"/>
      <c r="H13" s="403">
        <f>SUM('Acct Summary 7-8'!C8+'Acct Summary 7-8'!D8+'Acct Summary 7-8'!F8+'Acct Summary 7-8'!I8)+H14</f>
        <v>17105688</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17016222</v>
      </c>
      <c r="I17" s="404"/>
      <c r="J17" s="416"/>
      <c r="K17" s="405">
        <f>TRUNC((H17/H18*100000),5)/100000</f>
        <v>0.99476980989999997</v>
      </c>
      <c r="L17" s="406"/>
      <c r="M17" s="417" t="s">
        <v>1171</v>
      </c>
      <c r="O17" s="418" t="str">
        <f>IF(AND(O16="2", J20 &gt; 2),"1",IF(AND(O16 = "1", J20 &gt; 2),"2",IF(AND(O16="1", J20 &gt;1),"1","0")))</f>
        <v>0</v>
      </c>
      <c r="P17" s="218"/>
    </row>
    <row r="18" spans="1:18" s="408" customFormat="1" ht="11.25" x14ac:dyDescent="0.2">
      <c r="A18" s="218"/>
      <c r="B18" s="401"/>
      <c r="C18" s="2301" t="s">
        <v>1317</v>
      </c>
      <c r="D18" s="2302"/>
      <c r="E18" s="218"/>
      <c r="F18" s="419" t="s">
        <v>794</v>
      </c>
      <c r="G18" s="402"/>
      <c r="H18" s="403">
        <f>SUM('Acct Summary 7-8'!C8+'Acct Summary 7-8'!D8+'Acct Summary 7-8'!F8+'Acct Summary 7-8'!I8)+H19</f>
        <v>17105688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298" t="s">
        <v>1412</v>
      </c>
      <c r="D24" s="2298"/>
      <c r="E24" s="218"/>
      <c r="F24" s="218" t="s">
        <v>445</v>
      </c>
      <c r="G24" s="402"/>
      <c r="H24" s="403">
        <f>SUM('Assets-Liab 5-6'!C4+'Assets-Liab 5-6'!D4+'Assets-Liab 5-6'!F4+'Assets-Liab 5-6'!I4+'Assets-Liab 5-6'!C5+'Assets-Liab 5-6'!D5+'Assets-Liab 5-6'!F5+'Assets-Liab 5-6'!I5)</f>
        <v>2838292</v>
      </c>
      <c r="I24" s="422"/>
      <c r="J24" s="422"/>
      <c r="K24" s="423">
        <f>TRUNC(((H24/H25*100000)/100000),2)</f>
        <v>60.04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47267.283329999998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1924</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#DIV/0!</v>
      </c>
      <c r="P31" s="216"/>
    </row>
    <row r="32" spans="1:18" s="408" customFormat="1" ht="11.25" x14ac:dyDescent="0.2">
      <c r="A32" s="218"/>
      <c r="B32" s="401"/>
      <c r="C32" s="218" t="s">
        <v>847</v>
      </c>
      <c r="D32" s="218"/>
      <c r="E32" s="218"/>
      <c r="F32" s="218"/>
      <c r="G32" s="402"/>
      <c r="H32" s="403">
        <f>'FP Info 3'!H37</f>
        <v>0</v>
      </c>
      <c r="I32" s="420"/>
      <c r="J32" s="420"/>
      <c r="K32" s="423" t="e">
        <f>TRUNC(100-((((H32/H33*100))*100)/100),2)</f>
        <v>#DIV/0!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0</v>
      </c>
      <c r="I33" s="420"/>
      <c r="J33" s="420"/>
      <c r="K33" s="403"/>
      <c r="L33" s="218"/>
      <c r="M33" s="435" t="s">
        <v>1145</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29" sqref="F29"/>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306" t="s">
        <v>1493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3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308" t="s">
        <v>973</v>
      </c>
      <c r="B3" s="2309"/>
      <c r="C3" s="1533"/>
      <c r="D3" s="1534"/>
      <c r="E3" s="1534"/>
      <c r="F3" s="1534"/>
      <c r="G3" s="1534"/>
      <c r="H3" s="1534"/>
      <c r="I3" s="1534"/>
      <c r="J3" s="1534"/>
      <c r="K3" s="1534"/>
      <c r="L3" s="1534"/>
      <c r="M3" s="1535"/>
      <c r="N3" s="1536"/>
    </row>
    <row r="4" spans="1:14" ht="13.5" customHeight="1" x14ac:dyDescent="0.2">
      <c r="A4" s="463" t="s">
        <v>1650</v>
      </c>
      <c r="B4" s="464"/>
      <c r="C4" s="465">
        <v>2753743</v>
      </c>
      <c r="D4" s="465">
        <v>72914</v>
      </c>
      <c r="E4" s="465">
        <v>0</v>
      </c>
      <c r="F4" s="465">
        <v>11635</v>
      </c>
      <c r="G4" s="465">
        <v>0</v>
      </c>
      <c r="H4" s="465">
        <v>0</v>
      </c>
      <c r="I4" s="465">
        <v>0</v>
      </c>
      <c r="J4" s="465">
        <v>0</v>
      </c>
      <c r="K4" s="465">
        <v>0</v>
      </c>
      <c r="L4" s="465">
        <v>36904</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1475371</v>
      </c>
      <c r="D8" s="465">
        <v>0</v>
      </c>
      <c r="E8" s="465"/>
      <c r="F8" s="465">
        <v>9393</v>
      </c>
      <c r="G8" s="465">
        <v>0</v>
      </c>
      <c r="H8" s="465">
        <v>0</v>
      </c>
      <c r="I8" s="473"/>
      <c r="J8" s="473"/>
      <c r="K8" s="465"/>
      <c r="L8" s="478"/>
      <c r="M8" s="468"/>
      <c r="N8" s="469"/>
    </row>
    <row r="9" spans="1:14" ht="13.5" customHeight="1" x14ac:dyDescent="0.2">
      <c r="A9" s="472" t="s">
        <v>270</v>
      </c>
      <c r="B9" s="470">
        <v>160</v>
      </c>
      <c r="C9" s="465">
        <v>421709</v>
      </c>
      <c r="D9" s="465">
        <v>0</v>
      </c>
      <c r="E9" s="465">
        <v>0</v>
      </c>
      <c r="F9" s="465">
        <v>50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10613</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10" t="s">
        <v>644</v>
      </c>
      <c r="B13" s="1683"/>
      <c r="C13" s="1711">
        <f>SUM(C4:C12)</f>
        <v>4650823</v>
      </c>
      <c r="D13" s="1711">
        <f t="shared" ref="D13:L13" si="0">SUM(D4:D12)</f>
        <v>72914</v>
      </c>
      <c r="E13" s="1711">
        <f t="shared" si="0"/>
        <v>0</v>
      </c>
      <c r="F13" s="1711">
        <f t="shared" si="0"/>
        <v>21078</v>
      </c>
      <c r="G13" s="1711">
        <f t="shared" si="0"/>
        <v>0</v>
      </c>
      <c r="H13" s="1711">
        <f t="shared" si="0"/>
        <v>0</v>
      </c>
      <c r="I13" s="1711">
        <f t="shared" si="0"/>
        <v>0</v>
      </c>
      <c r="J13" s="1711">
        <f t="shared" si="0"/>
        <v>0</v>
      </c>
      <c r="K13" s="1711">
        <f t="shared" si="0"/>
        <v>0</v>
      </c>
      <c r="L13" s="1711">
        <f t="shared" si="0"/>
        <v>47517</v>
      </c>
      <c r="M13" s="468"/>
      <c r="N13" s="469"/>
    </row>
    <row r="14" spans="1:14" ht="18" customHeight="1" thickTop="1" x14ac:dyDescent="0.2">
      <c r="A14" s="2310" t="s">
        <v>147</v>
      </c>
      <c r="B14" s="2311"/>
      <c r="C14" s="1537"/>
      <c r="D14" s="1538"/>
      <c r="E14" s="1538"/>
      <c r="F14" s="1538"/>
      <c r="G14" s="1538"/>
      <c r="H14" s="1538"/>
      <c r="I14" s="1538"/>
      <c r="J14" s="1538"/>
      <c r="K14" s="1538"/>
      <c r="L14" s="1538"/>
      <c r="M14" s="1539"/>
      <c r="N14" s="1540"/>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26901</v>
      </c>
      <c r="N16" s="482"/>
    </row>
    <row r="17" spans="1:14" s="483" customFormat="1" ht="12.75" customHeight="1" x14ac:dyDescent="0.2">
      <c r="A17" s="480" t="s">
        <v>1403</v>
      </c>
      <c r="B17" s="481">
        <v>230</v>
      </c>
      <c r="C17" s="475"/>
      <c r="D17" s="475"/>
      <c r="E17" s="475"/>
      <c r="F17" s="475"/>
      <c r="G17" s="475"/>
      <c r="H17" s="475"/>
      <c r="I17" s="475"/>
      <c r="J17" s="475"/>
      <c r="K17" s="475"/>
      <c r="L17" s="475"/>
      <c r="M17" s="465">
        <v>3077120</v>
      </c>
      <c r="N17" s="482"/>
    </row>
    <row r="18" spans="1:14" s="483" customFormat="1" ht="12.75" customHeight="1" x14ac:dyDescent="0.2">
      <c r="A18" s="480" t="s">
        <v>1404</v>
      </c>
      <c r="B18" s="481">
        <v>240</v>
      </c>
      <c r="C18" s="475"/>
      <c r="D18" s="475"/>
      <c r="E18" s="475"/>
      <c r="F18" s="475"/>
      <c r="G18" s="475"/>
      <c r="H18" s="475"/>
      <c r="I18" s="475"/>
      <c r="J18" s="475"/>
      <c r="K18" s="475"/>
      <c r="L18" s="475"/>
      <c r="M18" s="465">
        <v>1202186</v>
      </c>
      <c r="N18" s="482"/>
    </row>
    <row r="19" spans="1:14" s="483" customFormat="1" ht="12.75" customHeight="1" x14ac:dyDescent="0.2">
      <c r="A19" s="480" t="s">
        <v>1405</v>
      </c>
      <c r="B19" s="481">
        <v>250</v>
      </c>
      <c r="C19" s="475"/>
      <c r="D19" s="475"/>
      <c r="E19" s="475"/>
      <c r="F19" s="475"/>
      <c r="G19" s="475"/>
      <c r="H19" s="475"/>
      <c r="I19" s="475"/>
      <c r="J19" s="475"/>
      <c r="K19" s="475"/>
      <c r="L19" s="475"/>
      <c r="M19" s="465">
        <v>923534</v>
      </c>
      <c r="N19" s="482"/>
    </row>
    <row r="20" spans="1:14" s="483" customFormat="1" ht="12.75" customHeight="1" x14ac:dyDescent="0.2">
      <c r="A20" s="480" t="s">
        <v>1406</v>
      </c>
      <c r="B20" s="481">
        <v>260</v>
      </c>
      <c r="C20" s="475"/>
      <c r="D20" s="475"/>
      <c r="E20" s="475"/>
      <c r="F20" s="475"/>
      <c r="G20" s="475"/>
      <c r="H20" s="475"/>
      <c r="I20" s="475"/>
      <c r="J20" s="475"/>
      <c r="K20" s="475"/>
      <c r="L20" s="475"/>
      <c r="M20" s="465">
        <v>9949</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10" t="s">
        <v>643</v>
      </c>
      <c r="B23" s="1715"/>
      <c r="C23" s="468"/>
      <c r="D23" s="468"/>
      <c r="E23" s="468"/>
      <c r="F23" s="468"/>
      <c r="G23" s="468"/>
      <c r="H23" s="468"/>
      <c r="I23" s="468"/>
      <c r="J23" s="468"/>
      <c r="K23" s="468"/>
      <c r="L23" s="468"/>
      <c r="M23" s="1662">
        <f>SUM(M15:M22)</f>
        <v>5239690</v>
      </c>
      <c r="N23" s="1662">
        <f>SUM(N21:N22)</f>
        <v>0</v>
      </c>
    </row>
    <row r="24" spans="1:14" ht="18" customHeight="1" thickTop="1" x14ac:dyDescent="0.2">
      <c r="A24" s="2312" t="s">
        <v>598</v>
      </c>
      <c r="B24" s="2313"/>
      <c r="C24" s="1542"/>
      <c r="D24" s="1539"/>
      <c r="E24" s="1539"/>
      <c r="F24" s="1539"/>
      <c r="G24" s="1539"/>
      <c r="H24" s="1539"/>
      <c r="I24" s="1539"/>
      <c r="J24" s="1539"/>
      <c r="K24" s="1539"/>
      <c r="L24" s="1539"/>
      <c r="M24" s="1538"/>
      <c r="N24" s="1543"/>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1323719</v>
      </c>
      <c r="D26" s="465">
        <v>0</v>
      </c>
      <c r="E26" s="465">
        <v>0</v>
      </c>
      <c r="F26" s="465">
        <v>2442</v>
      </c>
      <c r="G26" s="465">
        <v>0</v>
      </c>
      <c r="H26" s="465">
        <v>0</v>
      </c>
      <c r="I26" s="465">
        <v>0</v>
      </c>
      <c r="J26" s="465">
        <v>0</v>
      </c>
      <c r="K26" s="465">
        <v>0</v>
      </c>
      <c r="L26" s="468"/>
      <c r="M26" s="468"/>
      <c r="N26" s="468"/>
    </row>
    <row r="27" spans="1:14" ht="13.5" customHeight="1" x14ac:dyDescent="0.2">
      <c r="A27" s="472" t="s">
        <v>647</v>
      </c>
      <c r="B27" s="470">
        <v>430</v>
      </c>
      <c r="C27" s="465">
        <v>49224</v>
      </c>
      <c r="D27" s="465">
        <v>9949</v>
      </c>
      <c r="E27" s="465">
        <v>0</v>
      </c>
      <c r="F27" s="465">
        <v>260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809659</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40890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25397</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39694</v>
      </c>
      <c r="M33" s="468"/>
      <c r="N33" s="469"/>
    </row>
    <row r="34" spans="1:14" ht="13.5" customHeight="1" thickBot="1" x14ac:dyDescent="0.25">
      <c r="A34" s="1712" t="s">
        <v>654</v>
      </c>
      <c r="B34" s="1713"/>
      <c r="C34" s="1714">
        <f>SUM(C25:C33)</f>
        <v>2248889</v>
      </c>
      <c r="D34" s="1714">
        <f t="shared" ref="D34:K34" si="1">SUM(D25:D33)</f>
        <v>9949</v>
      </c>
      <c r="E34" s="1714">
        <f t="shared" si="1"/>
        <v>0</v>
      </c>
      <c r="F34" s="1714">
        <f t="shared" si="1"/>
        <v>2702</v>
      </c>
      <c r="G34" s="1714">
        <f t="shared" si="1"/>
        <v>0</v>
      </c>
      <c r="H34" s="1714">
        <f t="shared" si="1"/>
        <v>0</v>
      </c>
      <c r="I34" s="1714">
        <f t="shared" si="1"/>
        <v>0</v>
      </c>
      <c r="J34" s="1714">
        <f t="shared" si="1"/>
        <v>0</v>
      </c>
      <c r="K34" s="1714">
        <f t="shared" si="1"/>
        <v>0</v>
      </c>
      <c r="L34" s="1695">
        <f>SUM(L33)</f>
        <v>39694</v>
      </c>
      <c r="M34" s="468"/>
      <c r="N34" s="478"/>
    </row>
    <row r="35" spans="1:14" ht="18" customHeight="1" thickTop="1" x14ac:dyDescent="0.2">
      <c r="A35" s="2314" t="s">
        <v>529</v>
      </c>
      <c r="B35" s="2315"/>
      <c r="C35" s="1544"/>
      <c r="D35" s="1545"/>
      <c r="E35" s="1545"/>
      <c r="F35" s="1545"/>
      <c r="G35" s="1545"/>
      <c r="H35" s="1545"/>
      <c r="I35" s="1545"/>
      <c r="J35" s="1545"/>
      <c r="K35" s="1545"/>
      <c r="L35" s="1545"/>
      <c r="M35" s="1539"/>
      <c r="N35" s="1543"/>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10" t="s">
        <v>653</v>
      </c>
      <c r="B37" s="1715"/>
      <c r="C37" s="475"/>
      <c r="D37" s="475"/>
      <c r="E37" s="475"/>
      <c r="F37" s="475"/>
      <c r="G37" s="475"/>
      <c r="H37" s="475"/>
      <c r="I37" s="475"/>
      <c r="J37" s="475"/>
      <c r="K37" s="475"/>
      <c r="L37" s="478"/>
      <c r="M37" s="468"/>
      <c r="N37" s="1662">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7823</v>
      </c>
      <c r="M38" s="494"/>
      <c r="N38" s="494"/>
    </row>
    <row r="39" spans="1:14" s="329" customFormat="1" ht="13.5" customHeight="1" x14ac:dyDescent="0.2">
      <c r="A39" s="493" t="s">
        <v>342</v>
      </c>
      <c r="B39" s="481">
        <v>730</v>
      </c>
      <c r="C39" s="465">
        <v>2401934</v>
      </c>
      <c r="D39" s="465">
        <v>62965</v>
      </c>
      <c r="E39" s="465">
        <v>0</v>
      </c>
      <c r="F39" s="465">
        <v>18376</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5239690</v>
      </c>
      <c r="N40" s="494"/>
    </row>
    <row r="41" spans="1:14" ht="13.5" customHeight="1" thickBot="1" x14ac:dyDescent="0.25">
      <c r="A41" s="1710" t="s">
        <v>655</v>
      </c>
      <c r="B41" s="1680"/>
      <c r="C41" s="1662">
        <f>(SUM(C34,C37,C38,C39))</f>
        <v>4650823</v>
      </c>
      <c r="D41" s="1662">
        <f t="shared" ref="D41:L41" si="2">SUM(D34,D37,D38:D39)</f>
        <v>72914</v>
      </c>
      <c r="E41" s="1662">
        <f t="shared" si="2"/>
        <v>0</v>
      </c>
      <c r="F41" s="1662">
        <f t="shared" si="2"/>
        <v>21078</v>
      </c>
      <c r="G41" s="1662">
        <f t="shared" si="2"/>
        <v>0</v>
      </c>
      <c r="H41" s="1662">
        <f t="shared" si="2"/>
        <v>0</v>
      </c>
      <c r="I41" s="1662">
        <f t="shared" si="2"/>
        <v>0</v>
      </c>
      <c r="J41" s="1662">
        <f t="shared" si="2"/>
        <v>0</v>
      </c>
      <c r="K41" s="1662">
        <f t="shared" si="2"/>
        <v>0</v>
      </c>
      <c r="L41" s="1662">
        <f t="shared" si="2"/>
        <v>47517</v>
      </c>
      <c r="M41" s="1662">
        <f>SUM(M40)</f>
        <v>5239690</v>
      </c>
      <c r="N41" s="1662">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29" sqref="F29"/>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324" t="s">
        <v>1651</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32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36" t="s">
        <v>1175</v>
      </c>
      <c r="B3" s="2337"/>
      <c r="C3" s="1547"/>
      <c r="D3" s="1548"/>
      <c r="E3" s="1548"/>
      <c r="F3" s="1548"/>
      <c r="G3" s="1548"/>
      <c r="H3" s="1548"/>
      <c r="I3" s="1548"/>
      <c r="J3" s="1548"/>
      <c r="K3" s="1549"/>
      <c r="L3" s="503"/>
    </row>
    <row r="4" spans="1:13" ht="15.75" customHeight="1" x14ac:dyDescent="0.2">
      <c r="A4" s="1899" t="s">
        <v>1498</v>
      </c>
      <c r="B4" s="1900">
        <v>1000</v>
      </c>
      <c r="C4" s="1716">
        <f>'Revenues 9-14'!C109</f>
        <v>7709948</v>
      </c>
      <c r="D4" s="1716">
        <f>'Revenues 9-14'!D109</f>
        <v>0</v>
      </c>
      <c r="E4" s="1716">
        <f>'Revenues 9-14'!E109</f>
        <v>0</v>
      </c>
      <c r="F4" s="1716">
        <f>'Revenues 9-14'!F109</f>
        <v>0</v>
      </c>
      <c r="G4" s="1716">
        <f>'Revenues 9-14'!G109</f>
        <v>0</v>
      </c>
      <c r="H4" s="1716">
        <f>'Revenues 9-14'!H109</f>
        <v>0</v>
      </c>
      <c r="I4" s="1716">
        <f>'Revenues 9-14'!I109</f>
        <v>0</v>
      </c>
      <c r="J4" s="1716">
        <f>'Revenues 9-14'!J109</f>
        <v>0</v>
      </c>
      <c r="K4" s="1716">
        <f>'Revenues 9-14'!K109</f>
        <v>0</v>
      </c>
      <c r="L4" s="347"/>
    </row>
    <row r="5" spans="1:13" ht="15.75" customHeight="1" x14ac:dyDescent="0.2">
      <c r="A5" s="1550" t="s">
        <v>1499</v>
      </c>
      <c r="B5" s="1551">
        <v>2000</v>
      </c>
      <c r="C5" s="1717">
        <f>'Revenues 9-14'!C114</f>
        <v>6340597</v>
      </c>
      <c r="D5" s="1717">
        <f>'Revenues 9-14'!D114</f>
        <v>0</v>
      </c>
      <c r="E5" s="505"/>
      <c r="F5" s="1717">
        <f>'Revenues 9-14'!F114</f>
        <v>0</v>
      </c>
      <c r="G5" s="1717">
        <f>'Revenues 9-14'!G114</f>
        <v>0</v>
      </c>
      <c r="H5" s="506" t="s">
        <v>1169</v>
      </c>
      <c r="I5" s="507" t="s">
        <v>1169</v>
      </c>
      <c r="J5" s="508" t="s">
        <v>1169</v>
      </c>
      <c r="K5" s="509" t="s">
        <v>1169</v>
      </c>
      <c r="L5" s="347"/>
    </row>
    <row r="6" spans="1:13" ht="15.75" customHeight="1" x14ac:dyDescent="0.2">
      <c r="A6" s="1550" t="s">
        <v>1500</v>
      </c>
      <c r="B6" s="1552">
        <v>3000</v>
      </c>
      <c r="C6" s="1717">
        <f>'Revenues 9-14'!C170</f>
        <v>1508874</v>
      </c>
      <c r="D6" s="1717">
        <f>'Revenues 9-14'!D170</f>
        <v>0</v>
      </c>
      <c r="E6" s="1717">
        <f>'Revenues 9-14'!E170</f>
        <v>0</v>
      </c>
      <c r="F6" s="1717">
        <f>'Revenues 9-14'!F170</f>
        <v>43618</v>
      </c>
      <c r="G6" s="1717">
        <f>'Revenues 9-14'!G170</f>
        <v>0</v>
      </c>
      <c r="H6" s="1717">
        <f>'Revenues 9-14'!H170</f>
        <v>0</v>
      </c>
      <c r="I6" s="1717">
        <f>'Revenues 9-14'!I170</f>
        <v>0</v>
      </c>
      <c r="J6" s="1717">
        <f>'Revenues 9-14'!J170</f>
        <v>0</v>
      </c>
      <c r="K6" s="1717">
        <f>'Revenues 9-14'!K170</f>
        <v>0</v>
      </c>
      <c r="L6" s="347"/>
      <c r="M6" s="510"/>
    </row>
    <row r="7" spans="1:13" ht="15.75" customHeight="1" x14ac:dyDescent="0.2">
      <c r="A7" s="1550" t="s">
        <v>1501</v>
      </c>
      <c r="B7" s="1552">
        <v>4000</v>
      </c>
      <c r="C7" s="1717">
        <f>'Revenues 9-14'!C267</f>
        <v>1502651</v>
      </c>
      <c r="D7" s="1717">
        <f>'Revenues 9-14'!D267</f>
        <v>0</v>
      </c>
      <c r="E7" s="1717">
        <f>'Revenues 9-14'!E267</f>
        <v>0</v>
      </c>
      <c r="F7" s="1717">
        <f>'Revenues 9-14'!F267</f>
        <v>0</v>
      </c>
      <c r="G7" s="1717">
        <f>'Revenues 9-14'!G267</f>
        <v>0</v>
      </c>
      <c r="H7" s="1717">
        <f>'Revenues 9-14'!H267</f>
        <v>0</v>
      </c>
      <c r="I7" s="1717">
        <f>'Revenues 9-14'!I267</f>
        <v>0</v>
      </c>
      <c r="J7" s="1717">
        <f>'Revenues 9-14'!J267</f>
        <v>0</v>
      </c>
      <c r="K7" s="1717">
        <f>'Revenues 9-14'!K267</f>
        <v>0</v>
      </c>
      <c r="L7" s="347"/>
      <c r="M7" s="510"/>
    </row>
    <row r="8" spans="1:13" ht="13.5" thickBot="1" x14ac:dyDescent="0.25">
      <c r="A8" s="1710" t="s">
        <v>1172</v>
      </c>
      <c r="B8" s="1683"/>
      <c r="C8" s="1662">
        <f>SUM(C4:C7)</f>
        <v>17062070</v>
      </c>
      <c r="D8" s="1662">
        <f t="shared" ref="D8:K8" si="0">SUM(D4:D7)</f>
        <v>0</v>
      </c>
      <c r="E8" s="1662">
        <f t="shared" si="0"/>
        <v>0</v>
      </c>
      <c r="F8" s="1662">
        <f t="shared" si="0"/>
        <v>43618</v>
      </c>
      <c r="G8" s="1662">
        <f t="shared" si="0"/>
        <v>0</v>
      </c>
      <c r="H8" s="1662">
        <f t="shared" si="0"/>
        <v>0</v>
      </c>
      <c r="I8" s="1662">
        <f t="shared" si="0"/>
        <v>0</v>
      </c>
      <c r="J8" s="1662">
        <f t="shared" si="0"/>
        <v>0</v>
      </c>
      <c r="K8" s="1662">
        <f t="shared" si="0"/>
        <v>0</v>
      </c>
      <c r="L8" s="347"/>
    </row>
    <row r="9" spans="1:13" ht="15.75" thickTop="1" x14ac:dyDescent="0.2">
      <c r="A9" s="511" t="s">
        <v>1652</v>
      </c>
      <c r="B9" s="512">
        <v>3998</v>
      </c>
      <c r="C9" s="465">
        <v>2851151</v>
      </c>
      <c r="D9" s="513"/>
      <c r="E9" s="479"/>
      <c r="F9" s="479"/>
      <c r="G9" s="514"/>
      <c r="H9" s="479"/>
      <c r="I9" s="506" t="s">
        <v>1169</v>
      </c>
      <c r="J9" s="476"/>
      <c r="K9" s="479"/>
      <c r="L9" s="347"/>
    </row>
    <row r="10" spans="1:13" s="516" customFormat="1" ht="13.5" thickBot="1" x14ac:dyDescent="0.25">
      <c r="A10" s="1710" t="s">
        <v>1173</v>
      </c>
      <c r="B10" s="1683"/>
      <c r="C10" s="1662">
        <f>SUM(C8:C9)</f>
        <v>19913221</v>
      </c>
      <c r="D10" s="1662">
        <f t="shared" ref="D10:K10" si="1">SUM(D8:D9)</f>
        <v>0</v>
      </c>
      <c r="E10" s="1662">
        <f t="shared" si="1"/>
        <v>0</v>
      </c>
      <c r="F10" s="1662">
        <f t="shared" si="1"/>
        <v>43618</v>
      </c>
      <c r="G10" s="1662">
        <f t="shared" si="1"/>
        <v>0</v>
      </c>
      <c r="H10" s="1662">
        <f t="shared" si="1"/>
        <v>0</v>
      </c>
      <c r="I10" s="1662">
        <f t="shared" si="1"/>
        <v>0</v>
      </c>
      <c r="J10" s="1662">
        <f t="shared" si="1"/>
        <v>0</v>
      </c>
      <c r="K10" s="1662">
        <f t="shared" si="1"/>
        <v>0</v>
      </c>
      <c r="L10" s="515"/>
    </row>
    <row r="11" spans="1:13" s="516" customFormat="1" ht="16.7" customHeight="1" thickTop="1" x14ac:dyDescent="0.2">
      <c r="A11" s="2310" t="s">
        <v>1176</v>
      </c>
      <c r="B11" s="2311"/>
      <c r="C11" s="1544"/>
      <c r="D11" s="1545"/>
      <c r="E11" s="1545"/>
      <c r="F11" s="1545"/>
      <c r="G11" s="1545"/>
      <c r="H11" s="1545"/>
      <c r="I11" s="1545"/>
      <c r="J11" s="1545"/>
      <c r="K11" s="1546"/>
      <c r="L11" s="515"/>
    </row>
    <row r="12" spans="1:13" ht="15.75" customHeight="1" x14ac:dyDescent="0.2">
      <c r="A12" s="1550" t="s">
        <v>456</v>
      </c>
      <c r="B12" s="1552">
        <v>1000</v>
      </c>
      <c r="C12" s="1716">
        <f>'Expenditures 15-22'!K33</f>
        <v>4581852</v>
      </c>
      <c r="D12" s="517" t="s">
        <v>1169</v>
      </c>
      <c r="E12" s="468" t="s">
        <v>1169</v>
      </c>
      <c r="F12" s="468" t="s">
        <v>1169</v>
      </c>
      <c r="G12" s="1716">
        <f>'Expenditures 15-22'!K229</f>
        <v>0</v>
      </c>
      <c r="H12" s="518"/>
      <c r="I12" s="468" t="s">
        <v>1169</v>
      </c>
      <c r="J12" s="468" t="s">
        <v>1169</v>
      </c>
      <c r="K12" s="518" t="s">
        <v>1169</v>
      </c>
      <c r="L12" s="347"/>
    </row>
    <row r="13" spans="1:13" ht="15.75" customHeight="1" x14ac:dyDescent="0.2">
      <c r="A13" s="1550" t="s">
        <v>457</v>
      </c>
      <c r="B13" s="1552">
        <v>2000</v>
      </c>
      <c r="C13" s="1717">
        <f>'Expenditures 15-22'!K74</f>
        <v>5902639</v>
      </c>
      <c r="D13" s="1717">
        <f>'Expenditures 15-22'!K129</f>
        <v>49054</v>
      </c>
      <c r="E13" s="469" t="s">
        <v>1169</v>
      </c>
      <c r="F13" s="1717">
        <f>'Expenditures 15-22'!K184</f>
        <v>64400</v>
      </c>
      <c r="G13" s="1717">
        <f>'Expenditures 15-22'!K279</f>
        <v>0</v>
      </c>
      <c r="H13" s="1717">
        <f>'Expenditures 15-22'!K303</f>
        <v>0</v>
      </c>
      <c r="I13" s="468" t="s">
        <v>1169</v>
      </c>
      <c r="J13" s="1717">
        <f>'Expenditures 15-22'!K330</f>
        <v>0</v>
      </c>
      <c r="K13" s="1721">
        <f>'Expenditures 15-22'!K352</f>
        <v>0</v>
      </c>
      <c r="L13" s="347"/>
    </row>
    <row r="14" spans="1:13" ht="15.75" customHeight="1" x14ac:dyDescent="0.2">
      <c r="A14" s="1550" t="s">
        <v>449</v>
      </c>
      <c r="B14" s="1552">
        <v>3000</v>
      </c>
      <c r="C14" s="1717">
        <f>'Expenditures 15-22'!K75</f>
        <v>0</v>
      </c>
      <c r="D14" s="1717">
        <f>'Expenditures 15-22'!K130</f>
        <v>0</v>
      </c>
      <c r="E14" s="517" t="s">
        <v>1169</v>
      </c>
      <c r="F14" s="1717">
        <f>'Expenditures 15-22'!K185</f>
        <v>0</v>
      </c>
      <c r="G14" s="1717">
        <f>'Expenditures 15-22'!K280</f>
        <v>0</v>
      </c>
      <c r="H14" s="509"/>
      <c r="I14" s="468" t="s">
        <v>1169</v>
      </c>
      <c r="J14" s="468" t="s">
        <v>1169</v>
      </c>
      <c r="K14" s="509" t="s">
        <v>1169</v>
      </c>
      <c r="L14" s="347"/>
    </row>
    <row r="15" spans="1:13" ht="15.75" customHeight="1" x14ac:dyDescent="0.2">
      <c r="A15" s="1550" t="s">
        <v>107</v>
      </c>
      <c r="B15" s="1552">
        <v>4000</v>
      </c>
      <c r="C15" s="1717">
        <f>'Expenditures 15-22'!K102</f>
        <v>6418277</v>
      </c>
      <c r="D15" s="1717">
        <f>'Expenditures 15-22'!K139</f>
        <v>0</v>
      </c>
      <c r="E15" s="1717">
        <f>'Expenditures 15-22'!K160</f>
        <v>0</v>
      </c>
      <c r="F15" s="1717">
        <f>'Expenditures 15-22'!K196</f>
        <v>0</v>
      </c>
      <c r="G15" s="1717">
        <f>'Expenditures 15-22'!K285</f>
        <v>0</v>
      </c>
      <c r="H15" s="1717">
        <f>'Expenditures 15-22'!K310</f>
        <v>0</v>
      </c>
      <c r="I15" s="468" t="s">
        <v>1169</v>
      </c>
      <c r="J15" s="1809">
        <f>'Expenditures 15-22'!K334</f>
        <v>0</v>
      </c>
      <c r="K15" s="1717">
        <f>'Expenditures 15-22'!K357</f>
        <v>0</v>
      </c>
      <c r="L15" s="347"/>
    </row>
    <row r="16" spans="1:13" ht="15.75" customHeight="1" x14ac:dyDescent="0.2">
      <c r="A16" s="1550" t="s">
        <v>450</v>
      </c>
      <c r="B16" s="1552">
        <v>5000</v>
      </c>
      <c r="C16" s="1717">
        <f>'Expenditures 15-22'!K112</f>
        <v>0</v>
      </c>
      <c r="D16" s="1717">
        <f>'Expenditures 15-22'!K149</f>
        <v>0</v>
      </c>
      <c r="E16" s="1717">
        <f>'Expenditures 15-22'!K172</f>
        <v>0</v>
      </c>
      <c r="F16" s="1717">
        <f>'Expenditures 15-22'!K208</f>
        <v>0</v>
      </c>
      <c r="G16" s="1717">
        <f>'Expenditures 15-22'!K293</f>
        <v>0</v>
      </c>
      <c r="H16" s="520"/>
      <c r="I16" s="468" t="s">
        <v>1169</v>
      </c>
      <c r="J16" s="1722">
        <f>'Expenditures 15-22'!K340</f>
        <v>0</v>
      </c>
      <c r="K16" s="1717">
        <f>'Expenditures 15-22'!K365</f>
        <v>0</v>
      </c>
      <c r="L16" s="347"/>
    </row>
    <row r="17" spans="1:12" ht="13.5" thickBot="1" x14ac:dyDescent="0.25">
      <c r="A17" s="1682" t="s">
        <v>48</v>
      </c>
      <c r="B17" s="1683"/>
      <c r="C17" s="1662">
        <f t="shared" ref="C17:H17" si="2">SUM(C12:C16)</f>
        <v>16902768</v>
      </c>
      <c r="D17" s="1662">
        <f t="shared" si="2"/>
        <v>49054</v>
      </c>
      <c r="E17" s="1662">
        <f t="shared" si="2"/>
        <v>0</v>
      </c>
      <c r="F17" s="1662">
        <f t="shared" si="2"/>
        <v>64400</v>
      </c>
      <c r="G17" s="1662">
        <f t="shared" si="2"/>
        <v>0</v>
      </c>
      <c r="H17" s="1662">
        <f t="shared" si="2"/>
        <v>0</v>
      </c>
      <c r="I17" s="468"/>
      <c r="J17" s="1662">
        <f>SUM(J12:J16)</f>
        <v>0</v>
      </c>
      <c r="K17" s="1662">
        <f>SUM(K12:K16)</f>
        <v>0</v>
      </c>
      <c r="L17" s="347"/>
    </row>
    <row r="18" spans="1:12" ht="15" customHeight="1" thickTop="1" x14ac:dyDescent="0.2">
      <c r="A18" s="1718" t="s">
        <v>1653</v>
      </c>
      <c r="B18" s="1719">
        <v>4180</v>
      </c>
      <c r="C18" s="1716">
        <f t="shared" ref="C18:H18" si="3">C9</f>
        <v>2851151</v>
      </c>
      <c r="D18" s="1716">
        <f t="shared" si="3"/>
        <v>0</v>
      </c>
      <c r="E18" s="1716">
        <f t="shared" si="3"/>
        <v>0</v>
      </c>
      <c r="F18" s="1716">
        <f t="shared" si="3"/>
        <v>0</v>
      </c>
      <c r="G18" s="1716">
        <f t="shared" si="3"/>
        <v>0</v>
      </c>
      <c r="H18" s="1716">
        <f t="shared" si="3"/>
        <v>0</v>
      </c>
      <c r="I18" s="468"/>
      <c r="J18" s="1716">
        <f>J9</f>
        <v>0</v>
      </c>
      <c r="K18" s="1716">
        <f>K9</f>
        <v>0</v>
      </c>
      <c r="L18" s="347"/>
    </row>
    <row r="19" spans="1:12" ht="13.5" thickBot="1" x14ac:dyDescent="0.25">
      <c r="A19" s="1682" t="s">
        <v>505</v>
      </c>
      <c r="B19" s="1683"/>
      <c r="C19" s="1662">
        <f t="shared" ref="C19:H19" si="4">SUM(C17:C18)</f>
        <v>19753919</v>
      </c>
      <c r="D19" s="1662">
        <f t="shared" si="4"/>
        <v>49054</v>
      </c>
      <c r="E19" s="1662">
        <f t="shared" si="4"/>
        <v>0</v>
      </c>
      <c r="F19" s="1662">
        <f t="shared" si="4"/>
        <v>64400</v>
      </c>
      <c r="G19" s="1662">
        <f t="shared" si="4"/>
        <v>0</v>
      </c>
      <c r="H19" s="1662">
        <f t="shared" si="4"/>
        <v>0</v>
      </c>
      <c r="I19" s="468"/>
      <c r="J19" s="1662">
        <f>SUM(J17:J18)</f>
        <v>0</v>
      </c>
      <c r="K19" s="1662">
        <f>SUM(K17:K18)</f>
        <v>0</v>
      </c>
      <c r="L19" s="347"/>
    </row>
    <row r="20" spans="1:12" ht="16.5" thickTop="1" thickBot="1" x14ac:dyDescent="0.25">
      <c r="A20" s="2326" t="s">
        <v>1654</v>
      </c>
      <c r="B20" s="2327"/>
      <c r="C20" s="1720">
        <f>C8-C17</f>
        <v>159302</v>
      </c>
      <c r="D20" s="1720">
        <f t="shared" ref="D20:K20" si="5">D8-D17</f>
        <v>-49054</v>
      </c>
      <c r="E20" s="1720">
        <f t="shared" si="5"/>
        <v>0</v>
      </c>
      <c r="F20" s="1720">
        <f t="shared" si="5"/>
        <v>-20782</v>
      </c>
      <c r="G20" s="1720">
        <f t="shared" si="5"/>
        <v>0</v>
      </c>
      <c r="H20" s="1720">
        <f t="shared" si="5"/>
        <v>0</v>
      </c>
      <c r="I20" s="1720">
        <f t="shared" si="5"/>
        <v>0</v>
      </c>
      <c r="J20" s="1720">
        <f t="shared" si="5"/>
        <v>0</v>
      </c>
      <c r="K20" s="1720">
        <f t="shared" si="5"/>
        <v>0</v>
      </c>
      <c r="L20" s="347"/>
    </row>
    <row r="21" spans="1:12" ht="16.7" customHeight="1" thickTop="1" x14ac:dyDescent="0.2">
      <c r="A21" s="2338" t="s">
        <v>595</v>
      </c>
      <c r="B21" s="2339"/>
      <c r="C21" s="1544"/>
      <c r="D21" s="1545"/>
      <c r="E21" s="1545"/>
      <c r="F21" s="1545"/>
      <c r="G21" s="1545"/>
      <c r="H21" s="1545"/>
      <c r="I21" s="1545"/>
      <c r="J21" s="1545"/>
      <c r="K21" s="1546"/>
      <c r="L21" s="521"/>
    </row>
    <row r="22" spans="1:12" ht="15.75" customHeight="1" collapsed="1" x14ac:dyDescent="0.2">
      <c r="A22" s="2334" t="s">
        <v>596</v>
      </c>
      <c r="B22" s="2335"/>
      <c r="C22" s="475"/>
      <c r="D22" s="475"/>
      <c r="E22" s="475"/>
      <c r="F22" s="475"/>
      <c r="G22" s="475"/>
      <c r="H22" s="475"/>
      <c r="I22" s="475"/>
      <c r="J22" s="475"/>
      <c r="K22" s="475"/>
      <c r="L22" s="347"/>
    </row>
    <row r="23" spans="1:12" s="483" customFormat="1" ht="15.75" customHeight="1" x14ac:dyDescent="0.2">
      <c r="A23" s="2330" t="s">
        <v>293</v>
      </c>
      <c r="B23" s="2331"/>
      <c r="C23" s="478"/>
      <c r="D23" s="475"/>
      <c r="E23" s="475"/>
      <c r="F23" s="475"/>
      <c r="G23" s="475"/>
      <c r="H23" s="475"/>
      <c r="I23" s="475"/>
      <c r="J23" s="475"/>
      <c r="K23" s="475"/>
      <c r="L23" s="521"/>
    </row>
    <row r="24" spans="1:12" s="483" customFormat="1" ht="13.5" customHeight="1" x14ac:dyDescent="0.2">
      <c r="A24" s="1463" t="s">
        <v>1655</v>
      </c>
      <c r="B24" s="522">
        <v>7110</v>
      </c>
      <c r="C24" s="465">
        <v>0</v>
      </c>
      <c r="D24" s="475"/>
      <c r="E24" s="475"/>
      <c r="F24" s="475"/>
      <c r="G24" s="475"/>
      <c r="H24" s="475"/>
      <c r="I24" s="475"/>
      <c r="J24" s="475"/>
      <c r="K24" s="475"/>
      <c r="L24" s="521"/>
    </row>
    <row r="25" spans="1:12" s="483" customFormat="1" ht="13.5" customHeight="1" x14ac:dyDescent="0.2">
      <c r="A25" s="1463" t="s">
        <v>1656</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63"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63" t="s">
        <v>185</v>
      </c>
      <c r="B27" s="481">
        <v>7130</v>
      </c>
      <c r="C27" s="465">
        <v>0</v>
      </c>
      <c r="D27" s="467">
        <v>0</v>
      </c>
      <c r="E27" s="523"/>
      <c r="F27" s="467">
        <v>30000</v>
      </c>
      <c r="G27" s="478"/>
      <c r="H27" s="478"/>
      <c r="I27" s="478"/>
      <c r="J27" s="478"/>
      <c r="K27" s="478"/>
      <c r="L27" s="521"/>
    </row>
    <row r="28" spans="1:12" s="483" customFormat="1" ht="13.5" customHeight="1" x14ac:dyDescent="0.2">
      <c r="A28" s="1463"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63" t="s">
        <v>294</v>
      </c>
      <c r="B29" s="481">
        <v>7150</v>
      </c>
      <c r="C29" s="474"/>
      <c r="D29" s="467">
        <v>0</v>
      </c>
      <c r="E29" s="474"/>
      <c r="F29" s="474"/>
      <c r="G29" s="474"/>
      <c r="H29" s="474"/>
      <c r="I29" s="474"/>
      <c r="J29" s="474"/>
      <c r="K29" s="474"/>
      <c r="L29" s="521"/>
    </row>
    <row r="30" spans="1:12" s="483" customFormat="1" ht="26.25" x14ac:dyDescent="0.2">
      <c r="A30" s="1463" t="s">
        <v>1788</v>
      </c>
      <c r="B30" s="524">
        <v>7160</v>
      </c>
      <c r="C30" s="475"/>
      <c r="D30" s="467">
        <v>0</v>
      </c>
      <c r="E30" s="475"/>
      <c r="F30" s="475"/>
      <c r="G30" s="475"/>
      <c r="H30" s="475"/>
      <c r="I30" s="475"/>
      <c r="J30" s="475"/>
      <c r="K30" s="475"/>
      <c r="L30" s="521"/>
    </row>
    <row r="31" spans="1:12" s="483" customFormat="1" ht="26.25" x14ac:dyDescent="0.2">
      <c r="A31" s="1463" t="s">
        <v>1792</v>
      </c>
      <c r="B31" s="524">
        <v>7170</v>
      </c>
      <c r="C31" s="475"/>
      <c r="D31" s="475"/>
      <c r="E31" s="473">
        <v>0</v>
      </c>
      <c r="F31" s="475"/>
      <c r="G31" s="475"/>
      <c r="H31" s="475"/>
      <c r="I31" s="475"/>
      <c r="J31" s="475"/>
      <c r="K31" s="475"/>
      <c r="L31" s="521"/>
    </row>
    <row r="32" spans="1:12" s="483" customFormat="1" ht="15.75" customHeight="1" x14ac:dyDescent="0.2">
      <c r="A32" s="2332" t="s">
        <v>981</v>
      </c>
      <c r="B32" s="2333"/>
      <c r="C32" s="475"/>
      <c r="D32" s="475"/>
      <c r="E32" s="474"/>
      <c r="F32" s="475"/>
      <c r="G32" s="475"/>
      <c r="H32" s="475"/>
      <c r="I32" s="475"/>
      <c r="J32" s="475"/>
      <c r="K32" s="475"/>
      <c r="L32" s="521"/>
    </row>
    <row r="33" spans="1:12" s="483" customFormat="1" x14ac:dyDescent="0.2">
      <c r="A33" s="1463" t="s">
        <v>412</v>
      </c>
      <c r="B33" s="522">
        <v>7210</v>
      </c>
      <c r="C33" s="465">
        <v>0</v>
      </c>
      <c r="D33" s="467">
        <v>0</v>
      </c>
      <c r="E33" s="467">
        <v>0</v>
      </c>
      <c r="F33" s="467">
        <v>0</v>
      </c>
      <c r="G33" s="475"/>
      <c r="H33" s="467">
        <v>0</v>
      </c>
      <c r="I33" s="467">
        <v>0</v>
      </c>
      <c r="J33" s="467">
        <v>0</v>
      </c>
      <c r="K33" s="467">
        <v>0</v>
      </c>
      <c r="L33" s="521"/>
    </row>
    <row r="34" spans="1:12" s="483" customFormat="1" x14ac:dyDescent="0.2">
      <c r="A34" s="1463" t="s">
        <v>1001</v>
      </c>
      <c r="B34" s="522">
        <v>7220</v>
      </c>
      <c r="C34" s="465">
        <v>0</v>
      </c>
      <c r="D34" s="467">
        <v>0</v>
      </c>
      <c r="E34" s="467">
        <v>0</v>
      </c>
      <c r="F34" s="467">
        <v>0</v>
      </c>
      <c r="G34" s="475"/>
      <c r="H34" s="476">
        <v>0</v>
      </c>
      <c r="I34" s="476">
        <v>0</v>
      </c>
      <c r="J34" s="476">
        <v>0</v>
      </c>
      <c r="K34" s="476">
        <v>0</v>
      </c>
      <c r="L34" s="521"/>
    </row>
    <row r="35" spans="1:12" s="483" customFormat="1" x14ac:dyDescent="0.2">
      <c r="A35" s="1463" t="s">
        <v>990</v>
      </c>
      <c r="B35" s="522">
        <v>7230</v>
      </c>
      <c r="C35" s="465">
        <v>0</v>
      </c>
      <c r="D35" s="467">
        <v>0</v>
      </c>
      <c r="E35" s="467">
        <v>0</v>
      </c>
      <c r="F35" s="467">
        <v>0</v>
      </c>
      <c r="G35" s="478"/>
      <c r="H35" s="467">
        <v>0</v>
      </c>
      <c r="I35" s="467">
        <v>0</v>
      </c>
      <c r="J35" s="467">
        <v>0</v>
      </c>
      <c r="K35" s="467">
        <v>0</v>
      </c>
      <c r="L35" s="521"/>
    </row>
    <row r="36" spans="1:12" s="483" customFormat="1" ht="15" x14ac:dyDescent="0.2">
      <c r="A36" s="1463" t="s">
        <v>1657</v>
      </c>
      <c r="B36" s="522">
        <v>7300</v>
      </c>
      <c r="C36" s="465">
        <v>0</v>
      </c>
      <c r="D36" s="467">
        <v>0</v>
      </c>
      <c r="E36" s="467">
        <v>0</v>
      </c>
      <c r="F36" s="467">
        <v>0</v>
      </c>
      <c r="G36" s="467">
        <v>0</v>
      </c>
      <c r="H36" s="467">
        <v>0</v>
      </c>
      <c r="I36" s="474"/>
      <c r="J36" s="467">
        <v>0</v>
      </c>
      <c r="K36" s="467">
        <v>0</v>
      </c>
      <c r="L36" s="521"/>
    </row>
    <row r="37" spans="1:12" s="483" customFormat="1" x14ac:dyDescent="0.2">
      <c r="A37" s="1463" t="s">
        <v>441</v>
      </c>
      <c r="B37" s="522">
        <v>7400</v>
      </c>
      <c r="C37" s="474"/>
      <c r="D37" s="474"/>
      <c r="E37" s="1717">
        <f>SUM(C54:D57,H54:H57)</f>
        <v>0</v>
      </c>
      <c r="F37" s="474"/>
      <c r="G37" s="474"/>
      <c r="H37" s="474"/>
      <c r="I37" s="475"/>
      <c r="J37" s="474"/>
      <c r="K37" s="474"/>
      <c r="L37" s="521"/>
    </row>
    <row r="38" spans="1:12" s="483" customFormat="1" x14ac:dyDescent="0.2">
      <c r="A38" s="1463" t="s">
        <v>442</v>
      </c>
      <c r="B38" s="522">
        <v>7500</v>
      </c>
      <c r="C38" s="475"/>
      <c r="D38" s="475"/>
      <c r="E38" s="1717">
        <f>SUM(C58:D61,H58:H61)</f>
        <v>0</v>
      </c>
      <c r="F38" s="475"/>
      <c r="G38" s="475"/>
      <c r="H38" s="475"/>
      <c r="I38" s="475"/>
      <c r="J38" s="475"/>
      <c r="K38" s="475"/>
      <c r="L38" s="521"/>
    </row>
    <row r="39" spans="1:12" s="483" customFormat="1" x14ac:dyDescent="0.2">
      <c r="A39" s="1463" t="s">
        <v>443</v>
      </c>
      <c r="B39" s="522">
        <v>7600</v>
      </c>
      <c r="C39" s="475"/>
      <c r="D39" s="475"/>
      <c r="E39" s="1717">
        <f>SUM(C62:D65)</f>
        <v>0</v>
      </c>
      <c r="F39" s="475"/>
      <c r="G39" s="475"/>
      <c r="H39" s="475"/>
      <c r="I39" s="475"/>
      <c r="J39" s="475"/>
      <c r="K39" s="475"/>
      <c r="L39" s="521"/>
    </row>
    <row r="40" spans="1:12" s="483" customFormat="1" ht="13.5" customHeight="1" x14ac:dyDescent="0.2">
      <c r="A40" s="1463" t="s">
        <v>642</v>
      </c>
      <c r="B40" s="481">
        <v>7700</v>
      </c>
      <c r="C40" s="475"/>
      <c r="D40" s="475"/>
      <c r="E40" s="1717">
        <f>SUM(C66:D69)</f>
        <v>0</v>
      </c>
      <c r="F40" s="475"/>
      <c r="G40" s="475"/>
      <c r="H40" s="478"/>
      <c r="I40" s="475"/>
      <c r="J40" s="475"/>
      <c r="K40" s="475"/>
      <c r="L40" s="521"/>
    </row>
    <row r="41" spans="1:12" s="483" customFormat="1" ht="13.5" customHeight="1" x14ac:dyDescent="0.2">
      <c r="A41" s="1463" t="s">
        <v>640</v>
      </c>
      <c r="B41" s="481">
        <v>7800</v>
      </c>
      <c r="C41" s="478"/>
      <c r="D41" s="478"/>
      <c r="E41" s="523"/>
      <c r="F41" s="478"/>
      <c r="G41" s="478"/>
      <c r="H41" s="1717">
        <f>SUM(C70:D73)</f>
        <v>0</v>
      </c>
      <c r="I41" s="475"/>
      <c r="J41" s="475"/>
      <c r="K41" s="478"/>
      <c r="L41" s="521"/>
    </row>
    <row r="42" spans="1:12" s="483" customFormat="1" ht="13.5" customHeight="1" x14ac:dyDescent="0.2">
      <c r="A42" s="1463"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63"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40" t="s">
        <v>374</v>
      </c>
      <c r="B44" s="2341"/>
      <c r="C44" s="1677">
        <f>SUM(C24:C43)</f>
        <v>0</v>
      </c>
      <c r="D44" s="1677">
        <f t="shared" ref="D44:K44" si="6">SUM(D24:D43)</f>
        <v>0</v>
      </c>
      <c r="E44" s="1677">
        <f t="shared" si="6"/>
        <v>0</v>
      </c>
      <c r="F44" s="1677">
        <f t="shared" si="6"/>
        <v>30000</v>
      </c>
      <c r="G44" s="1677">
        <f t="shared" si="6"/>
        <v>0</v>
      </c>
      <c r="H44" s="1677">
        <f t="shared" si="6"/>
        <v>0</v>
      </c>
      <c r="I44" s="1677">
        <f t="shared" si="6"/>
        <v>0</v>
      </c>
      <c r="J44" s="1677">
        <f t="shared" si="6"/>
        <v>0</v>
      </c>
      <c r="K44" s="1677">
        <f t="shared" si="6"/>
        <v>0</v>
      </c>
      <c r="L44" s="521"/>
    </row>
    <row r="45" spans="1:12" ht="15.75" customHeight="1" thickTop="1" x14ac:dyDescent="0.2">
      <c r="A45" s="2334" t="s">
        <v>108</v>
      </c>
      <c r="B45" s="2335"/>
      <c r="C45" s="525"/>
      <c r="D45" s="525"/>
      <c r="E45" s="525"/>
      <c r="F45" s="525"/>
      <c r="G45" s="525"/>
      <c r="H45" s="525"/>
      <c r="I45" s="525"/>
      <c r="J45" s="525"/>
      <c r="K45" s="525"/>
      <c r="L45" s="347"/>
    </row>
    <row r="46" spans="1:12" s="483" customFormat="1" ht="15.75" customHeight="1" x14ac:dyDescent="0.2">
      <c r="A46" s="2342" t="s">
        <v>109</v>
      </c>
      <c r="B46" s="2343"/>
      <c r="C46" s="475"/>
      <c r="D46" s="475"/>
      <c r="E46" s="475"/>
      <c r="F46" s="475"/>
      <c r="G46" s="475"/>
      <c r="H46" s="475"/>
      <c r="I46" s="478"/>
      <c r="J46" s="475"/>
      <c r="K46" s="475"/>
      <c r="L46" s="526"/>
    </row>
    <row r="47" spans="1:12" s="483" customFormat="1" ht="15" x14ac:dyDescent="0.2">
      <c r="A47" s="1464" t="s">
        <v>1658</v>
      </c>
      <c r="B47" s="481">
        <v>8110</v>
      </c>
      <c r="C47" s="475"/>
      <c r="D47" s="475"/>
      <c r="E47" s="475"/>
      <c r="F47" s="475"/>
      <c r="G47" s="475"/>
      <c r="H47" s="475"/>
      <c r="I47" s="1717">
        <f>SUM(C24,C25:H25,J25:K25)</f>
        <v>0</v>
      </c>
      <c r="J47" s="475"/>
      <c r="K47" s="475"/>
      <c r="L47" s="526"/>
    </row>
    <row r="48" spans="1:12" s="483" customFormat="1" ht="15" x14ac:dyDescent="0.2">
      <c r="A48" s="1464" t="s">
        <v>1659</v>
      </c>
      <c r="B48" s="481">
        <v>8120</v>
      </c>
      <c r="C48" s="478"/>
      <c r="D48" s="478"/>
      <c r="E48" s="475"/>
      <c r="F48" s="478"/>
      <c r="G48" s="475"/>
      <c r="H48" s="475"/>
      <c r="I48" s="1717">
        <f>SUM(C26:H26,J26,K26)</f>
        <v>0</v>
      </c>
      <c r="J48" s="475"/>
      <c r="K48" s="475"/>
      <c r="L48" s="526"/>
    </row>
    <row r="49" spans="1:12" s="483" customFormat="1" x14ac:dyDescent="0.2">
      <c r="A49" s="1464" t="s">
        <v>185</v>
      </c>
      <c r="B49" s="481">
        <v>8130</v>
      </c>
      <c r="C49" s="465">
        <v>30000</v>
      </c>
      <c r="D49" s="467">
        <v>0</v>
      </c>
      <c r="E49" s="478"/>
      <c r="F49" s="467">
        <v>0</v>
      </c>
      <c r="G49" s="478"/>
      <c r="H49" s="478"/>
      <c r="I49" s="475"/>
      <c r="J49" s="478"/>
      <c r="K49" s="475"/>
      <c r="L49" s="521"/>
    </row>
    <row r="50" spans="1:12" s="483" customFormat="1" x14ac:dyDescent="0.2">
      <c r="A50" s="1464" t="s">
        <v>1398</v>
      </c>
      <c r="B50" s="481">
        <v>8140</v>
      </c>
      <c r="C50" s="467">
        <v>0</v>
      </c>
      <c r="D50" s="467">
        <v>0</v>
      </c>
      <c r="E50" s="467">
        <v>0</v>
      </c>
      <c r="F50" s="467">
        <v>0</v>
      </c>
      <c r="G50" s="467">
        <v>0</v>
      </c>
      <c r="H50" s="467">
        <v>0</v>
      </c>
      <c r="I50" s="475"/>
      <c r="J50" s="467">
        <v>0</v>
      </c>
      <c r="K50" s="475"/>
      <c r="L50" s="521"/>
    </row>
    <row r="51" spans="1:12" s="483" customFormat="1" x14ac:dyDescent="0.2">
      <c r="A51" s="1464" t="s">
        <v>294</v>
      </c>
      <c r="B51" s="481">
        <v>8150</v>
      </c>
      <c r="C51" s="474"/>
      <c r="D51" s="474"/>
      <c r="E51" s="474"/>
      <c r="F51" s="474"/>
      <c r="G51" s="474"/>
      <c r="H51" s="1717">
        <f>SUM(D29)</f>
        <v>0</v>
      </c>
      <c r="I51" s="475"/>
      <c r="J51" s="474"/>
      <c r="K51" s="478"/>
      <c r="L51" s="521"/>
    </row>
    <row r="52" spans="1:12" s="483" customFormat="1" ht="26.25" x14ac:dyDescent="0.2">
      <c r="A52" s="1464" t="s">
        <v>1791</v>
      </c>
      <c r="B52" s="481">
        <v>8160</v>
      </c>
      <c r="C52" s="475"/>
      <c r="D52" s="475"/>
      <c r="E52" s="475"/>
      <c r="F52" s="475"/>
      <c r="G52" s="475"/>
      <c r="H52" s="475"/>
      <c r="I52" s="475"/>
      <c r="J52" s="475"/>
      <c r="K52" s="1717">
        <f>D30</f>
        <v>0</v>
      </c>
      <c r="L52" s="521"/>
    </row>
    <row r="53" spans="1:12" s="483" customFormat="1" ht="26.25" x14ac:dyDescent="0.2">
      <c r="A53" s="1464" t="s">
        <v>1790</v>
      </c>
      <c r="B53" s="481">
        <v>8170</v>
      </c>
      <c r="C53" s="478"/>
      <c r="D53" s="478"/>
      <c r="E53" s="475"/>
      <c r="F53" s="475"/>
      <c r="G53" s="475"/>
      <c r="H53" s="478"/>
      <c r="I53" s="475"/>
      <c r="J53" s="475"/>
      <c r="K53" s="1717">
        <f>E31</f>
        <v>0</v>
      </c>
      <c r="L53" s="521"/>
    </row>
    <row r="54" spans="1:12" s="483" customFormat="1" ht="13.5" thickBot="1" x14ac:dyDescent="0.25">
      <c r="A54" s="1464" t="s">
        <v>692</v>
      </c>
      <c r="B54" s="481">
        <v>8410</v>
      </c>
      <c r="C54" s="527">
        <v>0</v>
      </c>
      <c r="D54" s="527">
        <v>0</v>
      </c>
      <c r="E54" s="475"/>
      <c r="F54" s="475"/>
      <c r="G54" s="475"/>
      <c r="H54" s="527">
        <v>0</v>
      </c>
      <c r="I54" s="475"/>
      <c r="J54" s="475"/>
      <c r="K54" s="474"/>
      <c r="L54" s="521"/>
    </row>
    <row r="55" spans="1:12" s="483" customFormat="1" ht="14.25" thickTop="1" thickBot="1" x14ac:dyDescent="0.25">
      <c r="A55" s="1465" t="s">
        <v>693</v>
      </c>
      <c r="B55" s="481">
        <v>8420</v>
      </c>
      <c r="C55" s="528">
        <v>0</v>
      </c>
      <c r="D55" s="528">
        <v>0</v>
      </c>
      <c r="E55" s="475"/>
      <c r="F55" s="475"/>
      <c r="G55" s="475"/>
      <c r="H55" s="527">
        <v>0</v>
      </c>
      <c r="I55" s="475"/>
      <c r="J55" s="475"/>
      <c r="K55" s="475"/>
      <c r="L55" s="521"/>
    </row>
    <row r="56" spans="1:12" s="483" customFormat="1" ht="14.25" thickTop="1" thickBot="1" x14ac:dyDescent="0.25">
      <c r="A56" s="1464" t="s">
        <v>581</v>
      </c>
      <c r="B56" s="481">
        <v>8430</v>
      </c>
      <c r="C56" s="528">
        <v>0</v>
      </c>
      <c r="D56" s="528">
        <v>0</v>
      </c>
      <c r="E56" s="475"/>
      <c r="F56" s="475"/>
      <c r="G56" s="475"/>
      <c r="H56" s="527">
        <v>0</v>
      </c>
      <c r="I56" s="475"/>
      <c r="J56" s="475"/>
      <c r="K56" s="475"/>
      <c r="L56" s="521"/>
    </row>
    <row r="57" spans="1:12" s="483" customFormat="1" ht="14.25" thickTop="1" thickBot="1" x14ac:dyDescent="0.25">
      <c r="A57" s="1465" t="s">
        <v>578</v>
      </c>
      <c r="B57" s="481">
        <v>8440</v>
      </c>
      <c r="C57" s="528">
        <v>0</v>
      </c>
      <c r="D57" s="528">
        <v>0</v>
      </c>
      <c r="E57" s="475"/>
      <c r="F57" s="475"/>
      <c r="G57" s="475"/>
      <c r="H57" s="527">
        <v>0</v>
      </c>
      <c r="I57" s="475"/>
      <c r="J57" s="475"/>
      <c r="K57" s="475"/>
      <c r="L57" s="521"/>
    </row>
    <row r="58" spans="1:12" s="483" customFormat="1" ht="14.25" thickTop="1" thickBot="1" x14ac:dyDescent="0.25">
      <c r="A58" s="1464" t="s">
        <v>579</v>
      </c>
      <c r="B58" s="481">
        <v>8510</v>
      </c>
      <c r="C58" s="528">
        <v>0</v>
      </c>
      <c r="D58" s="528">
        <v>0</v>
      </c>
      <c r="E58" s="475"/>
      <c r="F58" s="475"/>
      <c r="G58" s="475"/>
      <c r="H58" s="527">
        <v>0</v>
      </c>
      <c r="I58" s="475"/>
      <c r="J58" s="475"/>
      <c r="K58" s="475"/>
      <c r="L58" s="521"/>
    </row>
    <row r="59" spans="1:12" s="483" customFormat="1" ht="14.25" thickTop="1" thickBot="1" x14ac:dyDescent="0.25">
      <c r="A59" s="1466" t="s">
        <v>694</v>
      </c>
      <c r="B59" s="481">
        <v>8520</v>
      </c>
      <c r="C59" s="528">
        <v>0</v>
      </c>
      <c r="D59" s="528">
        <v>0</v>
      </c>
      <c r="E59" s="475"/>
      <c r="F59" s="475"/>
      <c r="G59" s="475"/>
      <c r="H59" s="527">
        <v>0</v>
      </c>
      <c r="I59" s="475"/>
      <c r="J59" s="475"/>
      <c r="K59" s="475"/>
      <c r="L59" s="521"/>
    </row>
    <row r="60" spans="1:12" s="483" customFormat="1" ht="14.25" thickTop="1" thickBot="1" x14ac:dyDescent="0.25">
      <c r="A60" s="1464" t="s">
        <v>580</v>
      </c>
      <c r="B60" s="481">
        <v>8530</v>
      </c>
      <c r="C60" s="528">
        <v>0</v>
      </c>
      <c r="D60" s="528">
        <v>0</v>
      </c>
      <c r="E60" s="475"/>
      <c r="F60" s="475"/>
      <c r="G60" s="475"/>
      <c r="H60" s="527">
        <v>0</v>
      </c>
      <c r="I60" s="475"/>
      <c r="J60" s="475"/>
      <c r="K60" s="475"/>
      <c r="L60" s="521"/>
    </row>
    <row r="61" spans="1:12" s="483" customFormat="1" ht="14.25" thickTop="1" thickBot="1" x14ac:dyDescent="0.25">
      <c r="A61" s="1465" t="s">
        <v>743</v>
      </c>
      <c r="B61" s="481">
        <v>8540</v>
      </c>
      <c r="C61" s="528">
        <v>0</v>
      </c>
      <c r="D61" s="528">
        <v>0</v>
      </c>
      <c r="E61" s="475"/>
      <c r="F61" s="475"/>
      <c r="G61" s="475"/>
      <c r="H61" s="527">
        <v>0</v>
      </c>
      <c r="I61" s="475"/>
      <c r="J61" s="475"/>
      <c r="K61" s="475"/>
      <c r="L61" s="521"/>
    </row>
    <row r="62" spans="1:12" s="483" customFormat="1" ht="13.5" customHeight="1" thickTop="1" thickBot="1" x14ac:dyDescent="0.25">
      <c r="A62" s="1464" t="s">
        <v>744</v>
      </c>
      <c r="B62" s="481">
        <v>8610</v>
      </c>
      <c r="C62" s="528">
        <v>0</v>
      </c>
      <c r="D62" s="528">
        <v>0</v>
      </c>
      <c r="E62" s="475"/>
      <c r="F62" s="475"/>
      <c r="G62" s="475"/>
      <c r="H62" s="475"/>
      <c r="I62" s="475"/>
      <c r="J62" s="475"/>
      <c r="K62" s="475"/>
      <c r="L62" s="521"/>
    </row>
    <row r="63" spans="1:12" s="483" customFormat="1" ht="14.25" thickTop="1" thickBot="1" x14ac:dyDescent="0.25">
      <c r="A63" s="1465" t="s">
        <v>695</v>
      </c>
      <c r="B63" s="481">
        <v>8620</v>
      </c>
      <c r="C63" s="528">
        <v>0</v>
      </c>
      <c r="D63" s="528">
        <v>0</v>
      </c>
      <c r="E63" s="475"/>
      <c r="F63" s="475"/>
      <c r="G63" s="475"/>
      <c r="H63" s="475"/>
      <c r="I63" s="475"/>
      <c r="J63" s="475"/>
      <c r="K63" s="475"/>
      <c r="L63" s="521"/>
    </row>
    <row r="64" spans="1:12" s="483" customFormat="1" ht="13.5" customHeight="1" thickTop="1" thickBot="1" x14ac:dyDescent="0.25">
      <c r="A64" s="1464" t="s">
        <v>745</v>
      </c>
      <c r="B64" s="481">
        <v>8630</v>
      </c>
      <c r="C64" s="528">
        <v>0</v>
      </c>
      <c r="D64" s="528">
        <v>0</v>
      </c>
      <c r="E64" s="475"/>
      <c r="F64" s="475"/>
      <c r="G64" s="475"/>
      <c r="H64" s="475"/>
      <c r="I64" s="475"/>
      <c r="J64" s="475"/>
      <c r="K64" s="475"/>
      <c r="L64" s="521"/>
    </row>
    <row r="65" spans="1:12" s="483" customFormat="1" ht="14.25" thickTop="1" thickBot="1" x14ac:dyDescent="0.25">
      <c r="A65" s="1465" t="s">
        <v>746</v>
      </c>
      <c r="B65" s="481">
        <v>8640</v>
      </c>
      <c r="C65" s="528">
        <v>0</v>
      </c>
      <c r="D65" s="528">
        <v>0</v>
      </c>
      <c r="E65" s="475"/>
      <c r="F65" s="475"/>
      <c r="G65" s="475"/>
      <c r="H65" s="475"/>
      <c r="I65" s="475"/>
      <c r="J65" s="475"/>
      <c r="K65" s="475"/>
      <c r="L65" s="521"/>
    </row>
    <row r="66" spans="1:12" s="483" customFormat="1" ht="14.25" thickTop="1" thickBot="1" x14ac:dyDescent="0.25">
      <c r="A66" s="1464" t="s">
        <v>747</v>
      </c>
      <c r="B66" s="481">
        <v>8710</v>
      </c>
      <c r="C66" s="528">
        <v>0</v>
      </c>
      <c r="D66" s="528">
        <v>0</v>
      </c>
      <c r="E66" s="475"/>
      <c r="F66" s="475"/>
      <c r="G66" s="475"/>
      <c r="H66" s="475"/>
      <c r="I66" s="475"/>
      <c r="J66" s="475"/>
      <c r="K66" s="475"/>
      <c r="L66" s="521"/>
    </row>
    <row r="67" spans="1:12" s="483" customFormat="1" ht="14.25" thickTop="1" thickBot="1" x14ac:dyDescent="0.25">
      <c r="A67" s="1465" t="s">
        <v>696</v>
      </c>
      <c r="B67" s="481">
        <v>8720</v>
      </c>
      <c r="C67" s="528">
        <v>0</v>
      </c>
      <c r="D67" s="528">
        <v>0</v>
      </c>
      <c r="E67" s="475"/>
      <c r="F67" s="475"/>
      <c r="G67" s="475"/>
      <c r="H67" s="475"/>
      <c r="I67" s="475"/>
      <c r="J67" s="475"/>
      <c r="K67" s="475"/>
      <c r="L67" s="521"/>
    </row>
    <row r="68" spans="1:12" s="483" customFormat="1" ht="14.25" thickTop="1" thickBot="1" x14ac:dyDescent="0.25">
      <c r="A68" s="1466" t="s">
        <v>748</v>
      </c>
      <c r="B68" s="481">
        <v>8730</v>
      </c>
      <c r="C68" s="528">
        <v>0</v>
      </c>
      <c r="D68" s="528">
        <v>0</v>
      </c>
      <c r="E68" s="475"/>
      <c r="F68" s="475"/>
      <c r="G68" s="475"/>
      <c r="H68" s="475"/>
      <c r="I68" s="475"/>
      <c r="J68" s="475"/>
      <c r="K68" s="475"/>
      <c r="L68" s="521"/>
    </row>
    <row r="69" spans="1:12" s="483" customFormat="1" ht="14.25" thickTop="1" thickBot="1" x14ac:dyDescent="0.25">
      <c r="A69" s="1465" t="s">
        <v>749</v>
      </c>
      <c r="B69" s="481">
        <v>8740</v>
      </c>
      <c r="C69" s="528">
        <v>0</v>
      </c>
      <c r="D69" s="528">
        <v>0</v>
      </c>
      <c r="E69" s="475"/>
      <c r="F69" s="475"/>
      <c r="G69" s="475"/>
      <c r="H69" s="475"/>
      <c r="I69" s="475"/>
      <c r="J69" s="475"/>
      <c r="K69" s="475"/>
      <c r="L69" s="521"/>
    </row>
    <row r="70" spans="1:12" s="483" customFormat="1" ht="14.25" thickTop="1" thickBot="1" x14ac:dyDescent="0.25">
      <c r="A70" s="1464" t="s">
        <v>750</v>
      </c>
      <c r="B70" s="481">
        <v>8810</v>
      </c>
      <c r="C70" s="528">
        <v>0</v>
      </c>
      <c r="D70" s="528">
        <v>0</v>
      </c>
      <c r="E70" s="475"/>
      <c r="F70" s="475"/>
      <c r="G70" s="475"/>
      <c r="H70" s="475"/>
      <c r="I70" s="475"/>
      <c r="J70" s="475"/>
      <c r="K70" s="475"/>
      <c r="L70" s="521"/>
    </row>
    <row r="71" spans="1:12" s="483" customFormat="1" ht="14.25" thickTop="1" thickBot="1" x14ac:dyDescent="0.25">
      <c r="A71" s="1464" t="s">
        <v>754</v>
      </c>
      <c r="B71" s="481">
        <v>8820</v>
      </c>
      <c r="C71" s="528">
        <v>0</v>
      </c>
      <c r="D71" s="528">
        <v>0</v>
      </c>
      <c r="E71" s="475"/>
      <c r="F71" s="475"/>
      <c r="G71" s="475"/>
      <c r="H71" s="475"/>
      <c r="I71" s="475"/>
      <c r="J71" s="475"/>
      <c r="K71" s="475"/>
      <c r="L71" s="521"/>
    </row>
    <row r="72" spans="1:12" s="483" customFormat="1" ht="14.25" thickTop="1" thickBot="1" x14ac:dyDescent="0.25">
      <c r="A72" s="1464" t="s">
        <v>751</v>
      </c>
      <c r="B72" s="481">
        <v>8830</v>
      </c>
      <c r="C72" s="528">
        <v>0</v>
      </c>
      <c r="D72" s="528">
        <v>0</v>
      </c>
      <c r="E72" s="475"/>
      <c r="F72" s="475"/>
      <c r="G72" s="475"/>
      <c r="H72" s="475"/>
      <c r="I72" s="475"/>
      <c r="J72" s="475"/>
      <c r="K72" s="475"/>
      <c r="L72" s="521"/>
    </row>
    <row r="73" spans="1:12" s="483" customFormat="1" ht="14.25" thickTop="1" thickBot="1" x14ac:dyDescent="0.25">
      <c r="A73" s="1464" t="s">
        <v>752</v>
      </c>
      <c r="B73" s="481">
        <v>8840</v>
      </c>
      <c r="C73" s="528">
        <v>0</v>
      </c>
      <c r="D73" s="528">
        <v>0</v>
      </c>
      <c r="E73" s="475"/>
      <c r="F73" s="475"/>
      <c r="G73" s="475"/>
      <c r="H73" s="475"/>
      <c r="I73" s="475"/>
      <c r="J73" s="475"/>
      <c r="K73" s="478"/>
      <c r="L73" s="521"/>
    </row>
    <row r="74" spans="1:12" s="483" customFormat="1" ht="14.25" thickTop="1" thickBot="1" x14ac:dyDescent="0.25">
      <c r="A74" s="1464"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67"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316" t="s">
        <v>440</v>
      </c>
      <c r="B76" s="2317"/>
      <c r="C76" s="1677">
        <f t="shared" ref="C76:K76" si="7">SUM(C47:C75)</f>
        <v>30000</v>
      </c>
      <c r="D76" s="1677">
        <f t="shared" si="7"/>
        <v>0</v>
      </c>
      <c r="E76" s="1677">
        <f t="shared" si="7"/>
        <v>0</v>
      </c>
      <c r="F76" s="1677">
        <f t="shared" si="7"/>
        <v>0</v>
      </c>
      <c r="G76" s="1677">
        <f t="shared" si="7"/>
        <v>0</v>
      </c>
      <c r="H76" s="1677">
        <f t="shared" si="7"/>
        <v>0</v>
      </c>
      <c r="I76" s="1677">
        <f t="shared" si="7"/>
        <v>0</v>
      </c>
      <c r="J76" s="1677">
        <f t="shared" si="7"/>
        <v>0</v>
      </c>
      <c r="K76" s="1677">
        <f t="shared" si="7"/>
        <v>0</v>
      </c>
      <c r="L76" s="521"/>
    </row>
    <row r="77" spans="1:12" ht="14.25" thickTop="1" thickBot="1" x14ac:dyDescent="0.25">
      <c r="A77" s="2318" t="s">
        <v>1177</v>
      </c>
      <c r="B77" s="2319"/>
      <c r="C77" s="1677">
        <f t="shared" ref="C77:K77" si="8">C44-C76</f>
        <v>-30000</v>
      </c>
      <c r="D77" s="1677">
        <f t="shared" si="8"/>
        <v>0</v>
      </c>
      <c r="E77" s="1677">
        <f t="shared" si="8"/>
        <v>0</v>
      </c>
      <c r="F77" s="1677">
        <f t="shared" si="8"/>
        <v>30000</v>
      </c>
      <c r="G77" s="1677">
        <f t="shared" si="8"/>
        <v>0</v>
      </c>
      <c r="H77" s="1677">
        <f t="shared" si="8"/>
        <v>0</v>
      </c>
      <c r="I77" s="1677">
        <f t="shared" si="8"/>
        <v>0</v>
      </c>
      <c r="J77" s="1677">
        <f t="shared" si="8"/>
        <v>0</v>
      </c>
      <c r="K77" s="1677">
        <f t="shared" si="8"/>
        <v>0</v>
      </c>
      <c r="L77" s="347"/>
    </row>
    <row r="78" spans="1:12" ht="21.75" customHeight="1" thickTop="1" thickBot="1" x14ac:dyDescent="0.25">
      <c r="A78" s="2322" t="s">
        <v>597</v>
      </c>
      <c r="B78" s="2323"/>
      <c r="C78" s="1676">
        <f t="shared" ref="C78:K78" si="9">C20+C77</f>
        <v>129302</v>
      </c>
      <c r="D78" s="1676">
        <f t="shared" si="9"/>
        <v>-49054</v>
      </c>
      <c r="E78" s="1676">
        <f t="shared" si="9"/>
        <v>0</v>
      </c>
      <c r="F78" s="1676">
        <f t="shared" si="9"/>
        <v>9218</v>
      </c>
      <c r="G78" s="1676">
        <f t="shared" si="9"/>
        <v>0</v>
      </c>
      <c r="H78" s="1676">
        <f t="shared" si="9"/>
        <v>0</v>
      </c>
      <c r="I78" s="1676">
        <f t="shared" si="9"/>
        <v>0</v>
      </c>
      <c r="J78" s="1676">
        <f t="shared" si="9"/>
        <v>0</v>
      </c>
      <c r="K78" s="1676">
        <f t="shared" si="9"/>
        <v>0</v>
      </c>
      <c r="L78" s="530"/>
    </row>
    <row r="79" spans="1:12" ht="13.5" thickTop="1" x14ac:dyDescent="0.2">
      <c r="A79" s="1468" t="s">
        <v>1942</v>
      </c>
      <c r="B79" s="531"/>
      <c r="C79" s="476">
        <v>2272632</v>
      </c>
      <c r="D79" s="476">
        <v>112019</v>
      </c>
      <c r="E79" s="476">
        <v>0</v>
      </c>
      <c r="F79" s="476">
        <v>9158</v>
      </c>
      <c r="G79" s="476">
        <v>0</v>
      </c>
      <c r="H79" s="476">
        <v>0</v>
      </c>
      <c r="I79" s="476">
        <v>0</v>
      </c>
      <c r="J79" s="476">
        <v>0</v>
      </c>
      <c r="K79" s="476">
        <v>0</v>
      </c>
      <c r="L79" s="347"/>
    </row>
    <row r="80" spans="1:12" x14ac:dyDescent="0.2">
      <c r="A80" s="2328" t="s">
        <v>1789</v>
      </c>
      <c r="B80" s="2329"/>
      <c r="C80" s="467">
        <v>0</v>
      </c>
      <c r="D80" s="467">
        <v>0</v>
      </c>
      <c r="E80" s="467">
        <v>0</v>
      </c>
      <c r="F80" s="467">
        <v>0</v>
      </c>
      <c r="G80" s="467">
        <v>0</v>
      </c>
      <c r="H80" s="467">
        <v>0</v>
      </c>
      <c r="I80" s="467">
        <v>0</v>
      </c>
      <c r="J80" s="467">
        <v>0</v>
      </c>
      <c r="K80" s="467">
        <v>0</v>
      </c>
      <c r="L80" s="347"/>
    </row>
    <row r="81" spans="1:12" ht="13.5" thickBot="1" x14ac:dyDescent="0.25">
      <c r="A81" s="2320" t="s">
        <v>1943</v>
      </c>
      <c r="B81" s="2321"/>
      <c r="C81" s="1662">
        <f>(SUM(C78:C80))</f>
        <v>2401934</v>
      </c>
      <c r="D81" s="1662">
        <f>SUM(D78:D80)</f>
        <v>62965</v>
      </c>
      <c r="E81" s="1662">
        <f t="shared" ref="E81:K81" si="10">SUM(E78:E80)</f>
        <v>0</v>
      </c>
      <c r="F81" s="1662">
        <f t="shared" si="10"/>
        <v>18376</v>
      </c>
      <c r="G81" s="1662">
        <f t="shared" si="10"/>
        <v>0</v>
      </c>
      <c r="H81" s="1662">
        <f t="shared" si="10"/>
        <v>0</v>
      </c>
      <c r="I81" s="1662">
        <f t="shared" si="10"/>
        <v>0</v>
      </c>
      <c r="J81" s="1662">
        <f t="shared" si="10"/>
        <v>0</v>
      </c>
      <c r="K81" s="1662">
        <f t="shared" si="10"/>
        <v>0</v>
      </c>
      <c r="L81" s="347"/>
    </row>
    <row r="82" spans="1:12" ht="0.75" customHeight="1" thickTop="1" thickBot="1" x14ac:dyDescent="0.25">
      <c r="A82" s="533" t="s">
        <v>343</v>
      </c>
      <c r="B82" s="534"/>
      <c r="C82" s="535">
        <f>(C81-C79)</f>
        <v>129302</v>
      </c>
      <c r="D82" s="535">
        <f t="shared" ref="D82:K82" si="11">(D81-D79)</f>
        <v>-49054</v>
      </c>
      <c r="E82" s="535">
        <f t="shared" si="11"/>
        <v>0</v>
      </c>
      <c r="F82" s="535">
        <f t="shared" si="11"/>
        <v>9218</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5.3832453348010394E-2</v>
      </c>
      <c r="D83" s="537">
        <f t="shared" ref="D83:K83" si="12">D82/D81</f>
        <v>-0.77906773604383384</v>
      </c>
      <c r="E83" s="537" t="e">
        <f t="shared" si="12"/>
        <v>#DIV/0!</v>
      </c>
      <c r="F83" s="537">
        <f t="shared" si="12"/>
        <v>0.50163256421419244</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9" sqref="F29"/>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324" t="s">
        <v>1796</v>
      </c>
      <c r="B1" s="452"/>
      <c r="C1" s="453" t="s">
        <v>425</v>
      </c>
      <c r="D1" s="453" t="s">
        <v>426</v>
      </c>
      <c r="E1" s="453" t="s">
        <v>427</v>
      </c>
      <c r="F1" s="453" t="s">
        <v>428</v>
      </c>
      <c r="G1" s="453" t="s">
        <v>429</v>
      </c>
      <c r="H1" s="453" t="s">
        <v>430</v>
      </c>
      <c r="I1" s="453" t="s">
        <v>431</v>
      </c>
      <c r="J1" s="453" t="s">
        <v>432</v>
      </c>
      <c r="K1" s="453" t="s">
        <v>756</v>
      </c>
    </row>
    <row r="2" spans="1:12" ht="36" x14ac:dyDescent="0.2">
      <c r="A2" s="232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53" t="s">
        <v>113</v>
      </c>
      <c r="B3" s="1554"/>
      <c r="C3" s="1555"/>
      <c r="D3" s="1555"/>
      <c r="E3" s="1555"/>
      <c r="F3" s="1556"/>
      <c r="G3" s="1557"/>
      <c r="H3" s="1556"/>
      <c r="I3" s="1556"/>
      <c r="J3" s="1556"/>
      <c r="K3" s="1558"/>
    </row>
    <row r="4" spans="1:12" ht="15.75" customHeight="1" x14ac:dyDescent="0.2">
      <c r="A4" s="1564" t="s">
        <v>379</v>
      </c>
      <c r="B4" s="1565">
        <v>1100</v>
      </c>
      <c r="C4" s="540"/>
      <c r="D4" s="540"/>
      <c r="E4" s="540"/>
      <c r="F4" s="541"/>
      <c r="G4" s="542"/>
      <c r="H4" s="543"/>
      <c r="I4" s="543"/>
      <c r="J4" s="543"/>
      <c r="K4" s="543"/>
    </row>
    <row r="5" spans="1:12" ht="15" x14ac:dyDescent="0.2">
      <c r="A5" s="490" t="s">
        <v>1660</v>
      </c>
      <c r="B5" s="544"/>
      <c r="C5" s="479">
        <v>0</v>
      </c>
      <c r="D5" s="479">
        <v>0</v>
      </c>
      <c r="E5" s="466">
        <v>0</v>
      </c>
      <c r="F5" s="545">
        <v>0</v>
      </c>
      <c r="G5" s="466">
        <v>0</v>
      </c>
      <c r="H5" s="466">
        <v>0</v>
      </c>
      <c r="I5" s="466">
        <v>0</v>
      </c>
      <c r="J5" s="467">
        <v>0</v>
      </c>
      <c r="K5" s="466">
        <v>0</v>
      </c>
    </row>
    <row r="6" spans="1:12" ht="15" x14ac:dyDescent="0.2">
      <c r="A6" s="463" t="s">
        <v>1661</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79" t="s">
        <v>29</v>
      </c>
      <c r="B12" s="1680"/>
      <c r="C12" s="1681">
        <f t="shared" ref="C12:K12" si="0">SUM(C5:C11)</f>
        <v>0</v>
      </c>
      <c r="D12" s="1681">
        <f t="shared" si="0"/>
        <v>0</v>
      </c>
      <c r="E12" s="1681">
        <f t="shared" si="0"/>
        <v>0</v>
      </c>
      <c r="F12" s="1681">
        <f t="shared" si="0"/>
        <v>0</v>
      </c>
      <c r="G12" s="1681">
        <f t="shared" si="0"/>
        <v>0</v>
      </c>
      <c r="H12" s="1681">
        <f t="shared" si="0"/>
        <v>0</v>
      </c>
      <c r="I12" s="1681">
        <f t="shared" si="0"/>
        <v>0</v>
      </c>
      <c r="J12" s="1681">
        <f t="shared" si="0"/>
        <v>0</v>
      </c>
      <c r="K12" s="1662">
        <f t="shared" si="0"/>
        <v>0</v>
      </c>
    </row>
    <row r="13" spans="1:12" ht="15.75" customHeight="1" thickTop="1" x14ac:dyDescent="0.2">
      <c r="A13" s="1566" t="s">
        <v>451</v>
      </c>
      <c r="B13" s="1567">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1662</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82" t="s">
        <v>537</v>
      </c>
      <c r="B18" s="1683"/>
      <c r="C18" s="1684">
        <f>SUM(C14:C17)</f>
        <v>0</v>
      </c>
      <c r="D18" s="1684">
        <f t="shared" ref="D18:K18" si="1">SUM(D14:D17)</f>
        <v>0</v>
      </c>
      <c r="E18" s="1684">
        <f t="shared" si="1"/>
        <v>0</v>
      </c>
      <c r="F18" s="1684">
        <f t="shared" si="1"/>
        <v>0</v>
      </c>
      <c r="G18" s="1684">
        <f t="shared" si="1"/>
        <v>0</v>
      </c>
      <c r="H18" s="1684">
        <f t="shared" si="1"/>
        <v>0</v>
      </c>
      <c r="I18" s="1684">
        <f t="shared" si="1"/>
        <v>0</v>
      </c>
      <c r="J18" s="1684">
        <f t="shared" si="1"/>
        <v>0</v>
      </c>
      <c r="K18" s="1685">
        <f t="shared" si="1"/>
        <v>0</v>
      </c>
    </row>
    <row r="19" spans="1:11" ht="15.75" customHeight="1" thickTop="1" x14ac:dyDescent="0.2">
      <c r="A19" s="1566" t="s">
        <v>452</v>
      </c>
      <c r="B19" s="1567">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143372</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4578113</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69" t="s">
        <v>594</v>
      </c>
      <c r="B39" s="553">
        <v>1354</v>
      </c>
      <c r="C39" s="486">
        <v>0</v>
      </c>
      <c r="D39" s="468"/>
      <c r="E39" s="468"/>
      <c r="F39" s="468"/>
      <c r="G39" s="468"/>
      <c r="H39" s="468"/>
      <c r="I39" s="468"/>
      <c r="J39" s="468"/>
      <c r="K39" s="468"/>
    </row>
    <row r="40" spans="1:11" ht="12.75" customHeight="1" thickBot="1" x14ac:dyDescent="0.25">
      <c r="A40" s="1682" t="s">
        <v>538</v>
      </c>
      <c r="B40" s="1683"/>
      <c r="C40" s="1662">
        <f>SUM(C20:C39)</f>
        <v>4721485</v>
      </c>
      <c r="D40" s="468"/>
      <c r="E40" s="468"/>
      <c r="F40" s="468"/>
      <c r="G40" s="468"/>
      <c r="H40" s="468"/>
      <c r="I40" s="468"/>
      <c r="J40" s="468"/>
      <c r="K40" s="468"/>
    </row>
    <row r="41" spans="1:11" ht="15.75" customHeight="1" thickTop="1" x14ac:dyDescent="0.2">
      <c r="A41" s="1566" t="s">
        <v>274</v>
      </c>
      <c r="B41" s="1567">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70" t="s">
        <v>60</v>
      </c>
      <c r="B51" s="554">
        <v>1431</v>
      </c>
      <c r="C51" s="468"/>
      <c r="D51" s="468"/>
      <c r="E51" s="468"/>
      <c r="F51" s="466">
        <v>0</v>
      </c>
      <c r="G51" s="468"/>
      <c r="H51" s="468"/>
      <c r="I51" s="468"/>
      <c r="J51" s="468"/>
      <c r="K51" s="468"/>
    </row>
    <row r="52" spans="1:11" ht="12.75" customHeight="1" x14ac:dyDescent="0.2">
      <c r="A52" s="1470" t="s">
        <v>1106</v>
      </c>
      <c r="B52" s="554">
        <v>1432</v>
      </c>
      <c r="C52" s="468"/>
      <c r="D52" s="468"/>
      <c r="E52" s="468"/>
      <c r="F52" s="466">
        <v>0</v>
      </c>
      <c r="G52" s="468"/>
      <c r="H52" s="468"/>
      <c r="I52" s="468"/>
      <c r="J52" s="468"/>
      <c r="K52" s="468"/>
    </row>
    <row r="53" spans="1:11" ht="12.75" customHeight="1" x14ac:dyDescent="0.2">
      <c r="A53" s="1470" t="s">
        <v>61</v>
      </c>
      <c r="B53" s="554">
        <v>1433</v>
      </c>
      <c r="C53" s="468"/>
      <c r="D53" s="468"/>
      <c r="E53" s="468"/>
      <c r="F53" s="466">
        <v>0</v>
      </c>
      <c r="G53" s="468"/>
      <c r="H53" s="468"/>
      <c r="I53" s="468"/>
      <c r="J53" s="468"/>
      <c r="K53" s="468"/>
    </row>
    <row r="54" spans="1:11" ht="12.75" customHeight="1" x14ac:dyDescent="0.2">
      <c r="A54" s="1470" t="s">
        <v>62</v>
      </c>
      <c r="B54" s="554">
        <v>1434</v>
      </c>
      <c r="C54" s="468"/>
      <c r="D54" s="468"/>
      <c r="E54" s="468"/>
      <c r="F54" s="467">
        <v>0</v>
      </c>
      <c r="G54" s="468"/>
      <c r="H54" s="468"/>
      <c r="I54" s="468"/>
      <c r="J54" s="468"/>
      <c r="K54" s="468"/>
    </row>
    <row r="55" spans="1:11" ht="12.75" customHeight="1" x14ac:dyDescent="0.2">
      <c r="A55" s="1470" t="s">
        <v>63</v>
      </c>
      <c r="B55" s="554">
        <v>1441</v>
      </c>
      <c r="C55" s="468"/>
      <c r="D55" s="468"/>
      <c r="E55" s="468"/>
      <c r="F55" s="466">
        <v>0</v>
      </c>
      <c r="G55" s="468"/>
      <c r="H55" s="468"/>
      <c r="I55" s="468"/>
      <c r="J55" s="468"/>
      <c r="K55" s="468"/>
    </row>
    <row r="56" spans="1:11" ht="12.75" customHeight="1" x14ac:dyDescent="0.2">
      <c r="A56" s="1470" t="s">
        <v>1107</v>
      </c>
      <c r="B56" s="554">
        <v>1442</v>
      </c>
      <c r="C56" s="468"/>
      <c r="D56" s="468"/>
      <c r="E56" s="468"/>
      <c r="F56" s="466">
        <v>0</v>
      </c>
      <c r="G56" s="468"/>
      <c r="H56" s="468"/>
      <c r="I56" s="468"/>
      <c r="J56" s="468"/>
      <c r="K56" s="468"/>
    </row>
    <row r="57" spans="1:11" ht="12.75" customHeight="1" x14ac:dyDescent="0.2">
      <c r="A57" s="1470" t="s">
        <v>489</v>
      </c>
      <c r="B57" s="554">
        <v>1443</v>
      </c>
      <c r="C57" s="468"/>
      <c r="D57" s="468"/>
      <c r="E57" s="468"/>
      <c r="F57" s="466">
        <v>0</v>
      </c>
      <c r="G57" s="468"/>
      <c r="H57" s="468"/>
      <c r="I57" s="468"/>
      <c r="J57" s="468"/>
      <c r="K57" s="468"/>
    </row>
    <row r="58" spans="1:11" ht="12.75" customHeight="1" x14ac:dyDescent="0.2">
      <c r="A58" s="1470" t="s">
        <v>65</v>
      </c>
      <c r="B58" s="554">
        <v>1444</v>
      </c>
      <c r="C58" s="468"/>
      <c r="D58" s="468"/>
      <c r="E58" s="468"/>
      <c r="F58" s="466">
        <v>0</v>
      </c>
      <c r="G58" s="468"/>
      <c r="H58" s="468"/>
      <c r="I58" s="468"/>
      <c r="J58" s="468"/>
      <c r="K58" s="468"/>
    </row>
    <row r="59" spans="1:11" ht="12.75" customHeight="1" x14ac:dyDescent="0.2">
      <c r="A59" s="1470" t="s">
        <v>878</v>
      </c>
      <c r="B59" s="554">
        <v>1451</v>
      </c>
      <c r="C59" s="468"/>
      <c r="D59" s="468"/>
      <c r="E59" s="468"/>
      <c r="F59" s="466">
        <v>0</v>
      </c>
      <c r="G59" s="468"/>
      <c r="H59" s="468"/>
      <c r="I59" s="468"/>
      <c r="J59" s="468"/>
      <c r="K59" s="468"/>
    </row>
    <row r="60" spans="1:11" ht="12.75" customHeight="1" x14ac:dyDescent="0.2">
      <c r="A60" s="1470"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71" t="s">
        <v>880</v>
      </c>
      <c r="B62" s="555">
        <v>1454</v>
      </c>
      <c r="C62" s="468"/>
      <c r="D62" s="468"/>
      <c r="E62" s="468"/>
      <c r="F62" s="467">
        <v>0</v>
      </c>
      <c r="G62" s="468"/>
      <c r="H62" s="468"/>
      <c r="I62" s="468"/>
      <c r="J62" s="468"/>
      <c r="K62" s="468"/>
    </row>
    <row r="63" spans="1:11" ht="12.75" customHeight="1" thickBot="1" x14ac:dyDescent="0.25">
      <c r="A63" s="1682" t="s">
        <v>485</v>
      </c>
      <c r="B63" s="1683"/>
      <c r="C63" s="468"/>
      <c r="D63" s="468"/>
      <c r="E63" s="468"/>
      <c r="F63" s="1662">
        <f>SUM(F42:F62)</f>
        <v>0</v>
      </c>
      <c r="G63" s="468"/>
      <c r="H63" s="468"/>
      <c r="I63" s="468"/>
      <c r="J63" s="468"/>
      <c r="K63" s="468"/>
    </row>
    <row r="64" spans="1:11" ht="15.75" customHeight="1" thickTop="1" x14ac:dyDescent="0.2">
      <c r="A64" s="1566" t="s">
        <v>454</v>
      </c>
      <c r="B64" s="1567">
        <v>1500</v>
      </c>
      <c r="C64" s="468"/>
      <c r="D64" s="468"/>
      <c r="E64" s="468"/>
      <c r="F64" s="468"/>
      <c r="G64" s="468"/>
      <c r="H64" s="468"/>
      <c r="I64" s="468"/>
      <c r="J64" s="468"/>
      <c r="K64" s="468"/>
    </row>
    <row r="65" spans="1:11" ht="12.75" customHeight="1" x14ac:dyDescent="0.2">
      <c r="A65" s="463" t="s">
        <v>547</v>
      </c>
      <c r="B65" s="470">
        <v>1510</v>
      </c>
      <c r="C65" s="466">
        <v>17120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82" t="s">
        <v>486</v>
      </c>
      <c r="B67" s="1683"/>
      <c r="C67" s="1662">
        <f>SUM(C65:C66)</f>
        <v>17120</v>
      </c>
      <c r="D67" s="1662">
        <f t="shared" ref="D67:K67" si="2">SUM(D65:D66)</f>
        <v>0</v>
      </c>
      <c r="E67" s="1662">
        <f t="shared" si="2"/>
        <v>0</v>
      </c>
      <c r="F67" s="1662">
        <f t="shared" si="2"/>
        <v>0</v>
      </c>
      <c r="G67" s="1662">
        <f t="shared" si="2"/>
        <v>0</v>
      </c>
      <c r="H67" s="1662">
        <f t="shared" si="2"/>
        <v>0</v>
      </c>
      <c r="I67" s="1662">
        <f t="shared" si="2"/>
        <v>0</v>
      </c>
      <c r="J67" s="1662">
        <f t="shared" si="2"/>
        <v>0</v>
      </c>
      <c r="K67" s="1662">
        <f t="shared" si="2"/>
        <v>0</v>
      </c>
    </row>
    <row r="68" spans="1:11" ht="15.75" customHeight="1" thickTop="1" x14ac:dyDescent="0.2">
      <c r="A68" s="1566" t="s">
        <v>455</v>
      </c>
      <c r="B68" s="1568">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4096</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682" t="s">
        <v>548</v>
      </c>
      <c r="B75" s="1683"/>
      <c r="C75" s="1662">
        <f>SUM(C69:C74)</f>
        <v>4096</v>
      </c>
      <c r="D75" s="468"/>
      <c r="E75" s="468"/>
      <c r="F75" s="468"/>
      <c r="G75" s="468"/>
      <c r="H75" s="468"/>
      <c r="I75" s="468"/>
      <c r="J75" s="468"/>
      <c r="K75" s="468"/>
    </row>
    <row r="76" spans="1:11" ht="15.75" customHeight="1" thickTop="1" x14ac:dyDescent="0.2">
      <c r="A76" s="1566" t="s">
        <v>881</v>
      </c>
      <c r="B76" s="1568">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82" t="s">
        <v>241</v>
      </c>
      <c r="B82" s="1683"/>
      <c r="C82" s="1681">
        <f>SUM(C77:C81)</f>
        <v>0</v>
      </c>
      <c r="D82" s="1662">
        <f>SUM(D77:D81)</f>
        <v>0</v>
      </c>
      <c r="E82" s="468"/>
      <c r="F82" s="468"/>
      <c r="G82" s="468"/>
      <c r="H82" s="468"/>
      <c r="I82" s="468"/>
      <c r="J82" s="468"/>
      <c r="K82" s="468"/>
    </row>
    <row r="83" spans="1:11" ht="15.75" customHeight="1" thickTop="1" x14ac:dyDescent="0.2">
      <c r="A83" s="1566" t="s">
        <v>242</v>
      </c>
      <c r="B83" s="1568">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82" t="s">
        <v>243</v>
      </c>
      <c r="B93" s="1683"/>
      <c r="C93" s="1662">
        <f>SUM(C84:C92)</f>
        <v>0</v>
      </c>
      <c r="D93" s="468"/>
      <c r="E93" s="468"/>
      <c r="F93" s="468"/>
      <c r="G93" s="468"/>
      <c r="H93" s="468"/>
      <c r="I93" s="468"/>
      <c r="J93" s="468"/>
      <c r="K93" s="468"/>
    </row>
    <row r="94" spans="1:11" ht="15.75" customHeight="1" thickTop="1" x14ac:dyDescent="0.2">
      <c r="A94" s="1566" t="s">
        <v>1137</v>
      </c>
      <c r="B94" s="1568">
        <v>1900</v>
      </c>
      <c r="C94" s="550"/>
      <c r="D94" s="518"/>
      <c r="E94" s="468"/>
      <c r="F94" s="468"/>
      <c r="G94" s="468"/>
      <c r="H94" s="468"/>
      <c r="I94" s="468"/>
      <c r="J94" s="468"/>
      <c r="K94" s="468"/>
    </row>
    <row r="95" spans="1:11" ht="12.75" customHeight="1" x14ac:dyDescent="0.2">
      <c r="A95" s="463" t="s">
        <v>1064</v>
      </c>
      <c r="B95" s="470">
        <v>1910</v>
      </c>
      <c r="C95" s="466">
        <v>97760</v>
      </c>
      <c r="D95" s="548">
        <v>0</v>
      </c>
      <c r="E95" s="518"/>
      <c r="F95" s="518"/>
      <c r="G95" s="518"/>
      <c r="H95" s="518"/>
      <c r="I95" s="518"/>
      <c r="J95" s="518"/>
      <c r="K95" s="518"/>
    </row>
    <row r="96" spans="1:11" ht="12.75" customHeight="1" x14ac:dyDescent="0.2">
      <c r="A96" s="463" t="s">
        <v>391</v>
      </c>
      <c r="B96" s="470">
        <v>1920</v>
      </c>
      <c r="C96" s="548">
        <v>34021</v>
      </c>
      <c r="D96" s="548">
        <v>0</v>
      </c>
      <c r="E96" s="477">
        <v>0</v>
      </c>
      <c r="F96" s="476">
        <v>0</v>
      </c>
      <c r="G96" s="476">
        <v>0</v>
      </c>
      <c r="H96" s="476">
        <v>0</v>
      </c>
      <c r="I96" s="476">
        <v>0</v>
      </c>
      <c r="J96" s="476">
        <v>0</v>
      </c>
      <c r="K96" s="476">
        <v>0</v>
      </c>
    </row>
    <row r="97" spans="1:12" ht="12.75" customHeight="1" x14ac:dyDescent="0.2">
      <c r="A97" s="1469"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2408028</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1759</v>
      </c>
      <c r="D105" s="558"/>
      <c r="E105" s="468"/>
      <c r="F105" s="468"/>
      <c r="G105" s="468"/>
      <c r="H105" s="507"/>
      <c r="I105" s="468"/>
      <c r="J105" s="468"/>
      <c r="K105" s="468"/>
    </row>
    <row r="106" spans="1:12" ht="12.75" customHeight="1" x14ac:dyDescent="0.2">
      <c r="A106" s="463" t="s">
        <v>1430</v>
      </c>
      <c r="B106" s="470">
        <v>1993</v>
      </c>
      <c r="C106" s="466">
        <v>400000</v>
      </c>
      <c r="D106" s="486">
        <v>0</v>
      </c>
      <c r="E106" s="467">
        <v>0</v>
      </c>
      <c r="F106" s="467">
        <v>0</v>
      </c>
      <c r="G106" s="467">
        <v>0</v>
      </c>
      <c r="H106" s="467">
        <v>0</v>
      </c>
      <c r="I106" s="518"/>
      <c r="J106" s="467">
        <v>0</v>
      </c>
      <c r="K106" s="467">
        <v>0</v>
      </c>
    </row>
    <row r="107" spans="1:12" ht="12.75" customHeight="1" x14ac:dyDescent="0.2">
      <c r="A107" s="463" t="s">
        <v>78</v>
      </c>
      <c r="B107" s="470">
        <v>1999</v>
      </c>
      <c r="C107" s="548">
        <v>25679</v>
      </c>
      <c r="D107" s="466">
        <v>0</v>
      </c>
      <c r="E107" s="466">
        <v>0</v>
      </c>
      <c r="F107" s="466">
        <v>0</v>
      </c>
      <c r="G107" s="466">
        <v>0</v>
      </c>
      <c r="H107" s="466">
        <v>0</v>
      </c>
      <c r="I107" s="466">
        <v>0</v>
      </c>
      <c r="J107" s="467">
        <v>0</v>
      </c>
      <c r="K107" s="466">
        <v>0</v>
      </c>
    </row>
    <row r="108" spans="1:12" ht="12.75" customHeight="1" thickBot="1" x14ac:dyDescent="0.25">
      <c r="A108" s="1682" t="s">
        <v>487</v>
      </c>
      <c r="B108" s="1686"/>
      <c r="C108" s="1681">
        <f>SUM(C95:C107)</f>
        <v>2967247</v>
      </c>
      <c r="D108" s="1681">
        <f t="shared" ref="D108:K108" si="3">SUM(D95:D107)</f>
        <v>0</v>
      </c>
      <c r="E108" s="1681">
        <f t="shared" si="3"/>
        <v>0</v>
      </c>
      <c r="F108" s="1681">
        <f t="shared" si="3"/>
        <v>0</v>
      </c>
      <c r="G108" s="1681">
        <f t="shared" si="3"/>
        <v>0</v>
      </c>
      <c r="H108" s="1681">
        <f t="shared" si="3"/>
        <v>0</v>
      </c>
      <c r="I108" s="1681">
        <f t="shared" si="3"/>
        <v>0</v>
      </c>
      <c r="J108" s="1681">
        <f t="shared" si="3"/>
        <v>0</v>
      </c>
      <c r="K108" s="1662">
        <f t="shared" si="3"/>
        <v>0</v>
      </c>
    </row>
    <row r="109" spans="1:12" ht="14.25" thickTop="1" thickBot="1" x14ac:dyDescent="0.25">
      <c r="A109" s="1687" t="s">
        <v>248</v>
      </c>
      <c r="B109" s="1688" t="s">
        <v>570</v>
      </c>
      <c r="C109" s="1689">
        <f t="shared" ref="C109:K109" si="4">SUM(C12,C18,C40,C63,C67,C75,C82,C93,C108,)</f>
        <v>7709948</v>
      </c>
      <c r="D109" s="1689">
        <f t="shared" si="4"/>
        <v>0</v>
      </c>
      <c r="E109" s="1689">
        <f t="shared" si="4"/>
        <v>0</v>
      </c>
      <c r="F109" s="1689">
        <f t="shared" si="4"/>
        <v>0</v>
      </c>
      <c r="G109" s="1689">
        <f t="shared" si="4"/>
        <v>0</v>
      </c>
      <c r="H109" s="1689">
        <f t="shared" si="4"/>
        <v>0</v>
      </c>
      <c r="I109" s="1689">
        <f t="shared" si="4"/>
        <v>0</v>
      </c>
      <c r="J109" s="1689">
        <f t="shared" si="4"/>
        <v>0</v>
      </c>
      <c r="K109" s="1676">
        <f t="shared" si="4"/>
        <v>0</v>
      </c>
    </row>
    <row r="110" spans="1:12" ht="30" customHeight="1" thickTop="1" x14ac:dyDescent="0.2">
      <c r="A110" s="1559" t="s">
        <v>346</v>
      </c>
      <c r="B110" s="1560"/>
      <c r="C110" s="1545"/>
      <c r="D110" s="1545"/>
      <c r="E110" s="1545"/>
      <c r="F110" s="1545"/>
      <c r="G110" s="1545"/>
      <c r="H110" s="1545"/>
      <c r="I110" s="1545"/>
      <c r="J110" s="1545"/>
      <c r="K110" s="1546"/>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6340597</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90" t="s">
        <v>806</v>
      </c>
      <c r="B114" s="1691" t="s">
        <v>569</v>
      </c>
      <c r="C114" s="1692">
        <f>SUM(C111:C113)</f>
        <v>6340597</v>
      </c>
      <c r="D114" s="1692">
        <f>SUM(D111:D113)</f>
        <v>0</v>
      </c>
      <c r="E114" s="558" t="s">
        <v>1169</v>
      </c>
      <c r="F114" s="1692">
        <f>SUM(F111:F113)</f>
        <v>0</v>
      </c>
      <c r="G114" s="1692">
        <f>SUM(G111:G113)</f>
        <v>0</v>
      </c>
      <c r="H114" s="558"/>
      <c r="I114" s="468"/>
      <c r="J114" s="468"/>
      <c r="K114" s="468"/>
    </row>
    <row r="115" spans="1:11" ht="16.7" customHeight="1" thickTop="1" x14ac:dyDescent="0.2">
      <c r="A115" s="1561" t="s">
        <v>803</v>
      </c>
      <c r="B115" s="1562"/>
      <c r="C115" s="1544"/>
      <c r="D115" s="1545"/>
      <c r="E115" s="1545"/>
      <c r="F115" s="1545"/>
      <c r="G115" s="1545"/>
      <c r="H115" s="1545"/>
      <c r="I115" s="1545"/>
      <c r="J115" s="1545"/>
      <c r="K115" s="1546"/>
    </row>
    <row r="116" spans="1:11" ht="18" customHeight="1" x14ac:dyDescent="0.2">
      <c r="A116" s="1569" t="s">
        <v>1490</v>
      </c>
      <c r="B116" s="1570"/>
      <c r="C116" s="519"/>
      <c r="D116" s="518"/>
      <c r="E116" s="558"/>
      <c r="F116" s="518"/>
      <c r="G116" s="518"/>
      <c r="H116" s="558"/>
      <c r="I116" s="468"/>
      <c r="J116" s="518"/>
      <c r="K116" s="518"/>
    </row>
    <row r="117" spans="1:11" ht="12.75" customHeight="1" x14ac:dyDescent="0.2">
      <c r="A117" s="463" t="s">
        <v>1666</v>
      </c>
      <c r="B117" s="559">
        <v>3001</v>
      </c>
      <c r="C117" s="513">
        <v>967039</v>
      </c>
      <c r="D117" s="479">
        <v>0</v>
      </c>
      <c r="E117" s="466">
        <v>0</v>
      </c>
      <c r="F117" s="479">
        <v>0</v>
      </c>
      <c r="G117" s="479">
        <v>0</v>
      </c>
      <c r="H117" s="466">
        <v>0</v>
      </c>
      <c r="I117" s="468"/>
      <c r="J117" s="467">
        <v>0</v>
      </c>
      <c r="K117" s="466">
        <v>0</v>
      </c>
    </row>
    <row r="118" spans="1:11" ht="12.75" customHeight="1" x14ac:dyDescent="0.2">
      <c r="A118" s="463" t="s">
        <v>1793</v>
      </c>
      <c r="B118" s="559">
        <v>3002</v>
      </c>
      <c r="C118" s="548"/>
      <c r="D118" s="466"/>
      <c r="E118" s="466"/>
      <c r="F118" s="466"/>
      <c r="G118" s="466"/>
      <c r="H118" s="466"/>
      <c r="I118" s="468"/>
      <c r="J118" s="467"/>
      <c r="K118" s="466"/>
    </row>
    <row r="119" spans="1:11" ht="12.75" customHeight="1" x14ac:dyDescent="0.2">
      <c r="A119" s="463" t="s">
        <v>1794</v>
      </c>
      <c r="B119" s="559">
        <v>3005</v>
      </c>
      <c r="C119" s="548">
        <v>0</v>
      </c>
      <c r="D119" s="466">
        <v>0</v>
      </c>
      <c r="E119" s="466">
        <v>0</v>
      </c>
      <c r="F119" s="466">
        <v>0</v>
      </c>
      <c r="G119" s="479">
        <v>0</v>
      </c>
      <c r="H119" s="466">
        <v>0</v>
      </c>
      <c r="I119" s="468"/>
      <c r="J119" s="467">
        <v>0</v>
      </c>
      <c r="K119" s="466">
        <v>0</v>
      </c>
    </row>
    <row r="120" spans="1:11" ht="12.75" customHeight="1" x14ac:dyDescent="0.2">
      <c r="A120" s="1901" t="s">
        <v>1929</v>
      </c>
      <c r="B120" s="559">
        <v>3030</v>
      </c>
      <c r="C120" s="548">
        <v>0</v>
      </c>
      <c r="D120" s="466">
        <v>0</v>
      </c>
      <c r="E120" s="466">
        <v>0</v>
      </c>
      <c r="F120" s="466">
        <v>0</v>
      </c>
      <c r="G120" s="466">
        <v>0</v>
      </c>
      <c r="H120" s="466">
        <v>0</v>
      </c>
      <c r="I120" s="468"/>
      <c r="J120" s="467">
        <v>0</v>
      </c>
      <c r="K120" s="466">
        <v>0</v>
      </c>
    </row>
    <row r="121" spans="1:11" x14ac:dyDescent="0.2">
      <c r="A121" s="1470" t="s">
        <v>1795</v>
      </c>
      <c r="B121" s="561">
        <v>3099</v>
      </c>
      <c r="C121" s="548">
        <v>0</v>
      </c>
      <c r="D121" s="466">
        <v>0</v>
      </c>
      <c r="E121" s="466">
        <v>0</v>
      </c>
      <c r="F121" s="466">
        <v>0</v>
      </c>
      <c r="G121" s="466">
        <v>0</v>
      </c>
      <c r="H121" s="466">
        <v>0</v>
      </c>
      <c r="I121" s="468"/>
      <c r="J121" s="467">
        <v>0</v>
      </c>
      <c r="K121" s="466">
        <v>0</v>
      </c>
    </row>
    <row r="122" spans="1:11" ht="12.6" customHeight="1" thickBot="1" x14ac:dyDescent="0.25">
      <c r="A122" s="1682" t="s">
        <v>488</v>
      </c>
      <c r="B122" s="1693"/>
      <c r="C122" s="1681">
        <f t="shared" ref="C122:H122" si="5">SUM(C117:C121)</f>
        <v>967039</v>
      </c>
      <c r="D122" s="1681">
        <f t="shared" si="5"/>
        <v>0</v>
      </c>
      <c r="E122" s="1681">
        <f t="shared" si="5"/>
        <v>0</v>
      </c>
      <c r="F122" s="1681">
        <f t="shared" si="5"/>
        <v>0</v>
      </c>
      <c r="G122" s="1681">
        <f t="shared" si="5"/>
        <v>0</v>
      </c>
      <c r="H122" s="1681">
        <f t="shared" si="5"/>
        <v>0</v>
      </c>
      <c r="I122" s="468"/>
      <c r="J122" s="1681">
        <f>SUM(J117:J121)</f>
        <v>0</v>
      </c>
      <c r="K122" s="1662">
        <f>SUM(K117:K121)</f>
        <v>0</v>
      </c>
    </row>
    <row r="123" spans="1:11" ht="15.75" customHeight="1" thickTop="1" x14ac:dyDescent="0.2">
      <c r="A123" s="1566" t="s">
        <v>1489</v>
      </c>
      <c r="B123" s="1571"/>
      <c r="C123" s="562"/>
      <c r="D123" s="506"/>
      <c r="E123" s="468"/>
      <c r="F123" s="563"/>
      <c r="G123" s="468"/>
      <c r="H123" s="468"/>
      <c r="I123" s="468"/>
      <c r="J123" s="468"/>
      <c r="K123" s="468"/>
    </row>
    <row r="124" spans="1:11" ht="15" customHeight="1" x14ac:dyDescent="0.2">
      <c r="A124" s="1572" t="s">
        <v>667</v>
      </c>
      <c r="B124" s="1573"/>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82" t="s">
        <v>1032</v>
      </c>
      <c r="B132" s="1694"/>
      <c r="C132" s="1681">
        <f>SUM(C125:C131)</f>
        <v>0</v>
      </c>
      <c r="D132" s="1681">
        <f>SUM(D125:D131)</f>
        <v>0</v>
      </c>
      <c r="E132" s="469" t="s">
        <v>1169</v>
      </c>
      <c r="F132" s="1681">
        <f>SUM(F125:F131)</f>
        <v>0</v>
      </c>
      <c r="G132" s="468" t="s">
        <v>1169</v>
      </c>
      <c r="H132" s="468" t="s">
        <v>1169</v>
      </c>
      <c r="I132" s="468" t="s">
        <v>1169</v>
      </c>
      <c r="J132" s="468" t="s">
        <v>1169</v>
      </c>
      <c r="K132" s="468" t="s">
        <v>1169</v>
      </c>
    </row>
    <row r="133" spans="1:11" ht="15.75" customHeight="1" thickTop="1" x14ac:dyDescent="0.2">
      <c r="A133" s="1574" t="s">
        <v>250</v>
      </c>
      <c r="B133" s="1575"/>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82" t="s">
        <v>603</v>
      </c>
      <c r="B141" s="1694"/>
      <c r="C141" s="1681">
        <f>SUM(C134:C140)</f>
        <v>0</v>
      </c>
      <c r="D141" s="1681">
        <f>SUM(D134:D140)</f>
        <v>0</v>
      </c>
      <c r="E141" s="558" t="s">
        <v>1169</v>
      </c>
      <c r="F141" s="475"/>
      <c r="G141" s="1681">
        <f>SUM(G134:G140)</f>
        <v>0</v>
      </c>
      <c r="H141" s="468" t="s">
        <v>1169</v>
      </c>
      <c r="I141" s="468" t="s">
        <v>1169</v>
      </c>
      <c r="J141" s="468" t="s">
        <v>1169</v>
      </c>
      <c r="K141" s="468" t="s">
        <v>1169</v>
      </c>
    </row>
    <row r="142" spans="1:11" ht="15.75" customHeight="1" thickTop="1" x14ac:dyDescent="0.2">
      <c r="A142" s="1574" t="s">
        <v>670</v>
      </c>
      <c r="B142" s="1575"/>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82" t="s">
        <v>396</v>
      </c>
      <c r="B145" s="1694"/>
      <c r="C145" s="1662">
        <f>SUM(C143:C144)</f>
        <v>0</v>
      </c>
      <c r="D145" s="468"/>
      <c r="E145" s="506"/>
      <c r="F145" s="468"/>
      <c r="G145" s="1695">
        <f>SUM(G143:G144)</f>
        <v>0</v>
      </c>
      <c r="H145" s="468"/>
      <c r="I145" s="468"/>
      <c r="J145" s="468"/>
      <c r="K145" s="468"/>
    </row>
    <row r="146" spans="1:11" s="202" customFormat="1" ht="12.75" customHeight="1" thickTop="1" x14ac:dyDescent="0.2">
      <c r="A146" s="1472" t="s">
        <v>1056</v>
      </c>
      <c r="B146" s="565">
        <v>3360</v>
      </c>
      <c r="C146" s="566">
        <v>2907</v>
      </c>
      <c r="D146" s="567"/>
      <c r="E146" s="506"/>
      <c r="F146" s="468"/>
      <c r="G146" s="568"/>
      <c r="H146" s="468"/>
      <c r="I146" s="468"/>
      <c r="J146" s="468"/>
      <c r="K146" s="468"/>
    </row>
    <row r="147" spans="1:11" ht="12.75" customHeight="1" thickBot="1" x14ac:dyDescent="0.25">
      <c r="A147" s="1473" t="s">
        <v>922</v>
      </c>
      <c r="B147" s="569">
        <v>3365</v>
      </c>
      <c r="C147" s="570">
        <v>0</v>
      </c>
      <c r="D147" s="529">
        <v>0</v>
      </c>
      <c r="E147" s="558"/>
      <c r="F147" s="468"/>
      <c r="G147" s="529">
        <v>0</v>
      </c>
      <c r="H147" s="468"/>
      <c r="I147" s="468"/>
      <c r="J147" s="468"/>
      <c r="K147" s="468"/>
    </row>
    <row r="148" spans="1:11" ht="12.75" customHeight="1" thickTop="1" thickBot="1" x14ac:dyDescent="0.25">
      <c r="A148" s="1474" t="s">
        <v>138</v>
      </c>
      <c r="B148" s="571">
        <v>3370</v>
      </c>
      <c r="C148" s="570">
        <v>0</v>
      </c>
      <c r="D148" s="570">
        <v>0</v>
      </c>
      <c r="E148" s="506"/>
      <c r="F148" s="468"/>
      <c r="G148" s="468"/>
      <c r="H148" s="468"/>
      <c r="I148" s="468"/>
      <c r="J148" s="468"/>
      <c r="K148" s="468"/>
    </row>
    <row r="149" spans="1:11" ht="12.75" customHeight="1" thickTop="1" thickBot="1" x14ac:dyDescent="0.25">
      <c r="A149" s="1474"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74" t="s">
        <v>68</v>
      </c>
      <c r="B150" s="571">
        <v>3499</v>
      </c>
      <c r="C150" s="572">
        <v>0</v>
      </c>
      <c r="D150" s="573">
        <v>0</v>
      </c>
      <c r="E150" s="529">
        <v>0</v>
      </c>
      <c r="F150" s="529">
        <v>0</v>
      </c>
      <c r="G150" s="529">
        <v>0</v>
      </c>
      <c r="H150" s="529">
        <v>0</v>
      </c>
      <c r="I150" s="529"/>
      <c r="J150" s="529">
        <v>0</v>
      </c>
      <c r="K150" s="529">
        <v>0</v>
      </c>
    </row>
    <row r="151" spans="1:11" ht="15.75" customHeight="1" thickTop="1" x14ac:dyDescent="0.2">
      <c r="A151" s="1574" t="s">
        <v>453</v>
      </c>
      <c r="B151" s="1576"/>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37547</v>
      </c>
      <c r="G152" s="467">
        <v>0</v>
      </c>
      <c r="H152" s="468"/>
      <c r="I152" s="468"/>
      <c r="J152" s="468"/>
      <c r="K152" s="468"/>
    </row>
    <row r="153" spans="1:11" ht="12.75" customHeight="1" x14ac:dyDescent="0.2">
      <c r="A153" s="463" t="s">
        <v>1057</v>
      </c>
      <c r="B153" s="559">
        <v>3510</v>
      </c>
      <c r="C153" s="548">
        <v>0</v>
      </c>
      <c r="D153" s="466">
        <v>0</v>
      </c>
      <c r="E153" s="558"/>
      <c r="F153" s="466">
        <v>6071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82" t="s">
        <v>94</v>
      </c>
      <c r="B155" s="1694"/>
      <c r="C155" s="1681">
        <f>SUM(C152:C154)</f>
        <v>0</v>
      </c>
      <c r="D155" s="1681">
        <f>SUM(D152:D154)</f>
        <v>0</v>
      </c>
      <c r="E155" s="558"/>
      <c r="F155" s="1681">
        <f>SUM(F152:F154)</f>
        <v>43618</v>
      </c>
      <c r="G155" s="1681">
        <f>SUM(G152:G154)</f>
        <v>0</v>
      </c>
      <c r="H155" s="468"/>
      <c r="I155" s="468"/>
      <c r="J155" s="468"/>
      <c r="K155" s="468"/>
    </row>
    <row r="156" spans="1:11" ht="12.75" customHeight="1" thickTop="1" thickBot="1" x14ac:dyDescent="0.25">
      <c r="A156" s="1474" t="s">
        <v>380</v>
      </c>
      <c r="B156" s="571">
        <v>3610</v>
      </c>
      <c r="C156" s="573">
        <v>0</v>
      </c>
      <c r="D156" s="468"/>
      <c r="E156" s="506"/>
      <c r="F156" s="468"/>
      <c r="G156" s="468"/>
      <c r="H156" s="468"/>
      <c r="I156" s="468"/>
      <c r="J156" s="468"/>
      <c r="K156" s="468"/>
    </row>
    <row r="157" spans="1:11" ht="12.75" customHeight="1" thickTop="1" thickBot="1" x14ac:dyDescent="0.25">
      <c r="A157" s="1474" t="s">
        <v>50</v>
      </c>
      <c r="B157" s="571">
        <v>3660</v>
      </c>
      <c r="C157" s="570">
        <v>0</v>
      </c>
      <c r="D157" s="575">
        <v>0</v>
      </c>
      <c r="E157" s="558"/>
      <c r="F157" s="575">
        <v>0</v>
      </c>
      <c r="G157" s="575">
        <v>0</v>
      </c>
      <c r="H157" s="468"/>
      <c r="I157" s="468"/>
      <c r="J157" s="468"/>
      <c r="K157" s="468"/>
    </row>
    <row r="158" spans="1:11" ht="12.75" customHeight="1" thickTop="1" thickBot="1" x14ac:dyDescent="0.25">
      <c r="A158" s="1474" t="s">
        <v>1000</v>
      </c>
      <c r="B158" s="571">
        <v>3695</v>
      </c>
      <c r="C158" s="573">
        <v>0</v>
      </c>
      <c r="D158" s="468"/>
      <c r="E158" s="558"/>
      <c r="F158" s="573">
        <v>0</v>
      </c>
      <c r="G158" s="573">
        <v>0</v>
      </c>
      <c r="H158" s="468"/>
      <c r="I158" s="468"/>
      <c r="J158" s="468"/>
      <c r="K158" s="468"/>
    </row>
    <row r="159" spans="1:11" ht="12.75" customHeight="1" thickTop="1" thickBot="1" x14ac:dyDescent="0.25">
      <c r="A159" s="1474" t="s">
        <v>1051</v>
      </c>
      <c r="B159" s="571">
        <v>3705</v>
      </c>
      <c r="C159" s="573">
        <v>33400</v>
      </c>
      <c r="D159" s="575">
        <v>0</v>
      </c>
      <c r="E159" s="558"/>
      <c r="F159" s="573">
        <v>0</v>
      </c>
      <c r="G159" s="573">
        <v>0</v>
      </c>
      <c r="H159" s="468"/>
      <c r="I159" s="468"/>
      <c r="J159" s="468"/>
      <c r="K159" s="468"/>
    </row>
    <row r="160" spans="1:11" ht="12.75" customHeight="1" thickTop="1" thickBot="1" x14ac:dyDescent="0.25">
      <c r="A160" s="1474" t="s">
        <v>39</v>
      </c>
      <c r="B160" s="571">
        <v>3766</v>
      </c>
      <c r="C160" s="573"/>
      <c r="D160" s="575"/>
      <c r="E160" s="558"/>
      <c r="F160" s="573"/>
      <c r="G160" s="528"/>
      <c r="H160" s="468"/>
      <c r="I160" s="468"/>
      <c r="J160" s="468"/>
      <c r="K160" s="468"/>
    </row>
    <row r="161" spans="1:11" ht="12.75" customHeight="1" thickTop="1" thickBot="1" x14ac:dyDescent="0.25">
      <c r="A161" s="1474" t="s">
        <v>985</v>
      </c>
      <c r="B161" s="571">
        <v>3767</v>
      </c>
      <c r="C161" s="573"/>
      <c r="D161" s="528"/>
      <c r="E161" s="558"/>
      <c r="F161" s="528"/>
      <c r="G161" s="528"/>
      <c r="H161" s="468"/>
      <c r="I161" s="468"/>
      <c r="J161" s="468"/>
      <c r="K161" s="468"/>
    </row>
    <row r="162" spans="1:11" ht="12.75" customHeight="1" thickTop="1" thickBot="1" x14ac:dyDescent="0.25">
      <c r="A162" s="1474"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74"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74" t="s">
        <v>858</v>
      </c>
      <c r="B164" s="571">
        <v>3815</v>
      </c>
      <c r="C164" s="573">
        <v>0</v>
      </c>
      <c r="D164" s="468"/>
      <c r="E164" s="558"/>
      <c r="F164" s="573">
        <v>0</v>
      </c>
      <c r="G164" s="468"/>
      <c r="H164" s="468"/>
      <c r="I164" s="468"/>
      <c r="J164" s="468"/>
      <c r="K164" s="468"/>
    </row>
    <row r="165" spans="1:11" ht="12.75" customHeight="1" thickTop="1" thickBot="1" x14ac:dyDescent="0.25">
      <c r="A165" s="1474" t="s">
        <v>397</v>
      </c>
      <c r="B165" s="571">
        <v>3825</v>
      </c>
      <c r="C165" s="573">
        <v>0</v>
      </c>
      <c r="D165" s="468"/>
      <c r="E165" s="558"/>
      <c r="F165" s="573">
        <v>0</v>
      </c>
      <c r="G165" s="468"/>
      <c r="H165" s="468"/>
      <c r="I165" s="468"/>
      <c r="J165" s="468"/>
      <c r="K165" s="468"/>
    </row>
    <row r="166" spans="1:11" ht="12.75" customHeight="1" thickTop="1" thickBot="1" x14ac:dyDescent="0.25">
      <c r="A166" s="1474" t="s">
        <v>348</v>
      </c>
      <c r="B166" s="571">
        <v>3920</v>
      </c>
      <c r="C166" s="563"/>
      <c r="D166" s="575">
        <v>0</v>
      </c>
      <c r="E166" s="468"/>
      <c r="F166" s="563"/>
      <c r="G166" s="468"/>
      <c r="H166" s="527">
        <v>0</v>
      </c>
      <c r="I166" s="468"/>
      <c r="J166" s="468"/>
      <c r="K166" s="468"/>
    </row>
    <row r="167" spans="1:11" ht="12.75" customHeight="1" thickTop="1" thickBot="1" x14ac:dyDescent="0.25">
      <c r="A167" s="1474" t="s">
        <v>349</v>
      </c>
      <c r="B167" s="571">
        <v>3925</v>
      </c>
      <c r="C167" s="518"/>
      <c r="D167" s="573">
        <v>0</v>
      </c>
      <c r="E167" s="518"/>
      <c r="F167" s="518"/>
      <c r="G167" s="468"/>
      <c r="H167" s="528">
        <v>0</v>
      </c>
      <c r="I167" s="468"/>
      <c r="J167" s="468"/>
      <c r="K167" s="527">
        <v>0</v>
      </c>
    </row>
    <row r="168" spans="1:11" ht="14.25" thickTop="1" thickBot="1" x14ac:dyDescent="0.25">
      <c r="A168" s="1474" t="s">
        <v>70</v>
      </c>
      <c r="B168" s="571">
        <v>3999</v>
      </c>
      <c r="C168" s="576">
        <v>505528</v>
      </c>
      <c r="D168" s="577">
        <v>0</v>
      </c>
      <c r="E168" s="577">
        <v>0</v>
      </c>
      <c r="F168" s="577">
        <v>0</v>
      </c>
      <c r="G168" s="578">
        <v>0</v>
      </c>
      <c r="H168" s="579">
        <v>0</v>
      </c>
      <c r="I168" s="578">
        <v>0</v>
      </c>
      <c r="J168" s="578">
        <v>0</v>
      </c>
      <c r="K168" s="579">
        <v>0</v>
      </c>
    </row>
    <row r="169" spans="1:11" ht="12.75" customHeight="1" thickTop="1" thickBot="1" x14ac:dyDescent="0.25">
      <c r="A169" s="2344" t="s">
        <v>398</v>
      </c>
      <c r="B169" s="2345"/>
      <c r="C169" s="1696">
        <f t="shared" ref="C169:K169" si="6">SUM(C132,C141,C145,C146:C150,C155,C156:C167,C168)</f>
        <v>541835</v>
      </c>
      <c r="D169" s="1696">
        <f t="shared" si="6"/>
        <v>0</v>
      </c>
      <c r="E169" s="1696">
        <f t="shared" si="6"/>
        <v>0</v>
      </c>
      <c r="F169" s="1696">
        <f t="shared" si="6"/>
        <v>43618</v>
      </c>
      <c r="G169" s="1696">
        <f t="shared" si="6"/>
        <v>0</v>
      </c>
      <c r="H169" s="1696">
        <f t="shared" si="6"/>
        <v>0</v>
      </c>
      <c r="I169" s="1696">
        <f t="shared" si="6"/>
        <v>0</v>
      </c>
      <c r="J169" s="1696">
        <f t="shared" si="6"/>
        <v>0</v>
      </c>
      <c r="K169" s="1677">
        <f t="shared" si="6"/>
        <v>0</v>
      </c>
    </row>
    <row r="170" spans="1:11" ht="12.75" customHeight="1" thickTop="1" thickBot="1" x14ac:dyDescent="0.25">
      <c r="A170" s="1682" t="s">
        <v>399</v>
      </c>
      <c r="B170" s="1688" t="s">
        <v>575</v>
      </c>
      <c r="C170" s="1689">
        <f t="shared" ref="C170:K170" si="7">SUM(C122,C169)</f>
        <v>1508874</v>
      </c>
      <c r="D170" s="1689">
        <f t="shared" si="7"/>
        <v>0</v>
      </c>
      <c r="E170" s="1689">
        <f t="shared" si="7"/>
        <v>0</v>
      </c>
      <c r="F170" s="1689">
        <f t="shared" si="7"/>
        <v>43618</v>
      </c>
      <c r="G170" s="1689">
        <f t="shared" si="7"/>
        <v>0</v>
      </c>
      <c r="H170" s="1689">
        <f t="shared" si="7"/>
        <v>0</v>
      </c>
      <c r="I170" s="1689">
        <f t="shared" si="7"/>
        <v>0</v>
      </c>
      <c r="J170" s="1689">
        <f t="shared" si="7"/>
        <v>0</v>
      </c>
      <c r="K170" s="1676">
        <f t="shared" si="7"/>
        <v>0</v>
      </c>
    </row>
    <row r="171" spans="1:11" ht="16.7" customHeight="1" thickTop="1" x14ac:dyDescent="0.2">
      <c r="A171" s="1563" t="s">
        <v>804</v>
      </c>
      <c r="B171" s="1541"/>
      <c r="C171" s="1544"/>
      <c r="D171" s="1545"/>
      <c r="E171" s="1545"/>
      <c r="F171" s="1545"/>
      <c r="G171" s="1545"/>
      <c r="H171" s="1545"/>
      <c r="I171" s="1545"/>
      <c r="J171" s="1545"/>
      <c r="K171" s="1546"/>
    </row>
    <row r="172" spans="1:11" ht="15.75" customHeight="1" x14ac:dyDescent="0.2">
      <c r="A172" s="2346" t="s">
        <v>1491</v>
      </c>
      <c r="B172" s="234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50" t="s">
        <v>1664</v>
      </c>
      <c r="B175" s="2351"/>
      <c r="C175" s="1681">
        <f>SUM(C173:C174)</f>
        <v>0</v>
      </c>
      <c r="D175" s="1681">
        <f t="shared" ref="D175:K175" si="8">SUM(D173:D174)</f>
        <v>0</v>
      </c>
      <c r="E175" s="1681">
        <f t="shared" si="8"/>
        <v>0</v>
      </c>
      <c r="F175" s="1681">
        <f t="shared" si="8"/>
        <v>0</v>
      </c>
      <c r="G175" s="1681">
        <f t="shared" si="8"/>
        <v>0</v>
      </c>
      <c r="H175" s="1681">
        <f t="shared" si="8"/>
        <v>0</v>
      </c>
      <c r="I175" s="1681">
        <f t="shared" si="8"/>
        <v>0</v>
      </c>
      <c r="J175" s="1681">
        <f t="shared" si="8"/>
        <v>0</v>
      </c>
      <c r="K175" s="1662">
        <f t="shared" si="8"/>
        <v>0</v>
      </c>
    </row>
    <row r="176" spans="1:11" s="457" customFormat="1" ht="15.75" customHeight="1" thickTop="1" x14ac:dyDescent="0.2">
      <c r="A176" s="2354" t="s">
        <v>1663</v>
      </c>
      <c r="B176" s="235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52" t="s">
        <v>785</v>
      </c>
      <c r="B181" s="2353"/>
      <c r="C181" s="1681">
        <f>SUM(C177:C180)</f>
        <v>0</v>
      </c>
      <c r="D181" s="1681">
        <f>SUM(D177:D180)</f>
        <v>0</v>
      </c>
      <c r="E181" s="468"/>
      <c r="F181" s="1681">
        <f>SUM(F177:F180)</f>
        <v>0</v>
      </c>
      <c r="G181" s="1681">
        <f>SUM(G177:G180)</f>
        <v>0</v>
      </c>
      <c r="H181" s="1681">
        <f>SUM(H177:H180)</f>
        <v>0</v>
      </c>
      <c r="I181" s="468"/>
      <c r="J181" s="468"/>
      <c r="K181" s="1662">
        <f>SUM(K177:K180)</f>
        <v>0</v>
      </c>
    </row>
    <row r="182" spans="1:11" ht="22.5" customHeight="1" thickTop="1" x14ac:dyDescent="0.2">
      <c r="A182" s="2348" t="s">
        <v>1797</v>
      </c>
      <c r="B182" s="2349"/>
      <c r="C182" s="581"/>
      <c r="D182" s="563"/>
      <c r="E182" s="506"/>
      <c r="F182" s="563"/>
      <c r="G182" s="563"/>
      <c r="H182" s="468"/>
      <c r="I182" s="468"/>
      <c r="J182" s="468"/>
      <c r="K182" s="468"/>
    </row>
    <row r="183" spans="1:11" ht="15.75" customHeight="1" x14ac:dyDescent="0.2">
      <c r="A183" s="1577" t="s">
        <v>1601</v>
      </c>
      <c r="B183" s="1578"/>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682" t="s">
        <v>1606</v>
      </c>
      <c r="B188" s="1683"/>
      <c r="C188" s="1681">
        <f>SUM(C184:C187)</f>
        <v>0</v>
      </c>
      <c r="D188" s="1681">
        <f>SUM(D184:D187)</f>
        <v>0</v>
      </c>
      <c r="E188" s="558"/>
      <c r="F188" s="1681">
        <f>SUM(F184:F187)</f>
        <v>0</v>
      </c>
      <c r="G188" s="1681">
        <f>SUM(G184:G187)</f>
        <v>0</v>
      </c>
      <c r="H188" s="468"/>
      <c r="I188" s="468"/>
      <c r="J188" s="468"/>
      <c r="K188" s="468"/>
    </row>
    <row r="189" spans="1:11" ht="15.75" customHeight="1" thickTop="1" x14ac:dyDescent="0.2">
      <c r="A189" s="1574" t="s">
        <v>455</v>
      </c>
      <c r="B189" s="1579"/>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91564</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55477</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47543</v>
      </c>
      <c r="D197" s="468"/>
      <c r="E197" s="558"/>
      <c r="F197" s="468"/>
      <c r="G197" s="582">
        <v>0</v>
      </c>
      <c r="H197" s="468"/>
      <c r="I197" s="468"/>
      <c r="J197" s="468"/>
      <c r="K197" s="468"/>
    </row>
    <row r="198" spans="1:11" ht="12.75" customHeight="1" thickBot="1" x14ac:dyDescent="0.25">
      <c r="A198" s="1682" t="s">
        <v>548</v>
      </c>
      <c r="B198" s="1683"/>
      <c r="C198" s="1662">
        <f>SUM(C190:C197)</f>
        <v>194584</v>
      </c>
      <c r="D198" s="468"/>
      <c r="E198" s="468"/>
      <c r="F198" s="468"/>
      <c r="G198" s="1662">
        <f>SUM(G190:G197)</f>
        <v>0</v>
      </c>
      <c r="H198" s="468"/>
      <c r="I198" s="468"/>
      <c r="J198" s="468"/>
      <c r="K198" s="468"/>
    </row>
    <row r="199" spans="1:11" ht="15.75" customHeight="1" thickTop="1" x14ac:dyDescent="0.2">
      <c r="A199" s="1574" t="s">
        <v>1138</v>
      </c>
      <c r="B199" s="1579"/>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82" t="s">
        <v>400</v>
      </c>
      <c r="B204" s="1683"/>
      <c r="C204" s="1681">
        <f>SUM(C200:C203)</f>
        <v>0</v>
      </c>
      <c r="D204" s="1681">
        <f>SUM(D200:D203)</f>
        <v>0</v>
      </c>
      <c r="E204" s="468"/>
      <c r="F204" s="1681">
        <f>SUM(F200:F203)</f>
        <v>0</v>
      </c>
      <c r="G204" s="1681">
        <f>SUM(G200:G203)</f>
        <v>0</v>
      </c>
      <c r="H204" s="468"/>
      <c r="I204" s="468"/>
      <c r="J204" s="468"/>
      <c r="K204" s="468"/>
    </row>
    <row r="205" spans="1:11" ht="15.75" customHeight="1" thickTop="1" x14ac:dyDescent="0.2">
      <c r="A205" s="1574" t="s">
        <v>1139</v>
      </c>
      <c r="B205" s="1579"/>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82" t="s">
        <v>889</v>
      </c>
      <c r="B209" s="1683"/>
      <c r="C209" s="1681">
        <f>SUM(C206:C208)</f>
        <v>0</v>
      </c>
      <c r="D209" s="1681">
        <f>SUM(D206:D208)</f>
        <v>0</v>
      </c>
      <c r="E209" s="468" t="s">
        <v>1169</v>
      </c>
      <c r="F209" s="1681">
        <f>SUM(F206:F208)</f>
        <v>0</v>
      </c>
      <c r="G209" s="1681">
        <f>SUM(G206:G208)</f>
        <v>0</v>
      </c>
      <c r="H209" s="468"/>
      <c r="I209" s="468"/>
      <c r="J209" s="468"/>
      <c r="K209" s="468"/>
    </row>
    <row r="210" spans="1:11" ht="15.75" customHeight="1" thickTop="1" x14ac:dyDescent="0.2">
      <c r="A210" s="1574" t="s">
        <v>1092</v>
      </c>
      <c r="B210" s="1579"/>
      <c r="C210" s="550"/>
      <c r="D210" s="550"/>
      <c r="E210" s="468"/>
      <c r="F210" s="550"/>
      <c r="G210" s="550"/>
      <c r="H210" s="468"/>
      <c r="I210" s="468"/>
      <c r="J210" s="468"/>
      <c r="K210" s="468"/>
    </row>
    <row r="211" spans="1:11" ht="12.75" customHeight="1" x14ac:dyDescent="0.2">
      <c r="A211" s="463" t="s">
        <v>1052</v>
      </c>
      <c r="B211" s="470">
        <v>4600</v>
      </c>
      <c r="C211" s="548">
        <v>177571</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1031402</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75" t="s">
        <v>74</v>
      </c>
      <c r="B216" s="554">
        <v>4699</v>
      </c>
      <c r="C216" s="548">
        <v>0</v>
      </c>
      <c r="D216" s="466">
        <v>0</v>
      </c>
      <c r="E216" s="468"/>
      <c r="F216" s="466">
        <v>0</v>
      </c>
      <c r="G216" s="466">
        <v>0</v>
      </c>
      <c r="H216" s="468"/>
      <c r="I216" s="468"/>
      <c r="J216" s="468"/>
      <c r="K216" s="468"/>
    </row>
    <row r="217" spans="1:11" ht="12.75" customHeight="1" thickBot="1" x14ac:dyDescent="0.25">
      <c r="A217" s="1682" t="s">
        <v>447</v>
      </c>
      <c r="B217" s="1683"/>
      <c r="C217" s="1681">
        <f>SUM(C211:C216)</f>
        <v>1208973</v>
      </c>
      <c r="D217" s="1681">
        <f>SUM(D211:D216)</f>
        <v>0</v>
      </c>
      <c r="E217" s="468"/>
      <c r="F217" s="1681">
        <f>SUM(F211:F216)</f>
        <v>0</v>
      </c>
      <c r="G217" s="1681">
        <f>SUM(G211:G216)</f>
        <v>0</v>
      </c>
      <c r="H217" s="468"/>
      <c r="I217" s="468"/>
      <c r="J217" s="468"/>
      <c r="K217" s="468"/>
    </row>
    <row r="218" spans="1:11" ht="15.75" customHeight="1" thickTop="1" x14ac:dyDescent="0.2">
      <c r="A218" s="1574" t="s">
        <v>1093</v>
      </c>
      <c r="B218" s="1579"/>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697" t="s">
        <v>1085</v>
      </c>
      <c r="B221" s="1698"/>
      <c r="C221" s="1681">
        <f>SUM(C219:C220)</f>
        <v>0</v>
      </c>
      <c r="D221" s="1681">
        <f>SUM(D219:D220)</f>
        <v>0</v>
      </c>
      <c r="E221" s="468"/>
      <c r="F221" s="468"/>
      <c r="G221" s="1681">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699" t="s">
        <v>774</v>
      </c>
      <c r="B252" s="1700"/>
      <c r="C252" s="1692">
        <f t="shared" ref="C252:H252" si="9">SUM(C223:C251)</f>
        <v>0</v>
      </c>
      <c r="D252" s="1681">
        <f t="shared" si="9"/>
        <v>0</v>
      </c>
      <c r="E252" s="1681">
        <f t="shared" si="9"/>
        <v>0</v>
      </c>
      <c r="F252" s="1681">
        <f t="shared" si="9"/>
        <v>0</v>
      </c>
      <c r="G252" s="1681">
        <f t="shared" si="9"/>
        <v>0</v>
      </c>
      <c r="H252" s="1681">
        <f t="shared" si="9"/>
        <v>0</v>
      </c>
      <c r="I252" s="550"/>
      <c r="J252" s="1681">
        <f>SUM(J223:J251)</f>
        <v>0</v>
      </c>
      <c r="K252" s="1662">
        <f>SUM(K223:K251)</f>
        <v>0</v>
      </c>
    </row>
    <row r="253" spans="1:11" ht="12.75" customHeight="1" thickTop="1" thickBot="1" x14ac:dyDescent="0.25">
      <c r="A253" s="1476" t="s">
        <v>1421</v>
      </c>
      <c r="B253" s="585">
        <v>4901</v>
      </c>
      <c r="C253" s="586">
        <v>0</v>
      </c>
      <c r="D253" s="469"/>
      <c r="E253" s="468"/>
      <c r="F253" s="468"/>
      <c r="G253" s="468"/>
      <c r="H253" s="468"/>
      <c r="I253" s="468"/>
      <c r="J253" s="468"/>
      <c r="K253" s="468"/>
    </row>
    <row r="254" spans="1:11" ht="12.75" customHeight="1" thickTop="1" thickBot="1" x14ac:dyDescent="0.25">
      <c r="A254" s="1477" t="s">
        <v>1463</v>
      </c>
      <c r="B254" s="587">
        <v>4902</v>
      </c>
      <c r="C254" s="588">
        <v>1750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01" t="s">
        <v>1930</v>
      </c>
      <c r="B261" s="470">
        <v>4981</v>
      </c>
      <c r="C261" s="572">
        <v>0</v>
      </c>
      <c r="D261" s="573">
        <v>0</v>
      </c>
      <c r="E261" s="468"/>
      <c r="F261" s="573">
        <v>0</v>
      </c>
      <c r="G261" s="573">
        <v>0</v>
      </c>
      <c r="H261" s="468"/>
      <c r="I261" s="468"/>
      <c r="J261" s="468"/>
      <c r="K261" s="468"/>
    </row>
    <row r="262" spans="1:11" ht="12.75" customHeight="1" thickTop="1" thickBot="1" x14ac:dyDescent="0.25">
      <c r="A262" s="1902" t="s">
        <v>1931</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90420</v>
      </c>
      <c r="D263" s="573">
        <v>0</v>
      </c>
      <c r="E263" s="468"/>
      <c r="F263" s="573">
        <v>0</v>
      </c>
      <c r="G263" s="573">
        <v>0</v>
      </c>
      <c r="H263" s="468"/>
      <c r="I263" s="468"/>
      <c r="J263" s="468"/>
      <c r="K263" s="468"/>
    </row>
    <row r="264" spans="1:11" ht="12.75" customHeight="1" thickTop="1" thickBot="1" x14ac:dyDescent="0.25">
      <c r="A264" s="463" t="s">
        <v>377</v>
      </c>
      <c r="B264" s="470">
        <v>4992</v>
      </c>
      <c r="C264" s="572">
        <v>6924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82" t="s">
        <v>1665</v>
      </c>
      <c r="B266" s="1701"/>
      <c r="C266" s="1689">
        <f t="shared" ref="C266:H266" si="10">SUM(C188,C198,C204,C209,C217,C221,C222,C252:C265)</f>
        <v>1502651</v>
      </c>
      <c r="D266" s="1689">
        <f t="shared" si="10"/>
        <v>0</v>
      </c>
      <c r="E266" s="1689">
        <f t="shared" si="10"/>
        <v>0</v>
      </c>
      <c r="F266" s="1689">
        <f t="shared" si="10"/>
        <v>0</v>
      </c>
      <c r="G266" s="1689">
        <f t="shared" si="10"/>
        <v>0</v>
      </c>
      <c r="H266" s="1689">
        <f t="shared" si="10"/>
        <v>0</v>
      </c>
      <c r="I266" s="468"/>
      <c r="J266" s="1689">
        <f>SUM(J188,J198,J204,J209,J217,J221,J222,J252:J265)</f>
        <v>0</v>
      </c>
      <c r="K266" s="1676">
        <f>SUM(K188,K198,K204,K209,K217,K221,K222,K252:K265)</f>
        <v>0</v>
      </c>
    </row>
    <row r="267" spans="1:11" ht="14.25" thickTop="1" thickBot="1" x14ac:dyDescent="0.25">
      <c r="A267" s="1702" t="s">
        <v>1086</v>
      </c>
      <c r="B267" s="1703" t="s">
        <v>860</v>
      </c>
      <c r="C267" s="1689">
        <f>SUM(C175,C181,C266)</f>
        <v>1502651</v>
      </c>
      <c r="D267" s="1689">
        <f>SUM(D175,D181,D266)</f>
        <v>0</v>
      </c>
      <c r="E267" s="1689">
        <f>SUM(E175,E266)</f>
        <v>0</v>
      </c>
      <c r="F267" s="1689">
        <f t="shared" ref="F267:K267" si="11">SUM(F175,F181,F266)</f>
        <v>0</v>
      </c>
      <c r="G267" s="1689">
        <f t="shared" si="11"/>
        <v>0</v>
      </c>
      <c r="H267" s="1689">
        <f t="shared" si="11"/>
        <v>0</v>
      </c>
      <c r="I267" s="1689">
        <f t="shared" si="11"/>
        <v>0</v>
      </c>
      <c r="J267" s="1689">
        <f t="shared" si="11"/>
        <v>0</v>
      </c>
      <c r="K267" s="1676">
        <f t="shared" si="11"/>
        <v>0</v>
      </c>
    </row>
    <row r="268" spans="1:11" ht="14.25" thickTop="1" thickBot="1" x14ac:dyDescent="0.25">
      <c r="A268" s="1704" t="s">
        <v>251</v>
      </c>
      <c r="B268" s="1705"/>
      <c r="C268" s="1689">
        <f t="shared" ref="C268:K268" si="12">SUM(C109,C114,C170,C267)</f>
        <v>17062070</v>
      </c>
      <c r="D268" s="1689">
        <f t="shared" si="12"/>
        <v>0</v>
      </c>
      <c r="E268" s="1689">
        <f t="shared" si="12"/>
        <v>0</v>
      </c>
      <c r="F268" s="1689">
        <f t="shared" si="12"/>
        <v>43618</v>
      </c>
      <c r="G268" s="1689">
        <f t="shared" si="12"/>
        <v>0</v>
      </c>
      <c r="H268" s="1689">
        <f t="shared" si="12"/>
        <v>0</v>
      </c>
      <c r="I268" s="1689">
        <f t="shared" si="12"/>
        <v>0</v>
      </c>
      <c r="J268" s="1689">
        <f t="shared" si="12"/>
        <v>0</v>
      </c>
      <c r="K268" s="1676">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29" sqref="F29"/>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324" t="s">
        <v>1796</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5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64" t="s">
        <v>297</v>
      </c>
      <c r="B3" s="2365"/>
      <c r="C3" s="1522"/>
      <c r="D3" s="1522"/>
      <c r="E3" s="1522"/>
      <c r="F3" s="1522"/>
      <c r="G3" s="1522"/>
      <c r="H3" s="1522"/>
      <c r="I3" s="1522"/>
      <c r="J3" s="1522"/>
      <c r="K3" s="1523"/>
      <c r="L3" s="1524"/>
      <c r="M3" s="606"/>
      <c r="N3" s="606"/>
    </row>
    <row r="4" spans="1:14" s="259" customFormat="1" ht="15.75" customHeight="1" x14ac:dyDescent="0.2">
      <c r="A4" s="1580" t="s">
        <v>44</v>
      </c>
      <c r="B4" s="1581" t="s">
        <v>570</v>
      </c>
      <c r="C4" s="607"/>
      <c r="D4" s="607"/>
      <c r="E4" s="607"/>
      <c r="F4" s="607"/>
      <c r="G4" s="607"/>
      <c r="H4" s="607"/>
      <c r="I4" s="608"/>
      <c r="J4" s="607"/>
      <c r="K4" s="609"/>
      <c r="L4" s="607"/>
      <c r="M4" s="610"/>
      <c r="N4" s="610"/>
    </row>
    <row r="5" spans="1:14" x14ac:dyDescent="0.2">
      <c r="A5" s="1478" t="s">
        <v>961</v>
      </c>
      <c r="B5" s="611">
        <v>1100</v>
      </c>
      <c r="C5" s="466">
        <v>0</v>
      </c>
      <c r="D5" s="466">
        <v>0</v>
      </c>
      <c r="E5" s="466">
        <v>0</v>
      </c>
      <c r="F5" s="466">
        <v>0</v>
      </c>
      <c r="G5" s="466">
        <v>0</v>
      </c>
      <c r="H5" s="466">
        <v>0</v>
      </c>
      <c r="I5" s="467">
        <v>0</v>
      </c>
      <c r="J5" s="467">
        <v>0</v>
      </c>
      <c r="K5" s="1645">
        <f>SUM(C5:J5)</f>
        <v>0</v>
      </c>
      <c r="L5" s="471">
        <v>0</v>
      </c>
    </row>
    <row r="6" spans="1:14" x14ac:dyDescent="0.2">
      <c r="A6" s="1478" t="s">
        <v>1433</v>
      </c>
      <c r="B6" s="611" t="s">
        <v>1431</v>
      </c>
      <c r="C6" s="475"/>
      <c r="D6" s="475"/>
      <c r="E6" s="466">
        <v>0</v>
      </c>
      <c r="F6" s="475"/>
      <c r="G6" s="475"/>
      <c r="H6" s="475"/>
      <c r="I6" s="475"/>
      <c r="J6" s="475"/>
      <c r="K6" s="1645">
        <f>SUM(C6,E6)</f>
        <v>0</v>
      </c>
      <c r="L6" s="471">
        <v>0</v>
      </c>
    </row>
    <row r="7" spans="1:14" x14ac:dyDescent="0.2">
      <c r="A7" s="1478" t="s">
        <v>163</v>
      </c>
      <c r="B7" s="611" t="s">
        <v>967</v>
      </c>
      <c r="C7" s="467">
        <v>0</v>
      </c>
      <c r="D7" s="467">
        <v>0</v>
      </c>
      <c r="E7" s="467">
        <v>0</v>
      </c>
      <c r="F7" s="467">
        <v>0</v>
      </c>
      <c r="G7" s="467">
        <v>0</v>
      </c>
      <c r="H7" s="467">
        <v>0</v>
      </c>
      <c r="I7" s="467">
        <v>0</v>
      </c>
      <c r="J7" s="467">
        <v>0</v>
      </c>
      <c r="K7" s="1645">
        <f t="shared" ref="K7:K32" si="0">SUM(C7:J7)</f>
        <v>0</v>
      </c>
      <c r="L7" s="471">
        <v>0</v>
      </c>
    </row>
    <row r="8" spans="1:14" x14ac:dyDescent="0.2">
      <c r="A8" s="1478" t="s">
        <v>164</v>
      </c>
      <c r="B8" s="611">
        <v>1200</v>
      </c>
      <c r="C8" s="466">
        <v>3040385</v>
      </c>
      <c r="D8" s="466">
        <v>511204</v>
      </c>
      <c r="E8" s="466">
        <v>359608</v>
      </c>
      <c r="F8" s="466">
        <v>41206</v>
      </c>
      <c r="G8" s="466">
        <v>277407</v>
      </c>
      <c r="H8" s="466">
        <v>0</v>
      </c>
      <c r="I8" s="467">
        <v>0</v>
      </c>
      <c r="J8" s="467">
        <v>0</v>
      </c>
      <c r="K8" s="1645">
        <f t="shared" si="0"/>
        <v>4229810</v>
      </c>
      <c r="L8" s="471">
        <v>4743835</v>
      </c>
    </row>
    <row r="9" spans="1:14" x14ac:dyDescent="0.2">
      <c r="A9" s="1478" t="s">
        <v>721</v>
      </c>
      <c r="B9" s="611" t="s">
        <v>968</v>
      </c>
      <c r="C9" s="467">
        <v>201909</v>
      </c>
      <c r="D9" s="467">
        <v>27957</v>
      </c>
      <c r="E9" s="467">
        <v>0</v>
      </c>
      <c r="F9" s="467">
        <v>4572</v>
      </c>
      <c r="G9" s="467">
        <v>1158</v>
      </c>
      <c r="H9" s="467">
        <v>0</v>
      </c>
      <c r="I9" s="467">
        <v>0</v>
      </c>
      <c r="J9" s="467">
        <v>0</v>
      </c>
      <c r="K9" s="1645">
        <f t="shared" si="0"/>
        <v>235596</v>
      </c>
      <c r="L9" s="471">
        <v>281741</v>
      </c>
    </row>
    <row r="10" spans="1:14" x14ac:dyDescent="0.2">
      <c r="A10" s="1478" t="s">
        <v>722</v>
      </c>
      <c r="B10" s="611">
        <v>1250</v>
      </c>
      <c r="C10" s="466">
        <v>0</v>
      </c>
      <c r="D10" s="466">
        <v>0</v>
      </c>
      <c r="E10" s="466">
        <v>0</v>
      </c>
      <c r="F10" s="466">
        <v>0</v>
      </c>
      <c r="G10" s="466">
        <v>0</v>
      </c>
      <c r="H10" s="466">
        <v>0</v>
      </c>
      <c r="I10" s="467">
        <v>0</v>
      </c>
      <c r="J10" s="467">
        <v>0</v>
      </c>
      <c r="K10" s="1645">
        <f t="shared" si="0"/>
        <v>0</v>
      </c>
      <c r="L10" s="471">
        <v>0</v>
      </c>
    </row>
    <row r="11" spans="1:14" x14ac:dyDescent="0.2">
      <c r="A11" s="1478" t="s">
        <v>1130</v>
      </c>
      <c r="B11" s="611" t="s">
        <v>161</v>
      </c>
      <c r="C11" s="467">
        <v>0</v>
      </c>
      <c r="D11" s="467">
        <v>0</v>
      </c>
      <c r="E11" s="467">
        <v>0</v>
      </c>
      <c r="F11" s="467">
        <v>0</v>
      </c>
      <c r="G11" s="467">
        <v>0</v>
      </c>
      <c r="H11" s="467">
        <v>0</v>
      </c>
      <c r="I11" s="467">
        <v>0</v>
      </c>
      <c r="J11" s="467">
        <v>0</v>
      </c>
      <c r="K11" s="1645">
        <f t="shared" si="0"/>
        <v>0</v>
      </c>
      <c r="L11" s="471">
        <v>0</v>
      </c>
    </row>
    <row r="12" spans="1:14" x14ac:dyDescent="0.2">
      <c r="A12" s="1478" t="s">
        <v>962</v>
      </c>
      <c r="B12" s="611">
        <v>1300</v>
      </c>
      <c r="C12" s="466">
        <v>0</v>
      </c>
      <c r="D12" s="466">
        <v>0</v>
      </c>
      <c r="E12" s="466">
        <v>0</v>
      </c>
      <c r="F12" s="466">
        <v>0</v>
      </c>
      <c r="G12" s="466">
        <v>0</v>
      </c>
      <c r="H12" s="466">
        <v>0</v>
      </c>
      <c r="I12" s="467">
        <v>0</v>
      </c>
      <c r="J12" s="467">
        <v>0</v>
      </c>
      <c r="K12" s="1645">
        <f t="shared" si="0"/>
        <v>0</v>
      </c>
      <c r="L12" s="471">
        <v>0</v>
      </c>
    </row>
    <row r="13" spans="1:14" x14ac:dyDescent="0.2">
      <c r="A13" s="1478" t="s">
        <v>723</v>
      </c>
      <c r="B13" s="611">
        <v>1400</v>
      </c>
      <c r="C13" s="466">
        <v>0</v>
      </c>
      <c r="D13" s="466">
        <v>0</v>
      </c>
      <c r="E13" s="466">
        <v>0</v>
      </c>
      <c r="F13" s="466">
        <v>0</v>
      </c>
      <c r="G13" s="466">
        <v>0</v>
      </c>
      <c r="H13" s="466">
        <v>0</v>
      </c>
      <c r="I13" s="467">
        <v>0</v>
      </c>
      <c r="J13" s="467">
        <v>0</v>
      </c>
      <c r="K13" s="1645">
        <f t="shared" si="0"/>
        <v>0</v>
      </c>
      <c r="L13" s="471">
        <v>0</v>
      </c>
    </row>
    <row r="14" spans="1:14" x14ac:dyDescent="0.2">
      <c r="A14" s="1478" t="s">
        <v>963</v>
      </c>
      <c r="B14" s="611">
        <v>1500</v>
      </c>
      <c r="C14" s="466">
        <v>0</v>
      </c>
      <c r="D14" s="466">
        <v>0</v>
      </c>
      <c r="E14" s="466">
        <v>0</v>
      </c>
      <c r="F14" s="466">
        <v>0</v>
      </c>
      <c r="G14" s="466">
        <v>0</v>
      </c>
      <c r="H14" s="466">
        <v>0</v>
      </c>
      <c r="I14" s="467">
        <v>0</v>
      </c>
      <c r="J14" s="467">
        <v>0</v>
      </c>
      <c r="K14" s="1645">
        <f t="shared" si="0"/>
        <v>0</v>
      </c>
      <c r="L14" s="471">
        <v>0</v>
      </c>
    </row>
    <row r="15" spans="1:14" x14ac:dyDescent="0.2">
      <c r="A15" s="1478" t="s">
        <v>964</v>
      </c>
      <c r="B15" s="611">
        <v>1600</v>
      </c>
      <c r="C15" s="467">
        <v>104140</v>
      </c>
      <c r="D15" s="466">
        <v>8648</v>
      </c>
      <c r="E15" s="466">
        <v>298</v>
      </c>
      <c r="F15" s="466">
        <v>3360</v>
      </c>
      <c r="G15" s="466">
        <v>0</v>
      </c>
      <c r="H15" s="466">
        <v>0</v>
      </c>
      <c r="I15" s="467">
        <v>0</v>
      </c>
      <c r="J15" s="467">
        <v>0</v>
      </c>
      <c r="K15" s="1645">
        <f t="shared" si="0"/>
        <v>116446</v>
      </c>
      <c r="L15" s="471">
        <v>115660</v>
      </c>
    </row>
    <row r="16" spans="1:14" x14ac:dyDescent="0.2">
      <c r="A16" s="1478" t="s">
        <v>987</v>
      </c>
      <c r="B16" s="611" t="s">
        <v>424</v>
      </c>
      <c r="C16" s="467">
        <v>0</v>
      </c>
      <c r="D16" s="466">
        <v>0</v>
      </c>
      <c r="E16" s="466">
        <v>0</v>
      </c>
      <c r="F16" s="466">
        <v>0</v>
      </c>
      <c r="G16" s="466">
        <v>0</v>
      </c>
      <c r="H16" s="466">
        <v>0</v>
      </c>
      <c r="I16" s="467">
        <v>0</v>
      </c>
      <c r="J16" s="467">
        <v>0</v>
      </c>
      <c r="K16" s="1645">
        <f t="shared" si="0"/>
        <v>0</v>
      </c>
      <c r="L16" s="471">
        <v>0</v>
      </c>
    </row>
    <row r="17" spans="1:12" x14ac:dyDescent="0.2">
      <c r="A17" s="1478" t="s">
        <v>724</v>
      </c>
      <c r="B17" s="611" t="s">
        <v>162</v>
      </c>
      <c r="C17" s="467">
        <v>0</v>
      </c>
      <c r="D17" s="467">
        <v>0</v>
      </c>
      <c r="E17" s="467">
        <v>0</v>
      </c>
      <c r="F17" s="467">
        <v>0</v>
      </c>
      <c r="G17" s="467">
        <v>0</v>
      </c>
      <c r="H17" s="467">
        <v>0</v>
      </c>
      <c r="I17" s="467">
        <v>0</v>
      </c>
      <c r="J17" s="467">
        <v>0</v>
      </c>
      <c r="K17" s="1645">
        <f t="shared" si="0"/>
        <v>0</v>
      </c>
      <c r="L17" s="471">
        <v>0</v>
      </c>
    </row>
    <row r="18" spans="1:12" x14ac:dyDescent="0.2">
      <c r="A18" s="1478" t="s">
        <v>1087</v>
      </c>
      <c r="B18" s="611">
        <v>1800</v>
      </c>
      <c r="C18" s="467">
        <v>0</v>
      </c>
      <c r="D18" s="467">
        <v>0</v>
      </c>
      <c r="E18" s="467">
        <v>0</v>
      </c>
      <c r="F18" s="466">
        <v>0</v>
      </c>
      <c r="G18" s="466">
        <v>0</v>
      </c>
      <c r="H18" s="466">
        <v>0</v>
      </c>
      <c r="I18" s="467">
        <v>0</v>
      </c>
      <c r="J18" s="467">
        <v>0</v>
      </c>
      <c r="K18" s="1645">
        <f t="shared" si="0"/>
        <v>0</v>
      </c>
      <c r="L18" s="471">
        <v>0</v>
      </c>
    </row>
    <row r="19" spans="1:12" x14ac:dyDescent="0.2">
      <c r="A19" s="1478" t="s">
        <v>134</v>
      </c>
      <c r="B19" s="611">
        <v>1900</v>
      </c>
      <c r="C19" s="466">
        <v>0</v>
      </c>
      <c r="D19" s="466">
        <v>0</v>
      </c>
      <c r="E19" s="466">
        <v>0</v>
      </c>
      <c r="F19" s="466">
        <v>0</v>
      </c>
      <c r="G19" s="466">
        <v>0</v>
      </c>
      <c r="H19" s="466">
        <v>0</v>
      </c>
      <c r="I19" s="467">
        <v>0</v>
      </c>
      <c r="J19" s="467">
        <v>0</v>
      </c>
      <c r="K19" s="1645">
        <f t="shared" si="0"/>
        <v>0</v>
      </c>
      <c r="L19" s="471">
        <v>0</v>
      </c>
    </row>
    <row r="20" spans="1:12" x14ac:dyDescent="0.2">
      <c r="A20" s="1479" t="s">
        <v>738</v>
      </c>
      <c r="B20" s="599" t="s">
        <v>725</v>
      </c>
      <c r="C20" s="475"/>
      <c r="D20" s="475"/>
      <c r="E20" s="475"/>
      <c r="F20" s="475"/>
      <c r="G20" s="475"/>
      <c r="H20" s="467">
        <v>0</v>
      </c>
      <c r="I20" s="613"/>
      <c r="J20" s="474"/>
      <c r="K20" s="1645">
        <f t="shared" si="0"/>
        <v>0</v>
      </c>
      <c r="L20" s="471">
        <v>0</v>
      </c>
    </row>
    <row r="21" spans="1:12" x14ac:dyDescent="0.2">
      <c r="A21" s="1479" t="s">
        <v>739</v>
      </c>
      <c r="B21" s="599" t="s">
        <v>726</v>
      </c>
      <c r="C21" s="475"/>
      <c r="D21" s="475"/>
      <c r="E21" s="475"/>
      <c r="F21" s="475"/>
      <c r="G21" s="475"/>
      <c r="H21" s="473">
        <v>0</v>
      </c>
      <c r="I21" s="613"/>
      <c r="J21" s="475"/>
      <c r="K21" s="1645">
        <f t="shared" si="0"/>
        <v>0</v>
      </c>
      <c r="L21" s="471">
        <v>0</v>
      </c>
    </row>
    <row r="22" spans="1:12" x14ac:dyDescent="0.2">
      <c r="A22" s="1479" t="s">
        <v>740</v>
      </c>
      <c r="B22" s="599" t="s">
        <v>727</v>
      </c>
      <c r="C22" s="475"/>
      <c r="D22" s="475"/>
      <c r="E22" s="475"/>
      <c r="F22" s="475"/>
      <c r="G22" s="475"/>
      <c r="H22" s="473">
        <v>0</v>
      </c>
      <c r="I22" s="613"/>
      <c r="J22" s="475"/>
      <c r="K22" s="1645">
        <f t="shared" si="0"/>
        <v>0</v>
      </c>
      <c r="L22" s="471">
        <v>0</v>
      </c>
    </row>
    <row r="23" spans="1:12" x14ac:dyDescent="0.2">
      <c r="A23" s="1479" t="s">
        <v>741</v>
      </c>
      <c r="B23" s="599" t="s">
        <v>728</v>
      </c>
      <c r="C23" s="475"/>
      <c r="D23" s="475"/>
      <c r="E23" s="475"/>
      <c r="F23" s="475"/>
      <c r="G23" s="475"/>
      <c r="H23" s="473">
        <v>0</v>
      </c>
      <c r="I23" s="613"/>
      <c r="J23" s="475"/>
      <c r="K23" s="1645">
        <f t="shared" si="0"/>
        <v>0</v>
      </c>
      <c r="L23" s="471">
        <v>0</v>
      </c>
    </row>
    <row r="24" spans="1:12" ht="12.75" customHeight="1" x14ac:dyDescent="0.2">
      <c r="A24" s="1479" t="s">
        <v>742</v>
      </c>
      <c r="B24" s="599" t="s">
        <v>729</v>
      </c>
      <c r="C24" s="475"/>
      <c r="D24" s="475"/>
      <c r="E24" s="475"/>
      <c r="F24" s="475"/>
      <c r="G24" s="475"/>
      <c r="H24" s="473">
        <v>0</v>
      </c>
      <c r="I24" s="613"/>
      <c r="J24" s="475"/>
      <c r="K24" s="1645">
        <f t="shared" si="0"/>
        <v>0</v>
      </c>
      <c r="L24" s="471">
        <v>0</v>
      </c>
    </row>
    <row r="25" spans="1:12" ht="12.75" customHeight="1" x14ac:dyDescent="0.2">
      <c r="A25" s="1479" t="s">
        <v>802</v>
      </c>
      <c r="B25" s="599" t="s">
        <v>730</v>
      </c>
      <c r="C25" s="475"/>
      <c r="D25" s="475"/>
      <c r="E25" s="475"/>
      <c r="F25" s="475"/>
      <c r="G25" s="475"/>
      <c r="H25" s="473">
        <v>0</v>
      </c>
      <c r="I25" s="613"/>
      <c r="J25" s="475"/>
      <c r="K25" s="1645">
        <f t="shared" si="0"/>
        <v>0</v>
      </c>
      <c r="L25" s="471">
        <v>0</v>
      </c>
    </row>
    <row r="26" spans="1:12" x14ac:dyDescent="0.2">
      <c r="A26" s="1479" t="s">
        <v>622</v>
      </c>
      <c r="B26" s="599" t="s">
        <v>731</v>
      </c>
      <c r="C26" s="475"/>
      <c r="D26" s="475"/>
      <c r="E26" s="475"/>
      <c r="F26" s="475"/>
      <c r="G26" s="475"/>
      <c r="H26" s="473">
        <v>0</v>
      </c>
      <c r="I26" s="613"/>
      <c r="J26" s="475"/>
      <c r="K26" s="1645">
        <f t="shared" si="0"/>
        <v>0</v>
      </c>
      <c r="L26" s="471">
        <v>0</v>
      </c>
    </row>
    <row r="27" spans="1:12" x14ac:dyDescent="0.2">
      <c r="A27" s="1479" t="s">
        <v>623</v>
      </c>
      <c r="B27" s="599" t="s">
        <v>732</v>
      </c>
      <c r="C27" s="475"/>
      <c r="D27" s="475"/>
      <c r="E27" s="475"/>
      <c r="F27" s="475"/>
      <c r="G27" s="475"/>
      <c r="H27" s="473">
        <v>0</v>
      </c>
      <c r="I27" s="613"/>
      <c r="J27" s="475"/>
      <c r="K27" s="1645">
        <f t="shared" si="0"/>
        <v>0</v>
      </c>
      <c r="L27" s="471">
        <v>0</v>
      </c>
    </row>
    <row r="28" spans="1:12" x14ac:dyDescent="0.2">
      <c r="A28" s="1479" t="s">
        <v>150</v>
      </c>
      <c r="B28" s="599" t="s">
        <v>733</v>
      </c>
      <c r="C28" s="475"/>
      <c r="D28" s="475"/>
      <c r="E28" s="475"/>
      <c r="F28" s="475"/>
      <c r="G28" s="475"/>
      <c r="H28" s="473">
        <v>0</v>
      </c>
      <c r="I28" s="613"/>
      <c r="J28" s="475"/>
      <c r="K28" s="1645">
        <f t="shared" si="0"/>
        <v>0</v>
      </c>
      <c r="L28" s="471">
        <v>0</v>
      </c>
    </row>
    <row r="29" spans="1:12" x14ac:dyDescent="0.2">
      <c r="A29" s="1479" t="s">
        <v>151</v>
      </c>
      <c r="B29" s="599" t="s">
        <v>734</v>
      </c>
      <c r="C29" s="475"/>
      <c r="D29" s="475"/>
      <c r="E29" s="475"/>
      <c r="F29" s="475"/>
      <c r="G29" s="475"/>
      <c r="H29" s="473">
        <v>0</v>
      </c>
      <c r="I29" s="613"/>
      <c r="J29" s="475"/>
      <c r="K29" s="1645">
        <f t="shared" si="0"/>
        <v>0</v>
      </c>
      <c r="L29" s="471">
        <v>0</v>
      </c>
    </row>
    <row r="30" spans="1:12" x14ac:dyDescent="0.2">
      <c r="A30" s="1479" t="s">
        <v>152</v>
      </c>
      <c r="B30" s="599" t="s">
        <v>735</v>
      </c>
      <c r="C30" s="475"/>
      <c r="D30" s="475"/>
      <c r="E30" s="475"/>
      <c r="F30" s="475"/>
      <c r="G30" s="475"/>
      <c r="H30" s="473">
        <v>0</v>
      </c>
      <c r="I30" s="613"/>
      <c r="J30" s="475"/>
      <c r="K30" s="1645">
        <f t="shared" si="0"/>
        <v>0</v>
      </c>
      <c r="L30" s="471">
        <v>0</v>
      </c>
    </row>
    <row r="31" spans="1:12" x14ac:dyDescent="0.2">
      <c r="A31" s="1479" t="s">
        <v>153</v>
      </c>
      <c r="B31" s="599" t="s">
        <v>736</v>
      </c>
      <c r="C31" s="475"/>
      <c r="D31" s="475"/>
      <c r="E31" s="475"/>
      <c r="F31" s="475"/>
      <c r="G31" s="475"/>
      <c r="H31" s="473">
        <v>0</v>
      </c>
      <c r="I31" s="613"/>
      <c r="J31" s="475"/>
      <c r="K31" s="1645">
        <f t="shared" si="0"/>
        <v>0</v>
      </c>
      <c r="L31" s="471">
        <v>0</v>
      </c>
    </row>
    <row r="32" spans="1:12" x14ac:dyDescent="0.2">
      <c r="A32" s="1480" t="s">
        <v>1129</v>
      </c>
      <c r="B32" s="611" t="s">
        <v>737</v>
      </c>
      <c r="C32" s="475"/>
      <c r="D32" s="475"/>
      <c r="E32" s="475"/>
      <c r="F32" s="475"/>
      <c r="G32" s="475"/>
      <c r="H32" s="473">
        <v>0</v>
      </c>
      <c r="I32" s="613"/>
      <c r="J32" s="478"/>
      <c r="K32" s="1645">
        <f t="shared" si="0"/>
        <v>0</v>
      </c>
      <c r="L32" s="471">
        <v>0</v>
      </c>
    </row>
    <row r="33" spans="1:14" ht="12.75" customHeight="1" thickBot="1" x14ac:dyDescent="0.25">
      <c r="A33" s="1642" t="s">
        <v>1667</v>
      </c>
      <c r="B33" s="1643" t="s">
        <v>570</v>
      </c>
      <c r="C33" s="1644">
        <f>SUM(C5:C32)</f>
        <v>3346434</v>
      </c>
      <c r="D33" s="1644">
        <f t="shared" ref="D33:L33" si="1">SUM(D5:D32)</f>
        <v>547809</v>
      </c>
      <c r="E33" s="1644">
        <f t="shared" si="1"/>
        <v>359906</v>
      </c>
      <c r="F33" s="1644">
        <f t="shared" si="1"/>
        <v>49138</v>
      </c>
      <c r="G33" s="1644">
        <f t="shared" si="1"/>
        <v>278565</v>
      </c>
      <c r="H33" s="1644">
        <f t="shared" si="1"/>
        <v>0</v>
      </c>
      <c r="I33" s="1644">
        <f t="shared" si="1"/>
        <v>0</v>
      </c>
      <c r="J33" s="1644">
        <f t="shared" si="1"/>
        <v>0</v>
      </c>
      <c r="K33" s="1644">
        <f t="shared" si="1"/>
        <v>4581852</v>
      </c>
      <c r="L33" s="1644">
        <f t="shared" si="1"/>
        <v>5141236</v>
      </c>
    </row>
    <row r="34" spans="1:14" s="617" customFormat="1" ht="15.75" customHeight="1" thickTop="1" x14ac:dyDescent="0.2">
      <c r="A34" s="1582" t="s">
        <v>46</v>
      </c>
      <c r="B34" s="1583"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78" t="s">
        <v>1089</v>
      </c>
      <c r="B36" s="611">
        <v>2110</v>
      </c>
      <c r="C36" s="479">
        <v>610104</v>
      </c>
      <c r="D36" s="479">
        <v>43559</v>
      </c>
      <c r="E36" s="479">
        <v>38530</v>
      </c>
      <c r="F36" s="479">
        <v>6826</v>
      </c>
      <c r="G36" s="479">
        <v>0</v>
      </c>
      <c r="H36" s="479">
        <v>0</v>
      </c>
      <c r="I36" s="467">
        <v>0</v>
      </c>
      <c r="J36" s="467">
        <v>0</v>
      </c>
      <c r="K36" s="1645">
        <f t="shared" ref="K36:K41" si="2">SUM(C36:J36)</f>
        <v>699019</v>
      </c>
      <c r="L36" s="466">
        <v>695156</v>
      </c>
    </row>
    <row r="37" spans="1:14" x14ac:dyDescent="0.2">
      <c r="A37" s="1478" t="s">
        <v>1090</v>
      </c>
      <c r="B37" s="611">
        <v>2120</v>
      </c>
      <c r="C37" s="466">
        <v>118048</v>
      </c>
      <c r="D37" s="466">
        <v>20204</v>
      </c>
      <c r="E37" s="466">
        <v>3093</v>
      </c>
      <c r="F37" s="466">
        <v>3974</v>
      </c>
      <c r="G37" s="466">
        <v>0</v>
      </c>
      <c r="H37" s="466">
        <v>0</v>
      </c>
      <c r="I37" s="467">
        <v>0</v>
      </c>
      <c r="J37" s="467">
        <v>0</v>
      </c>
      <c r="K37" s="1645">
        <f t="shared" si="2"/>
        <v>145319</v>
      </c>
      <c r="L37" s="466">
        <v>177275</v>
      </c>
    </row>
    <row r="38" spans="1:14" x14ac:dyDescent="0.2">
      <c r="A38" s="1478" t="s">
        <v>198</v>
      </c>
      <c r="B38" s="611">
        <v>2130</v>
      </c>
      <c r="C38" s="466">
        <v>876980</v>
      </c>
      <c r="D38" s="466">
        <v>194309</v>
      </c>
      <c r="E38" s="466">
        <v>9712</v>
      </c>
      <c r="F38" s="466">
        <v>5217</v>
      </c>
      <c r="G38" s="466">
        <v>6885</v>
      </c>
      <c r="H38" s="466">
        <v>0</v>
      </c>
      <c r="I38" s="467">
        <v>0</v>
      </c>
      <c r="J38" s="467">
        <v>0</v>
      </c>
      <c r="K38" s="1645">
        <f t="shared" si="2"/>
        <v>1093103</v>
      </c>
      <c r="L38" s="466">
        <v>1100080</v>
      </c>
    </row>
    <row r="39" spans="1:14" x14ac:dyDescent="0.2">
      <c r="A39" s="1478" t="s">
        <v>199</v>
      </c>
      <c r="B39" s="611">
        <v>2140</v>
      </c>
      <c r="C39" s="466">
        <v>622678</v>
      </c>
      <c r="D39" s="466">
        <v>64390</v>
      </c>
      <c r="E39" s="466">
        <v>5223</v>
      </c>
      <c r="F39" s="466">
        <v>4512</v>
      </c>
      <c r="G39" s="466">
        <v>0</v>
      </c>
      <c r="H39" s="466">
        <v>0</v>
      </c>
      <c r="I39" s="467">
        <v>0</v>
      </c>
      <c r="J39" s="467">
        <v>0</v>
      </c>
      <c r="K39" s="1645">
        <f t="shared" si="2"/>
        <v>696803</v>
      </c>
      <c r="L39" s="466">
        <v>701181</v>
      </c>
    </row>
    <row r="40" spans="1:14" x14ac:dyDescent="0.2">
      <c r="A40" s="1478" t="s">
        <v>200</v>
      </c>
      <c r="B40" s="611">
        <v>2150</v>
      </c>
      <c r="C40" s="466">
        <v>498348</v>
      </c>
      <c r="D40" s="466">
        <v>62873</v>
      </c>
      <c r="E40" s="466">
        <v>6899</v>
      </c>
      <c r="F40" s="466">
        <v>14181</v>
      </c>
      <c r="G40" s="466">
        <v>10323</v>
      </c>
      <c r="H40" s="466">
        <v>0</v>
      </c>
      <c r="I40" s="467">
        <v>0</v>
      </c>
      <c r="J40" s="467">
        <v>0</v>
      </c>
      <c r="K40" s="1645">
        <f t="shared" si="2"/>
        <v>592624</v>
      </c>
      <c r="L40" s="466">
        <v>558387</v>
      </c>
    </row>
    <row r="41" spans="1:14" x14ac:dyDescent="0.2">
      <c r="A41" s="1478" t="s">
        <v>1668</v>
      </c>
      <c r="B41" s="611">
        <v>2190</v>
      </c>
      <c r="C41" s="466">
        <v>229370</v>
      </c>
      <c r="D41" s="466">
        <v>48272</v>
      </c>
      <c r="E41" s="466">
        <v>45368</v>
      </c>
      <c r="F41" s="466">
        <v>11130</v>
      </c>
      <c r="G41" s="466">
        <v>0</v>
      </c>
      <c r="H41" s="466">
        <v>165</v>
      </c>
      <c r="I41" s="467">
        <v>0</v>
      </c>
      <c r="J41" s="467">
        <v>0</v>
      </c>
      <c r="K41" s="1645">
        <f t="shared" si="2"/>
        <v>334305</v>
      </c>
      <c r="L41" s="466">
        <v>381417</v>
      </c>
    </row>
    <row r="42" spans="1:14" ht="12.75" customHeight="1" thickBot="1" x14ac:dyDescent="0.25">
      <c r="A42" s="1642" t="s">
        <v>560</v>
      </c>
      <c r="B42" s="1643" t="s">
        <v>716</v>
      </c>
      <c r="C42" s="1644">
        <f>SUM(C36:C41)</f>
        <v>2955528</v>
      </c>
      <c r="D42" s="1644">
        <f t="shared" ref="D42:L42" si="3">SUM(D36:D41)</f>
        <v>433607</v>
      </c>
      <c r="E42" s="1644">
        <f t="shared" si="3"/>
        <v>108825</v>
      </c>
      <c r="F42" s="1644">
        <f t="shared" si="3"/>
        <v>45840</v>
      </c>
      <c r="G42" s="1644">
        <f t="shared" si="3"/>
        <v>17208</v>
      </c>
      <c r="H42" s="1644">
        <f t="shared" si="3"/>
        <v>165</v>
      </c>
      <c r="I42" s="1644">
        <f t="shared" si="3"/>
        <v>0</v>
      </c>
      <c r="J42" s="1644">
        <f t="shared" si="3"/>
        <v>0</v>
      </c>
      <c r="K42" s="1644">
        <f t="shared" si="3"/>
        <v>3561173</v>
      </c>
      <c r="L42" s="1644">
        <f t="shared" si="3"/>
        <v>3613496</v>
      </c>
    </row>
    <row r="43" spans="1:14" ht="15.75" customHeight="1" thickTop="1" x14ac:dyDescent="0.2">
      <c r="A43" s="621" t="s">
        <v>592</v>
      </c>
      <c r="B43" s="622"/>
      <c r="C43" s="623"/>
      <c r="D43" s="623"/>
      <c r="E43" s="623"/>
      <c r="F43" s="623"/>
      <c r="G43" s="623"/>
      <c r="H43" s="623"/>
      <c r="I43" s="613"/>
      <c r="J43" s="613"/>
      <c r="K43" s="623"/>
      <c r="L43" s="623"/>
    </row>
    <row r="44" spans="1:14" x14ac:dyDescent="0.2">
      <c r="A44" s="1478" t="s">
        <v>814</v>
      </c>
      <c r="B44" s="611">
        <v>2210</v>
      </c>
      <c r="C44" s="479">
        <v>294229</v>
      </c>
      <c r="D44" s="479">
        <v>26354</v>
      </c>
      <c r="E44" s="479">
        <v>106739</v>
      </c>
      <c r="F44" s="479">
        <v>19946</v>
      </c>
      <c r="G44" s="479">
        <v>3394</v>
      </c>
      <c r="H44" s="479">
        <v>3562</v>
      </c>
      <c r="I44" s="467">
        <v>0</v>
      </c>
      <c r="J44" s="467">
        <v>0</v>
      </c>
      <c r="K44" s="1646">
        <f>SUM(C44:J44)</f>
        <v>454224</v>
      </c>
      <c r="L44" s="479">
        <v>654538</v>
      </c>
    </row>
    <row r="45" spans="1:14" x14ac:dyDescent="0.2">
      <c r="A45" s="1478" t="s">
        <v>815</v>
      </c>
      <c r="B45" s="611">
        <v>2220</v>
      </c>
      <c r="C45" s="466">
        <v>0</v>
      </c>
      <c r="D45" s="466">
        <v>0</v>
      </c>
      <c r="E45" s="466">
        <v>0</v>
      </c>
      <c r="F45" s="466">
        <v>0</v>
      </c>
      <c r="G45" s="466">
        <v>0</v>
      </c>
      <c r="H45" s="466">
        <v>0</v>
      </c>
      <c r="I45" s="467">
        <v>0</v>
      </c>
      <c r="J45" s="467">
        <v>0</v>
      </c>
      <c r="K45" s="1646">
        <f>SUM(C45:J45)</f>
        <v>0</v>
      </c>
      <c r="L45" s="466">
        <v>0</v>
      </c>
    </row>
    <row r="46" spans="1:14" x14ac:dyDescent="0.2">
      <c r="A46" s="1478" t="s">
        <v>816</v>
      </c>
      <c r="B46" s="611">
        <v>2230</v>
      </c>
      <c r="C46" s="466">
        <v>0</v>
      </c>
      <c r="D46" s="466">
        <v>0</v>
      </c>
      <c r="E46" s="466">
        <v>0</v>
      </c>
      <c r="F46" s="466">
        <v>0</v>
      </c>
      <c r="G46" s="466">
        <v>0</v>
      </c>
      <c r="H46" s="466">
        <v>0</v>
      </c>
      <c r="I46" s="467">
        <v>0</v>
      </c>
      <c r="J46" s="467">
        <v>0</v>
      </c>
      <c r="K46" s="1646">
        <f>SUM(C46:J46)</f>
        <v>0</v>
      </c>
      <c r="L46" s="466">
        <v>0</v>
      </c>
    </row>
    <row r="47" spans="1:14" ht="12.75" customHeight="1" thickBot="1" x14ac:dyDescent="0.25">
      <c r="A47" s="1642" t="s">
        <v>561</v>
      </c>
      <c r="B47" s="1643" t="s">
        <v>32</v>
      </c>
      <c r="C47" s="1644">
        <f>SUM(C44:C46)</f>
        <v>294229</v>
      </c>
      <c r="D47" s="1644">
        <f t="shared" ref="D47:K47" si="4">SUM(D44:D46)</f>
        <v>26354</v>
      </c>
      <c r="E47" s="1644">
        <f t="shared" si="4"/>
        <v>106739</v>
      </c>
      <c r="F47" s="1644">
        <f t="shared" si="4"/>
        <v>19946</v>
      </c>
      <c r="G47" s="1644">
        <f t="shared" si="4"/>
        <v>3394</v>
      </c>
      <c r="H47" s="1644">
        <f t="shared" si="4"/>
        <v>3562</v>
      </c>
      <c r="I47" s="1644">
        <f t="shared" si="4"/>
        <v>0</v>
      </c>
      <c r="J47" s="1644">
        <f t="shared" si="4"/>
        <v>0</v>
      </c>
      <c r="K47" s="1644">
        <f t="shared" si="4"/>
        <v>454224</v>
      </c>
      <c r="L47" s="1644">
        <f>SUM(L44:L46)</f>
        <v>654538</v>
      </c>
    </row>
    <row r="48" spans="1:14" ht="15.75" customHeight="1" thickTop="1" x14ac:dyDescent="0.2">
      <c r="A48" s="621" t="s">
        <v>610</v>
      </c>
      <c r="B48" s="622"/>
      <c r="C48" s="623"/>
      <c r="D48" s="623"/>
      <c r="E48" s="623"/>
      <c r="F48" s="623"/>
      <c r="G48" s="623"/>
      <c r="H48" s="623"/>
      <c r="I48" s="613"/>
      <c r="J48" s="613"/>
      <c r="K48" s="623"/>
      <c r="L48" s="623"/>
    </row>
    <row r="49" spans="1:14" x14ac:dyDescent="0.2">
      <c r="A49" s="1478" t="s">
        <v>817</v>
      </c>
      <c r="B49" s="611">
        <v>2310</v>
      </c>
      <c r="C49" s="479">
        <v>0</v>
      </c>
      <c r="D49" s="479">
        <v>0</v>
      </c>
      <c r="E49" s="479">
        <v>3790</v>
      </c>
      <c r="F49" s="479">
        <v>0</v>
      </c>
      <c r="G49" s="479">
        <v>0</v>
      </c>
      <c r="H49" s="479">
        <v>0</v>
      </c>
      <c r="I49" s="467">
        <v>0</v>
      </c>
      <c r="J49" s="467">
        <v>0</v>
      </c>
      <c r="K49" s="1646">
        <f>SUM(C49:J49)</f>
        <v>3790</v>
      </c>
      <c r="L49" s="479">
        <v>0</v>
      </c>
    </row>
    <row r="50" spans="1:14" x14ac:dyDescent="0.2">
      <c r="A50" s="1478" t="s">
        <v>818</v>
      </c>
      <c r="B50" s="611">
        <v>2320</v>
      </c>
      <c r="C50" s="467">
        <v>253812</v>
      </c>
      <c r="D50" s="466">
        <v>73335</v>
      </c>
      <c r="E50" s="466">
        <v>101081</v>
      </c>
      <c r="F50" s="466">
        <v>0</v>
      </c>
      <c r="G50" s="466">
        <v>0</v>
      </c>
      <c r="H50" s="466">
        <v>260</v>
      </c>
      <c r="I50" s="467">
        <v>0</v>
      </c>
      <c r="J50" s="467">
        <v>0</v>
      </c>
      <c r="K50" s="1646">
        <f>SUM(C50:J50)</f>
        <v>428488</v>
      </c>
      <c r="L50" s="466">
        <v>403228</v>
      </c>
    </row>
    <row r="51" spans="1:14" x14ac:dyDescent="0.2">
      <c r="A51" s="1478" t="s">
        <v>42</v>
      </c>
      <c r="B51" s="611">
        <v>2330</v>
      </c>
      <c r="C51" s="466">
        <v>0</v>
      </c>
      <c r="D51" s="466">
        <v>0</v>
      </c>
      <c r="E51" s="466">
        <v>0</v>
      </c>
      <c r="F51" s="466">
        <v>0</v>
      </c>
      <c r="G51" s="466">
        <v>0</v>
      </c>
      <c r="H51" s="466">
        <v>0</v>
      </c>
      <c r="I51" s="467">
        <v>0</v>
      </c>
      <c r="J51" s="467">
        <v>0</v>
      </c>
      <c r="K51" s="1646">
        <f>SUM(C51:J51)</f>
        <v>0</v>
      </c>
      <c r="L51" s="466">
        <v>0</v>
      </c>
    </row>
    <row r="52" spans="1:14" ht="22.5" x14ac:dyDescent="0.2">
      <c r="A52" s="1479" t="s">
        <v>298</v>
      </c>
      <c r="B52" s="624" t="s">
        <v>366</v>
      </c>
      <c r="C52" s="473">
        <v>0</v>
      </c>
      <c r="D52" s="473">
        <v>10613</v>
      </c>
      <c r="E52" s="473">
        <v>0</v>
      </c>
      <c r="F52" s="473">
        <v>0</v>
      </c>
      <c r="G52" s="473">
        <v>0</v>
      </c>
      <c r="H52" s="473">
        <v>0</v>
      </c>
      <c r="I52" s="473">
        <v>0</v>
      </c>
      <c r="J52" s="473">
        <v>0</v>
      </c>
      <c r="K52" s="1646">
        <f>SUM(C52:J52)</f>
        <v>10613</v>
      </c>
      <c r="L52" s="473">
        <v>0</v>
      </c>
    </row>
    <row r="53" spans="1:14" ht="12.75" customHeight="1" thickBot="1" x14ac:dyDescent="0.25">
      <c r="A53" s="1642" t="s">
        <v>717</v>
      </c>
      <c r="B53" s="1643" t="s">
        <v>33</v>
      </c>
      <c r="C53" s="1644">
        <f>SUM(C49:C52)</f>
        <v>253812</v>
      </c>
      <c r="D53" s="1644">
        <f t="shared" ref="D53:L53" si="5">SUM(D49:D52)</f>
        <v>83948</v>
      </c>
      <c r="E53" s="1644">
        <f t="shared" si="5"/>
        <v>104871</v>
      </c>
      <c r="F53" s="1644">
        <f t="shared" si="5"/>
        <v>0</v>
      </c>
      <c r="G53" s="1644">
        <f t="shared" si="5"/>
        <v>0</v>
      </c>
      <c r="H53" s="1644">
        <f t="shared" si="5"/>
        <v>260</v>
      </c>
      <c r="I53" s="1644">
        <f t="shared" si="5"/>
        <v>0</v>
      </c>
      <c r="J53" s="1644">
        <f t="shared" si="5"/>
        <v>0</v>
      </c>
      <c r="K53" s="1644">
        <f t="shared" si="5"/>
        <v>442891</v>
      </c>
      <c r="L53" s="1644">
        <f t="shared" si="5"/>
        <v>403228</v>
      </c>
    </row>
    <row r="54" spans="1:14" ht="15.75" customHeight="1" thickTop="1" x14ac:dyDescent="0.2">
      <c r="A54" s="621" t="s">
        <v>611</v>
      </c>
      <c r="B54" s="622"/>
      <c r="C54" s="623"/>
      <c r="D54" s="623"/>
      <c r="E54" s="623"/>
      <c r="F54" s="623"/>
      <c r="G54" s="623"/>
      <c r="H54" s="623"/>
      <c r="I54" s="613"/>
      <c r="J54" s="613"/>
      <c r="K54" s="623"/>
      <c r="L54" s="623"/>
    </row>
    <row r="55" spans="1:14" x14ac:dyDescent="0.2">
      <c r="A55" s="1478" t="s">
        <v>1067</v>
      </c>
      <c r="B55" s="611">
        <v>2410</v>
      </c>
      <c r="C55" s="479">
        <v>344484</v>
      </c>
      <c r="D55" s="479">
        <v>52727</v>
      </c>
      <c r="E55" s="479">
        <v>3427</v>
      </c>
      <c r="F55" s="479">
        <v>5711</v>
      </c>
      <c r="G55" s="479">
        <v>0</v>
      </c>
      <c r="H55" s="479">
        <v>9755</v>
      </c>
      <c r="I55" s="467">
        <v>0</v>
      </c>
      <c r="J55" s="467">
        <v>0</v>
      </c>
      <c r="K55" s="1646">
        <f>SUM(C55:J55)</f>
        <v>416104</v>
      </c>
      <c r="L55" s="479">
        <v>434726</v>
      </c>
    </row>
    <row r="56" spans="1:14" ht="12.75" customHeight="1" x14ac:dyDescent="0.2">
      <c r="A56" s="1482" t="s">
        <v>376</v>
      </c>
      <c r="B56" s="625">
        <v>2490</v>
      </c>
      <c r="C56" s="466">
        <v>0</v>
      </c>
      <c r="D56" s="466">
        <v>0</v>
      </c>
      <c r="E56" s="466">
        <v>0</v>
      </c>
      <c r="F56" s="466">
        <v>0</v>
      </c>
      <c r="G56" s="466">
        <v>0</v>
      </c>
      <c r="H56" s="466">
        <v>0</v>
      </c>
      <c r="I56" s="467">
        <v>0</v>
      </c>
      <c r="J56" s="467">
        <v>0</v>
      </c>
      <c r="K56" s="1646">
        <f>SUM(C56:J56)</f>
        <v>0</v>
      </c>
      <c r="L56" s="466">
        <v>0</v>
      </c>
    </row>
    <row r="57" spans="1:14" s="343" customFormat="1" ht="12.75" customHeight="1" thickBot="1" x14ac:dyDescent="0.25">
      <c r="A57" s="1642" t="s">
        <v>263</v>
      </c>
      <c r="B57" s="1647" t="s">
        <v>34</v>
      </c>
      <c r="C57" s="1648">
        <f>SUM(C55:C56)</f>
        <v>344484</v>
      </c>
      <c r="D57" s="1648">
        <f t="shared" ref="D57:K57" si="6">SUM(D55:D56)</f>
        <v>52727</v>
      </c>
      <c r="E57" s="1648">
        <f t="shared" si="6"/>
        <v>3427</v>
      </c>
      <c r="F57" s="1648">
        <f t="shared" si="6"/>
        <v>5711</v>
      </c>
      <c r="G57" s="1648">
        <f t="shared" si="6"/>
        <v>0</v>
      </c>
      <c r="H57" s="1648">
        <f t="shared" si="6"/>
        <v>9755</v>
      </c>
      <c r="I57" s="1648">
        <f t="shared" si="6"/>
        <v>0</v>
      </c>
      <c r="J57" s="1648">
        <f t="shared" si="6"/>
        <v>0</v>
      </c>
      <c r="K57" s="1648">
        <f t="shared" si="6"/>
        <v>416104</v>
      </c>
      <c r="L57" s="1644">
        <f>SUM(L55:L56)</f>
        <v>434726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78" t="s">
        <v>1068</v>
      </c>
      <c r="B59" s="611">
        <v>2510</v>
      </c>
      <c r="C59" s="479">
        <v>98800</v>
      </c>
      <c r="D59" s="479">
        <v>18584</v>
      </c>
      <c r="E59" s="479">
        <v>0</v>
      </c>
      <c r="F59" s="479">
        <v>936</v>
      </c>
      <c r="G59" s="479">
        <v>0</v>
      </c>
      <c r="H59" s="479">
        <v>0</v>
      </c>
      <c r="I59" s="467">
        <v>0</v>
      </c>
      <c r="J59" s="467">
        <v>0</v>
      </c>
      <c r="K59" s="1646">
        <f t="shared" ref="K59:K64" si="7">SUM(C59:J59)</f>
        <v>118320</v>
      </c>
      <c r="L59" s="479">
        <v>119073</v>
      </c>
      <c r="M59" s="606"/>
      <c r="N59" s="606"/>
    </row>
    <row r="60" spans="1:14" s="343" customFormat="1" x14ac:dyDescent="0.2">
      <c r="A60" s="1478" t="s">
        <v>463</v>
      </c>
      <c r="B60" s="611">
        <v>2520</v>
      </c>
      <c r="C60" s="466">
        <v>69861</v>
      </c>
      <c r="D60" s="466">
        <v>19171</v>
      </c>
      <c r="E60" s="466">
        <v>37114</v>
      </c>
      <c r="F60" s="466">
        <v>6835</v>
      </c>
      <c r="G60" s="466">
        <v>899</v>
      </c>
      <c r="H60" s="466">
        <v>0</v>
      </c>
      <c r="I60" s="467">
        <v>0</v>
      </c>
      <c r="J60" s="467">
        <v>0</v>
      </c>
      <c r="K60" s="1646">
        <f t="shared" si="7"/>
        <v>133880</v>
      </c>
      <c r="L60" s="466">
        <v>126194</v>
      </c>
      <c r="M60" s="606"/>
      <c r="N60" s="606"/>
    </row>
    <row r="61" spans="1:14" s="343" customFormat="1" x14ac:dyDescent="0.2">
      <c r="A61" s="1478" t="s">
        <v>197</v>
      </c>
      <c r="B61" s="611">
        <v>2540</v>
      </c>
      <c r="C61" s="466">
        <v>134549</v>
      </c>
      <c r="D61" s="466">
        <v>36867</v>
      </c>
      <c r="E61" s="466">
        <v>133074</v>
      </c>
      <c r="F61" s="466">
        <v>79274</v>
      </c>
      <c r="G61" s="466">
        <v>28351</v>
      </c>
      <c r="H61" s="466">
        <v>0</v>
      </c>
      <c r="I61" s="467">
        <v>0</v>
      </c>
      <c r="J61" s="467">
        <v>0</v>
      </c>
      <c r="K61" s="1646">
        <f t="shared" si="7"/>
        <v>412115</v>
      </c>
      <c r="L61" s="466">
        <v>390136</v>
      </c>
      <c r="M61" s="606"/>
      <c r="N61" s="606"/>
    </row>
    <row r="62" spans="1:14" s="343" customFormat="1" x14ac:dyDescent="0.2">
      <c r="A62" s="1478" t="s">
        <v>953</v>
      </c>
      <c r="B62" s="611">
        <v>2550</v>
      </c>
      <c r="C62" s="466">
        <v>0</v>
      </c>
      <c r="D62" s="466">
        <v>0</v>
      </c>
      <c r="E62" s="466">
        <v>0</v>
      </c>
      <c r="F62" s="466">
        <v>0</v>
      </c>
      <c r="G62" s="466">
        <v>0</v>
      </c>
      <c r="H62" s="466">
        <v>0</v>
      </c>
      <c r="I62" s="467">
        <v>0</v>
      </c>
      <c r="J62" s="467">
        <v>0</v>
      </c>
      <c r="K62" s="1646">
        <f t="shared" si="7"/>
        <v>0</v>
      </c>
      <c r="L62" s="466">
        <v>0</v>
      </c>
      <c r="M62" s="606"/>
      <c r="N62" s="606"/>
    </row>
    <row r="63" spans="1:14" s="606" customFormat="1" x14ac:dyDescent="0.2">
      <c r="A63" s="1478" t="s">
        <v>100</v>
      </c>
      <c r="B63" s="611">
        <v>2560</v>
      </c>
      <c r="C63" s="466">
        <v>54275</v>
      </c>
      <c r="D63" s="466">
        <v>9968</v>
      </c>
      <c r="E63" s="466">
        <v>39084</v>
      </c>
      <c r="F63" s="466">
        <v>79349</v>
      </c>
      <c r="G63" s="466">
        <v>47543</v>
      </c>
      <c r="H63" s="466">
        <v>0</v>
      </c>
      <c r="I63" s="467">
        <v>0</v>
      </c>
      <c r="J63" s="467">
        <v>0</v>
      </c>
      <c r="K63" s="1646">
        <f t="shared" si="7"/>
        <v>230219</v>
      </c>
      <c r="L63" s="466">
        <v>254638</v>
      </c>
    </row>
    <row r="64" spans="1:14" s="606" customFormat="1" x14ac:dyDescent="0.2">
      <c r="A64" s="1483" t="s">
        <v>101</v>
      </c>
      <c r="B64" s="627">
        <v>2570</v>
      </c>
      <c r="C64" s="467">
        <v>0</v>
      </c>
      <c r="D64" s="479">
        <v>0</v>
      </c>
      <c r="E64" s="479">
        <v>29865</v>
      </c>
      <c r="F64" s="479">
        <v>1460</v>
      </c>
      <c r="G64" s="479">
        <v>0</v>
      </c>
      <c r="H64" s="479">
        <v>0</v>
      </c>
      <c r="I64" s="467">
        <v>0</v>
      </c>
      <c r="J64" s="467">
        <v>0</v>
      </c>
      <c r="K64" s="1646">
        <f t="shared" si="7"/>
        <v>31325</v>
      </c>
      <c r="L64" s="479">
        <v>35000</v>
      </c>
    </row>
    <row r="65" spans="1:14" s="343" customFormat="1" ht="12.75" customHeight="1" thickBot="1" x14ac:dyDescent="0.25">
      <c r="A65" s="1642" t="s">
        <v>719</v>
      </c>
      <c r="B65" s="1643" t="s">
        <v>35</v>
      </c>
      <c r="C65" s="1644">
        <f>SUM(C59:C64)</f>
        <v>357485</v>
      </c>
      <c r="D65" s="1644">
        <f t="shared" ref="D65:L65" si="8">SUM(D59:D64)</f>
        <v>84590</v>
      </c>
      <c r="E65" s="1644">
        <f t="shared" si="8"/>
        <v>239137</v>
      </c>
      <c r="F65" s="1644">
        <f t="shared" si="8"/>
        <v>167854</v>
      </c>
      <c r="G65" s="1644">
        <f t="shared" si="8"/>
        <v>76793</v>
      </c>
      <c r="H65" s="1644">
        <f t="shared" si="8"/>
        <v>0</v>
      </c>
      <c r="I65" s="1644">
        <f t="shared" si="8"/>
        <v>0</v>
      </c>
      <c r="J65" s="1644">
        <f t="shared" si="8"/>
        <v>0</v>
      </c>
      <c r="K65" s="1644">
        <f t="shared" si="8"/>
        <v>925859</v>
      </c>
      <c r="L65" s="1644">
        <f t="shared" si="8"/>
        <v>925041</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78" t="s">
        <v>1060</v>
      </c>
      <c r="B67" s="611">
        <v>2610</v>
      </c>
      <c r="C67" s="466">
        <v>0</v>
      </c>
      <c r="D67" s="466">
        <v>0</v>
      </c>
      <c r="E67" s="466">
        <v>0</v>
      </c>
      <c r="F67" s="466">
        <v>0</v>
      </c>
      <c r="G67" s="466">
        <v>0</v>
      </c>
      <c r="H67" s="466">
        <v>0</v>
      </c>
      <c r="I67" s="467">
        <v>0</v>
      </c>
      <c r="J67" s="467">
        <v>0</v>
      </c>
      <c r="K67" s="1646">
        <f>SUM(C67:J67)</f>
        <v>0</v>
      </c>
      <c r="L67" s="479">
        <v>0</v>
      </c>
      <c r="M67" s="606"/>
      <c r="N67" s="606"/>
    </row>
    <row r="68" spans="1:14" s="343" customFormat="1" x14ac:dyDescent="0.2">
      <c r="A68" s="1478" t="s">
        <v>607</v>
      </c>
      <c r="B68" s="611">
        <v>2620</v>
      </c>
      <c r="C68" s="466">
        <v>0</v>
      </c>
      <c r="D68" s="466">
        <v>0</v>
      </c>
      <c r="E68" s="466">
        <v>0</v>
      </c>
      <c r="F68" s="466">
        <v>0</v>
      </c>
      <c r="G68" s="466">
        <v>0</v>
      </c>
      <c r="H68" s="466">
        <v>0</v>
      </c>
      <c r="I68" s="467">
        <v>0</v>
      </c>
      <c r="J68" s="467">
        <v>0</v>
      </c>
      <c r="K68" s="1646">
        <f>SUM(C68:J68)</f>
        <v>0</v>
      </c>
      <c r="L68" s="466">
        <v>0</v>
      </c>
      <c r="M68" s="606"/>
      <c r="N68" s="606"/>
    </row>
    <row r="69" spans="1:14" s="343" customFormat="1" x14ac:dyDescent="0.2">
      <c r="A69" s="1478" t="s">
        <v>1061</v>
      </c>
      <c r="B69" s="611">
        <v>2630</v>
      </c>
      <c r="C69" s="466">
        <v>0</v>
      </c>
      <c r="D69" s="466">
        <v>0</v>
      </c>
      <c r="E69" s="466">
        <v>0</v>
      </c>
      <c r="F69" s="466">
        <v>0</v>
      </c>
      <c r="G69" s="466">
        <v>0</v>
      </c>
      <c r="H69" s="466">
        <v>0</v>
      </c>
      <c r="I69" s="467">
        <v>0</v>
      </c>
      <c r="J69" s="467">
        <v>0</v>
      </c>
      <c r="K69" s="1646">
        <f>SUM(C69:J69)</f>
        <v>0</v>
      </c>
      <c r="L69" s="466">
        <v>0</v>
      </c>
      <c r="M69" s="606"/>
      <c r="N69" s="606"/>
    </row>
    <row r="70" spans="1:14" s="343" customFormat="1" x14ac:dyDescent="0.2">
      <c r="A70" s="1478" t="s">
        <v>403</v>
      </c>
      <c r="B70" s="611">
        <v>2640</v>
      </c>
      <c r="C70" s="466">
        <v>0</v>
      </c>
      <c r="D70" s="466">
        <v>0</v>
      </c>
      <c r="E70" s="466">
        <v>4073</v>
      </c>
      <c r="F70" s="466">
        <v>1004</v>
      </c>
      <c r="G70" s="466">
        <v>0</v>
      </c>
      <c r="H70" s="466">
        <v>0</v>
      </c>
      <c r="I70" s="467">
        <v>0</v>
      </c>
      <c r="J70" s="467">
        <v>0</v>
      </c>
      <c r="K70" s="1646">
        <f>SUM(C70:J70)</f>
        <v>5077</v>
      </c>
      <c r="L70" s="466">
        <v>5000</v>
      </c>
      <c r="M70" s="606"/>
      <c r="N70" s="606"/>
    </row>
    <row r="71" spans="1:14" s="343" customFormat="1" x14ac:dyDescent="0.2">
      <c r="A71" s="1478" t="s">
        <v>404</v>
      </c>
      <c r="B71" s="611">
        <v>2660</v>
      </c>
      <c r="C71" s="466">
        <v>0</v>
      </c>
      <c r="D71" s="466">
        <v>0</v>
      </c>
      <c r="E71" s="466">
        <v>80040</v>
      </c>
      <c r="F71" s="466">
        <v>1138</v>
      </c>
      <c r="G71" s="466">
        <v>0</v>
      </c>
      <c r="H71" s="466">
        <v>0</v>
      </c>
      <c r="I71" s="467">
        <v>0</v>
      </c>
      <c r="J71" s="467">
        <v>0</v>
      </c>
      <c r="K71" s="1646">
        <f>SUM(C71:J71)</f>
        <v>81178</v>
      </c>
      <c r="L71" s="466">
        <v>70000</v>
      </c>
      <c r="M71" s="606"/>
      <c r="N71" s="606"/>
    </row>
    <row r="72" spans="1:14" s="343" customFormat="1" ht="12.75" customHeight="1" thickBot="1" x14ac:dyDescent="0.25">
      <c r="A72" s="1642" t="s">
        <v>37</v>
      </c>
      <c r="B72" s="1649" t="s">
        <v>36</v>
      </c>
      <c r="C72" s="1644">
        <f>SUM(C67:C71)</f>
        <v>0</v>
      </c>
      <c r="D72" s="1644">
        <f t="shared" ref="D72:K72" si="9">SUM(D67:D71)</f>
        <v>0</v>
      </c>
      <c r="E72" s="1644">
        <f t="shared" si="9"/>
        <v>84113</v>
      </c>
      <c r="F72" s="1644">
        <f t="shared" si="9"/>
        <v>2142</v>
      </c>
      <c r="G72" s="1644">
        <f t="shared" si="9"/>
        <v>0</v>
      </c>
      <c r="H72" s="1644">
        <f t="shared" si="9"/>
        <v>0</v>
      </c>
      <c r="I72" s="1644">
        <f t="shared" si="9"/>
        <v>0</v>
      </c>
      <c r="J72" s="1644">
        <f t="shared" si="9"/>
        <v>0</v>
      </c>
      <c r="K72" s="1644">
        <f t="shared" si="9"/>
        <v>86255</v>
      </c>
      <c r="L72" s="1644">
        <f>SUM(L67:L71)</f>
        <v>75000</v>
      </c>
      <c r="M72" s="606"/>
      <c r="N72" s="606"/>
    </row>
    <row r="73" spans="1:14" s="343" customFormat="1" ht="14.25" thickTop="1" thickBot="1" x14ac:dyDescent="0.25">
      <c r="A73" s="1484" t="s">
        <v>980</v>
      </c>
      <c r="B73" s="629" t="s">
        <v>574</v>
      </c>
      <c r="C73" s="467">
        <v>0</v>
      </c>
      <c r="D73" s="467">
        <v>0</v>
      </c>
      <c r="E73" s="467">
        <v>16133</v>
      </c>
      <c r="F73" s="467">
        <v>0</v>
      </c>
      <c r="G73" s="467">
        <v>0</v>
      </c>
      <c r="H73" s="467">
        <v>0</v>
      </c>
      <c r="I73" s="467">
        <v>0</v>
      </c>
      <c r="J73" s="467">
        <v>0</v>
      </c>
      <c r="K73" s="1644">
        <f>SUM(C73:J73)</f>
        <v>16133</v>
      </c>
      <c r="L73" s="573">
        <v>0</v>
      </c>
      <c r="M73" s="606"/>
      <c r="N73" s="606"/>
    </row>
    <row r="74" spans="1:14" ht="12.75" customHeight="1" thickTop="1" thickBot="1" x14ac:dyDescent="0.25">
      <c r="A74" s="1642" t="s">
        <v>811</v>
      </c>
      <c r="B74" s="1650">
        <v>2000</v>
      </c>
      <c r="C74" s="1651">
        <f>SUM(C42,C47,C53,C57,C65,C72,C73)</f>
        <v>4205538</v>
      </c>
      <c r="D74" s="1651">
        <f t="shared" ref="D74:K74" si="10">SUM(D42,D47,D53,D57,D65,D72,D73)</f>
        <v>681226</v>
      </c>
      <c r="E74" s="1651">
        <f t="shared" si="10"/>
        <v>663245</v>
      </c>
      <c r="F74" s="1651">
        <f t="shared" si="10"/>
        <v>241493</v>
      </c>
      <c r="G74" s="1651">
        <f t="shared" si="10"/>
        <v>97395</v>
      </c>
      <c r="H74" s="1651">
        <f t="shared" si="10"/>
        <v>13742</v>
      </c>
      <c r="I74" s="1651">
        <f t="shared" si="10"/>
        <v>0</v>
      </c>
      <c r="J74" s="1651">
        <f t="shared" si="10"/>
        <v>0</v>
      </c>
      <c r="K74" s="1651">
        <f t="shared" si="10"/>
        <v>5902639</v>
      </c>
      <c r="L74" s="1651">
        <f>SUM(L42,L47,L53,L57,L65,L72,L73)</f>
        <v>6106029</v>
      </c>
    </row>
    <row r="75" spans="1:14" s="259" customFormat="1" ht="15.75" customHeight="1" thickTop="1" thickBot="1" x14ac:dyDescent="0.25">
      <c r="A75" s="1584" t="s">
        <v>47</v>
      </c>
      <c r="B75" s="1585" t="s">
        <v>575</v>
      </c>
      <c r="C75" s="467">
        <v>0</v>
      </c>
      <c r="D75" s="467">
        <v>0</v>
      </c>
      <c r="E75" s="467">
        <v>0</v>
      </c>
      <c r="F75" s="467">
        <v>0</v>
      </c>
      <c r="G75" s="467">
        <v>0</v>
      </c>
      <c r="H75" s="467">
        <v>0</v>
      </c>
      <c r="I75" s="467">
        <v>0</v>
      </c>
      <c r="J75" s="467">
        <v>0</v>
      </c>
      <c r="K75" s="1644">
        <f>SUM(C75:J75)</f>
        <v>0</v>
      </c>
      <c r="L75" s="573">
        <v>0</v>
      </c>
      <c r="M75" s="610"/>
      <c r="N75" s="610"/>
    </row>
    <row r="76" spans="1:14" s="630" customFormat="1" ht="15.75" customHeight="1" thickTop="1" x14ac:dyDescent="0.2">
      <c r="A76" s="1586" t="s">
        <v>365</v>
      </c>
      <c r="B76" s="1583"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78" t="s">
        <v>496</v>
      </c>
      <c r="B78" s="611">
        <v>4110</v>
      </c>
      <c r="C78" s="613"/>
      <c r="D78" s="613"/>
      <c r="E78" s="479">
        <v>0</v>
      </c>
      <c r="F78" s="613"/>
      <c r="G78" s="613"/>
      <c r="H78" s="631">
        <v>0</v>
      </c>
      <c r="I78" s="475"/>
      <c r="J78" s="475"/>
      <c r="K78" s="1645">
        <f t="shared" ref="K78:K83" si="11">SUM(C78:J78)</f>
        <v>0</v>
      </c>
      <c r="L78" s="479">
        <v>0</v>
      </c>
    </row>
    <row r="79" spans="1:14" x14ac:dyDescent="0.2">
      <c r="A79" s="1478" t="s">
        <v>304</v>
      </c>
      <c r="B79" s="611">
        <v>4120</v>
      </c>
      <c r="C79" s="613"/>
      <c r="D79" s="613"/>
      <c r="E79" s="466">
        <v>0</v>
      </c>
      <c r="F79" s="613"/>
      <c r="G79" s="613"/>
      <c r="H79" s="466">
        <v>77160</v>
      </c>
      <c r="I79" s="475"/>
      <c r="J79" s="475"/>
      <c r="K79" s="1645">
        <f t="shared" si="11"/>
        <v>77160</v>
      </c>
      <c r="L79" s="466">
        <v>0</v>
      </c>
    </row>
    <row r="80" spans="1:14" x14ac:dyDescent="0.2">
      <c r="A80" s="1478" t="s">
        <v>305</v>
      </c>
      <c r="B80" s="611">
        <v>4130</v>
      </c>
      <c r="C80" s="613"/>
      <c r="D80" s="613"/>
      <c r="E80" s="466">
        <v>0</v>
      </c>
      <c r="F80" s="613"/>
      <c r="G80" s="613"/>
      <c r="H80" s="466">
        <v>0</v>
      </c>
      <c r="I80" s="475"/>
      <c r="J80" s="475"/>
      <c r="K80" s="1645">
        <f t="shared" si="11"/>
        <v>0</v>
      </c>
      <c r="L80" s="466">
        <v>0</v>
      </c>
    </row>
    <row r="81" spans="1:12" x14ac:dyDescent="0.2">
      <c r="A81" s="1478" t="s">
        <v>697</v>
      </c>
      <c r="B81" s="611">
        <v>4140</v>
      </c>
      <c r="C81" s="613"/>
      <c r="D81" s="613"/>
      <c r="E81" s="466">
        <v>0</v>
      </c>
      <c r="F81" s="613"/>
      <c r="G81" s="613"/>
      <c r="H81" s="466">
        <v>0</v>
      </c>
      <c r="I81" s="475"/>
      <c r="J81" s="475"/>
      <c r="K81" s="1645">
        <f t="shared" si="11"/>
        <v>0</v>
      </c>
      <c r="L81" s="466">
        <v>0</v>
      </c>
    </row>
    <row r="82" spans="1:12" x14ac:dyDescent="0.2">
      <c r="A82" s="1478" t="s">
        <v>86</v>
      </c>
      <c r="B82" s="611">
        <v>4170</v>
      </c>
      <c r="C82" s="613"/>
      <c r="D82" s="613"/>
      <c r="E82" s="466">
        <v>0</v>
      </c>
      <c r="F82" s="613"/>
      <c r="G82" s="613"/>
      <c r="H82" s="466">
        <v>0</v>
      </c>
      <c r="I82" s="475"/>
      <c r="J82" s="475"/>
      <c r="K82" s="1645">
        <f t="shared" si="11"/>
        <v>0</v>
      </c>
      <c r="L82" s="466">
        <v>0</v>
      </c>
    </row>
    <row r="83" spans="1:12" x14ac:dyDescent="0.2">
      <c r="A83" s="1482" t="s">
        <v>698</v>
      </c>
      <c r="B83" s="625">
        <v>4190</v>
      </c>
      <c r="C83" s="613"/>
      <c r="D83" s="613"/>
      <c r="E83" s="466">
        <v>0</v>
      </c>
      <c r="F83" s="613"/>
      <c r="G83" s="613"/>
      <c r="H83" s="466">
        <v>0</v>
      </c>
      <c r="I83" s="475"/>
      <c r="J83" s="475"/>
      <c r="K83" s="1645">
        <f t="shared" si="11"/>
        <v>0</v>
      </c>
      <c r="L83" s="466">
        <v>0</v>
      </c>
    </row>
    <row r="84" spans="1:12" ht="13.5" thickBot="1" x14ac:dyDescent="0.25">
      <c r="A84" s="1642" t="s">
        <v>1484</v>
      </c>
      <c r="B84" s="1652">
        <v>4100</v>
      </c>
      <c r="C84" s="613"/>
      <c r="D84" s="613"/>
      <c r="E84" s="1644">
        <f>SUM(E78:E83)</f>
        <v>0</v>
      </c>
      <c r="F84" s="613"/>
      <c r="G84" s="613"/>
      <c r="H84" s="1644">
        <f>SUM(H78:H83)</f>
        <v>77160</v>
      </c>
      <c r="I84" s="475"/>
      <c r="J84" s="475"/>
      <c r="K84" s="1644">
        <f>SUM(K78:K83)</f>
        <v>77160</v>
      </c>
      <c r="L84" s="1644">
        <f>SUM(L78:L83)</f>
        <v>0</v>
      </c>
    </row>
    <row r="85" spans="1:12" ht="12.75" customHeight="1" thickTop="1" thickBot="1" x14ac:dyDescent="0.25">
      <c r="A85" s="1485" t="s">
        <v>255</v>
      </c>
      <c r="B85" s="632">
        <v>4210</v>
      </c>
      <c r="C85" s="613"/>
      <c r="D85" s="613"/>
      <c r="E85" s="633"/>
      <c r="F85" s="613"/>
      <c r="G85" s="613"/>
      <c r="H85" s="532">
        <v>0</v>
      </c>
      <c r="I85" s="475"/>
      <c r="J85" s="475"/>
      <c r="K85" s="1651">
        <f>H85</f>
        <v>0</v>
      </c>
      <c r="L85" s="527">
        <v>0</v>
      </c>
    </row>
    <row r="86" spans="1:12" ht="12.75" customHeight="1" thickTop="1" thickBot="1" x14ac:dyDescent="0.25">
      <c r="A86" s="1486" t="s">
        <v>699</v>
      </c>
      <c r="B86" s="634">
        <v>4220</v>
      </c>
      <c r="C86" s="613"/>
      <c r="D86" s="613"/>
      <c r="E86" s="635"/>
      <c r="F86" s="613"/>
      <c r="G86" s="613"/>
      <c r="H86" s="467">
        <v>0</v>
      </c>
      <c r="I86" s="475"/>
      <c r="J86" s="475"/>
      <c r="K86" s="1651">
        <f t="shared" ref="K86:K98" si="12">H86</f>
        <v>0</v>
      </c>
      <c r="L86" s="527">
        <v>0</v>
      </c>
    </row>
    <row r="87" spans="1:12" ht="14.25" thickTop="1" thickBot="1" x14ac:dyDescent="0.25">
      <c r="A87" s="1487" t="s">
        <v>700</v>
      </c>
      <c r="B87" s="636">
        <v>4230</v>
      </c>
      <c r="C87" s="613"/>
      <c r="D87" s="613"/>
      <c r="E87" s="635"/>
      <c r="F87" s="613"/>
      <c r="G87" s="613"/>
      <c r="H87" s="467">
        <v>0</v>
      </c>
      <c r="I87" s="475"/>
      <c r="J87" s="475"/>
      <c r="K87" s="1651">
        <f t="shared" si="12"/>
        <v>0</v>
      </c>
      <c r="L87" s="527">
        <v>0</v>
      </c>
    </row>
    <row r="88" spans="1:12" ht="12.75" customHeight="1" thickTop="1" thickBot="1" x14ac:dyDescent="0.25">
      <c r="A88" s="1487" t="s">
        <v>765</v>
      </c>
      <c r="B88" s="636">
        <v>4240</v>
      </c>
      <c r="C88" s="613"/>
      <c r="D88" s="613"/>
      <c r="E88" s="635"/>
      <c r="F88" s="613"/>
      <c r="G88" s="613"/>
      <c r="H88" s="467">
        <v>0</v>
      </c>
      <c r="I88" s="475"/>
      <c r="J88" s="475"/>
      <c r="K88" s="1651">
        <f t="shared" si="12"/>
        <v>0</v>
      </c>
      <c r="L88" s="527">
        <v>0</v>
      </c>
    </row>
    <row r="89" spans="1:12" ht="12.75" customHeight="1" thickTop="1" thickBot="1" x14ac:dyDescent="0.25">
      <c r="A89" s="1487" t="s">
        <v>701</v>
      </c>
      <c r="B89" s="636">
        <v>4270</v>
      </c>
      <c r="C89" s="613"/>
      <c r="D89" s="613"/>
      <c r="E89" s="635"/>
      <c r="F89" s="613"/>
      <c r="G89" s="613"/>
      <c r="H89" s="467">
        <v>0</v>
      </c>
      <c r="I89" s="475"/>
      <c r="J89" s="475"/>
      <c r="K89" s="1651">
        <f t="shared" si="12"/>
        <v>0</v>
      </c>
      <c r="L89" s="527">
        <v>0</v>
      </c>
    </row>
    <row r="90" spans="1:12" ht="12.75" customHeight="1" thickTop="1" thickBot="1" x14ac:dyDescent="0.25">
      <c r="A90" s="1487" t="s">
        <v>686</v>
      </c>
      <c r="B90" s="636">
        <v>4280</v>
      </c>
      <c r="C90" s="613"/>
      <c r="D90" s="613"/>
      <c r="E90" s="635"/>
      <c r="F90" s="613"/>
      <c r="G90" s="613"/>
      <c r="H90" s="467">
        <v>0</v>
      </c>
      <c r="I90" s="475"/>
      <c r="J90" s="475"/>
      <c r="K90" s="1651">
        <f t="shared" si="12"/>
        <v>0</v>
      </c>
      <c r="L90" s="527">
        <v>0</v>
      </c>
    </row>
    <row r="91" spans="1:12" ht="12.75" customHeight="1" thickTop="1" thickBot="1" x14ac:dyDescent="0.25">
      <c r="A91" s="1487" t="s">
        <v>687</v>
      </c>
      <c r="B91" s="636">
        <v>4290</v>
      </c>
      <c r="C91" s="613"/>
      <c r="D91" s="613"/>
      <c r="E91" s="635"/>
      <c r="F91" s="613"/>
      <c r="G91" s="613"/>
      <c r="H91" s="467">
        <v>0</v>
      </c>
      <c r="I91" s="475"/>
      <c r="J91" s="475"/>
      <c r="K91" s="1651">
        <f t="shared" si="12"/>
        <v>0</v>
      </c>
      <c r="L91" s="527">
        <v>0</v>
      </c>
    </row>
    <row r="92" spans="1:12" ht="14.25" thickTop="1" thickBot="1" x14ac:dyDescent="0.25">
      <c r="A92" s="1654" t="s">
        <v>1559</v>
      </c>
      <c r="B92" s="1652">
        <v>4200</v>
      </c>
      <c r="C92" s="613"/>
      <c r="D92" s="613"/>
      <c r="E92" s="635"/>
      <c r="F92" s="613"/>
      <c r="G92" s="613"/>
      <c r="H92" s="1644">
        <f>SUM(H85:H91)</f>
        <v>0</v>
      </c>
      <c r="I92" s="475"/>
      <c r="J92" s="475"/>
      <c r="K92" s="1651">
        <f t="shared" si="12"/>
        <v>0</v>
      </c>
      <c r="L92" s="1644">
        <f>SUM(L85:L91)</f>
        <v>0</v>
      </c>
    </row>
    <row r="93" spans="1:12" ht="14.25" thickTop="1" thickBot="1" x14ac:dyDescent="0.25">
      <c r="A93" s="1486" t="s">
        <v>688</v>
      </c>
      <c r="B93" s="637">
        <v>4310</v>
      </c>
      <c r="C93" s="613"/>
      <c r="D93" s="613"/>
      <c r="E93" s="635"/>
      <c r="F93" s="613"/>
      <c r="G93" s="613"/>
      <c r="H93" s="638">
        <v>0</v>
      </c>
      <c r="I93" s="475"/>
      <c r="J93" s="475"/>
      <c r="K93" s="1651">
        <f t="shared" si="12"/>
        <v>0</v>
      </c>
      <c r="L93" s="529">
        <v>0</v>
      </c>
    </row>
    <row r="94" spans="1:12" ht="12.75" customHeight="1" thickTop="1" thickBot="1" x14ac:dyDescent="0.25">
      <c r="A94" s="1487" t="s">
        <v>689</v>
      </c>
      <c r="B94" s="636">
        <v>4320</v>
      </c>
      <c r="C94" s="613"/>
      <c r="D94" s="613"/>
      <c r="E94" s="635"/>
      <c r="F94" s="613"/>
      <c r="G94" s="613"/>
      <c r="H94" s="467">
        <v>5187642</v>
      </c>
      <c r="I94" s="475"/>
      <c r="J94" s="475"/>
      <c r="K94" s="1651">
        <f t="shared" si="12"/>
        <v>5187642</v>
      </c>
      <c r="L94" s="527">
        <v>5301002</v>
      </c>
    </row>
    <row r="95" spans="1:12" ht="15" customHeight="1" thickTop="1" thickBot="1" x14ac:dyDescent="0.25">
      <c r="A95" s="1487" t="s">
        <v>1487</v>
      </c>
      <c r="B95" s="636">
        <v>4330</v>
      </c>
      <c r="C95" s="613"/>
      <c r="D95" s="613"/>
      <c r="E95" s="635"/>
      <c r="F95" s="613"/>
      <c r="G95" s="613"/>
      <c r="H95" s="467">
        <v>0</v>
      </c>
      <c r="I95" s="475"/>
      <c r="J95" s="475"/>
      <c r="K95" s="1651">
        <f t="shared" si="12"/>
        <v>0</v>
      </c>
      <c r="L95" s="527">
        <v>0</v>
      </c>
    </row>
    <row r="96" spans="1:12" ht="14.25" thickTop="1" thickBot="1" x14ac:dyDescent="0.25">
      <c r="A96" s="1487" t="s">
        <v>690</v>
      </c>
      <c r="B96" s="636">
        <v>4340</v>
      </c>
      <c r="C96" s="613"/>
      <c r="D96" s="613"/>
      <c r="E96" s="635"/>
      <c r="F96" s="613"/>
      <c r="G96" s="613"/>
      <c r="H96" s="467">
        <v>0</v>
      </c>
      <c r="I96" s="475"/>
      <c r="J96" s="475"/>
      <c r="K96" s="1651">
        <f t="shared" si="12"/>
        <v>0</v>
      </c>
      <c r="L96" s="527">
        <v>0</v>
      </c>
    </row>
    <row r="97" spans="1:14" ht="12.75" customHeight="1" thickTop="1" thickBot="1" x14ac:dyDescent="0.25">
      <c r="A97" s="1487" t="s">
        <v>763</v>
      </c>
      <c r="B97" s="636">
        <v>4370</v>
      </c>
      <c r="C97" s="613"/>
      <c r="D97" s="613"/>
      <c r="E97" s="635"/>
      <c r="F97" s="613"/>
      <c r="G97" s="613"/>
      <c r="H97" s="467">
        <v>0</v>
      </c>
      <c r="I97" s="475"/>
      <c r="J97" s="475"/>
      <c r="K97" s="1651">
        <f t="shared" si="12"/>
        <v>0</v>
      </c>
      <c r="L97" s="527">
        <v>0</v>
      </c>
    </row>
    <row r="98" spans="1:14" ht="14.25" thickTop="1" thickBot="1" x14ac:dyDescent="0.25">
      <c r="A98" s="1487" t="s">
        <v>764</v>
      </c>
      <c r="B98" s="636">
        <v>4380</v>
      </c>
      <c r="C98" s="613"/>
      <c r="D98" s="613"/>
      <c r="E98" s="639"/>
      <c r="F98" s="613"/>
      <c r="G98" s="613"/>
      <c r="H98" s="467">
        <v>0</v>
      </c>
      <c r="I98" s="475"/>
      <c r="J98" s="475"/>
      <c r="K98" s="1651">
        <f t="shared" si="12"/>
        <v>0</v>
      </c>
      <c r="L98" s="527">
        <v>0</v>
      </c>
    </row>
    <row r="99" spans="1:14" ht="14.25" thickTop="1" thickBot="1" x14ac:dyDescent="0.25">
      <c r="A99" s="1487" t="s">
        <v>367</v>
      </c>
      <c r="B99" s="636">
        <v>4390</v>
      </c>
      <c r="C99" s="613"/>
      <c r="D99" s="613"/>
      <c r="E99" s="529">
        <v>0</v>
      </c>
      <c r="F99" s="613"/>
      <c r="G99" s="613"/>
      <c r="H99" s="467">
        <v>1153475</v>
      </c>
      <c r="I99" s="475"/>
      <c r="J99" s="475"/>
      <c r="K99" s="1651">
        <f>SUM(E99,H99)</f>
        <v>1153475</v>
      </c>
      <c r="L99" s="527">
        <v>0</v>
      </c>
    </row>
    <row r="100" spans="1:14" ht="14.25" thickTop="1" thickBot="1" x14ac:dyDescent="0.25">
      <c r="A100" s="1654" t="s">
        <v>1485</v>
      </c>
      <c r="B100" s="1655">
        <v>4300</v>
      </c>
      <c r="C100" s="613"/>
      <c r="D100" s="613"/>
      <c r="E100" s="1651">
        <f>SUM(E93:E99)</f>
        <v>0</v>
      </c>
      <c r="F100" s="613"/>
      <c r="G100" s="613"/>
      <c r="H100" s="1651">
        <f>SUM(H93:H99)</f>
        <v>6341117</v>
      </c>
      <c r="I100" s="475"/>
      <c r="J100" s="475"/>
      <c r="K100" s="1651">
        <f>SUM(K93:K99)</f>
        <v>6341117</v>
      </c>
      <c r="L100" s="1651">
        <f>SUM(L93:L99)</f>
        <v>5301002</v>
      </c>
    </row>
    <row r="101" spans="1:14" ht="12.75" customHeight="1" thickTop="1" thickBot="1" x14ac:dyDescent="0.25">
      <c r="A101" s="1484" t="s">
        <v>1488</v>
      </c>
      <c r="B101" s="640" t="s">
        <v>931</v>
      </c>
      <c r="C101" s="613"/>
      <c r="D101" s="613"/>
      <c r="E101" s="528">
        <v>0</v>
      </c>
      <c r="F101" s="613"/>
      <c r="G101" s="613"/>
      <c r="H101" s="528">
        <v>0</v>
      </c>
      <c r="I101" s="475"/>
      <c r="J101" s="475"/>
      <c r="K101" s="1653">
        <f>SUM(C101:J101)</f>
        <v>0</v>
      </c>
      <c r="L101" s="527">
        <v>0</v>
      </c>
    </row>
    <row r="102" spans="1:14" ht="12.75" customHeight="1" thickTop="1" thickBot="1" x14ac:dyDescent="0.25">
      <c r="A102" s="1642" t="s">
        <v>1486</v>
      </c>
      <c r="B102" s="1652">
        <v>4000</v>
      </c>
      <c r="C102" s="613"/>
      <c r="D102" s="613"/>
      <c r="E102" s="1651">
        <f>SUM(E84,E92,E100,E101)</f>
        <v>0</v>
      </c>
      <c r="F102" s="613"/>
      <c r="G102" s="613"/>
      <c r="H102" s="1651">
        <f>SUM(H84,H92,H100,H101)</f>
        <v>6418277</v>
      </c>
      <c r="I102" s="475"/>
      <c r="J102" s="475"/>
      <c r="K102" s="1651">
        <f>SUM(K84,K92,K100,K101)</f>
        <v>6418277</v>
      </c>
      <c r="L102" s="1651">
        <f>SUM(L84,L92,L100,L101)</f>
        <v>5301002</v>
      </c>
    </row>
    <row r="103" spans="1:14" s="630" customFormat="1" ht="15.75" customHeight="1" thickTop="1" x14ac:dyDescent="0.2">
      <c r="A103" s="1586" t="s">
        <v>513</v>
      </c>
      <c r="B103" s="1583"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78" t="s">
        <v>87</v>
      </c>
      <c r="B105" s="611">
        <v>5110</v>
      </c>
      <c r="C105" s="613"/>
      <c r="D105" s="613"/>
      <c r="E105" s="613"/>
      <c r="F105" s="613"/>
      <c r="G105" s="613"/>
      <c r="H105" s="479">
        <v>0</v>
      </c>
      <c r="I105" s="468"/>
      <c r="J105" s="468"/>
      <c r="K105" s="1645">
        <f>H105</f>
        <v>0</v>
      </c>
      <c r="L105" s="479">
        <v>0</v>
      </c>
      <c r="M105" s="210"/>
      <c r="N105" s="210"/>
    </row>
    <row r="106" spans="1:14" s="594" customFormat="1" x14ac:dyDescent="0.2">
      <c r="A106" s="1478" t="s">
        <v>88</v>
      </c>
      <c r="B106" s="611">
        <v>5120</v>
      </c>
      <c r="C106" s="613"/>
      <c r="D106" s="613"/>
      <c r="E106" s="613"/>
      <c r="F106" s="613"/>
      <c r="G106" s="613"/>
      <c r="H106" s="466">
        <v>0</v>
      </c>
      <c r="I106" s="468"/>
      <c r="J106" s="468"/>
      <c r="K106" s="1645">
        <f>H106</f>
        <v>0</v>
      </c>
      <c r="L106" s="466">
        <v>0</v>
      </c>
      <c r="M106" s="210"/>
      <c r="N106" s="210"/>
    </row>
    <row r="107" spans="1:14" s="594" customFormat="1" ht="12.75" customHeight="1" x14ac:dyDescent="0.2">
      <c r="A107" s="1478" t="s">
        <v>1170</v>
      </c>
      <c r="B107" s="611">
        <v>5130</v>
      </c>
      <c r="C107" s="613"/>
      <c r="D107" s="613"/>
      <c r="E107" s="613"/>
      <c r="F107" s="613"/>
      <c r="G107" s="613"/>
      <c r="H107" s="466">
        <v>0</v>
      </c>
      <c r="I107" s="468"/>
      <c r="J107" s="468"/>
      <c r="K107" s="1645">
        <f>H107</f>
        <v>0</v>
      </c>
      <c r="L107" s="466">
        <v>0</v>
      </c>
      <c r="M107" s="210"/>
      <c r="N107" s="210"/>
    </row>
    <row r="108" spans="1:14" s="594" customFormat="1" x14ac:dyDescent="0.2">
      <c r="A108" s="1478" t="s">
        <v>89</v>
      </c>
      <c r="B108" s="611" t="s">
        <v>589</v>
      </c>
      <c r="C108" s="613"/>
      <c r="D108" s="613"/>
      <c r="E108" s="613"/>
      <c r="F108" s="613"/>
      <c r="G108" s="613"/>
      <c r="H108" s="466">
        <v>0</v>
      </c>
      <c r="I108" s="468"/>
      <c r="J108" s="468"/>
      <c r="K108" s="1645">
        <f>H108</f>
        <v>0</v>
      </c>
      <c r="L108" s="466">
        <v>0</v>
      </c>
      <c r="M108" s="210"/>
      <c r="N108" s="210"/>
    </row>
    <row r="109" spans="1:14" s="594" customFormat="1" x14ac:dyDescent="0.2">
      <c r="A109" s="1478" t="s">
        <v>254</v>
      </c>
      <c r="B109" s="625">
        <v>5150</v>
      </c>
      <c r="C109" s="613"/>
      <c r="D109" s="613"/>
      <c r="E109" s="613"/>
      <c r="F109" s="613"/>
      <c r="G109" s="613"/>
      <c r="H109" s="466">
        <v>0</v>
      </c>
      <c r="I109" s="468"/>
      <c r="J109" s="468"/>
      <c r="K109" s="1645">
        <f>H109</f>
        <v>0</v>
      </c>
      <c r="L109" s="466">
        <v>0</v>
      </c>
      <c r="M109" s="210"/>
      <c r="N109" s="210"/>
    </row>
    <row r="110" spans="1:14" s="594" customFormat="1" ht="12.75" customHeight="1" thickBot="1" x14ac:dyDescent="0.25">
      <c r="A110" s="1642" t="s">
        <v>1102</v>
      </c>
      <c r="B110" s="1649" t="s">
        <v>718</v>
      </c>
      <c r="C110" s="613"/>
      <c r="D110" s="613"/>
      <c r="E110" s="613"/>
      <c r="F110" s="613"/>
      <c r="G110" s="613"/>
      <c r="H110" s="1644">
        <f>SUM(H105:H109)</f>
        <v>0</v>
      </c>
      <c r="I110" s="468"/>
      <c r="J110" s="468"/>
      <c r="K110" s="1644">
        <f>SUM(K105:K109)</f>
        <v>0</v>
      </c>
      <c r="L110" s="1644">
        <f>SUM(L105:L109)</f>
        <v>0</v>
      </c>
      <c r="M110" s="210"/>
      <c r="N110" s="210"/>
    </row>
    <row r="111" spans="1:14" s="594" customFormat="1" ht="12.75" customHeight="1" thickTop="1" thickBot="1" x14ac:dyDescent="0.25">
      <c r="A111" s="1488" t="s">
        <v>368</v>
      </c>
      <c r="B111" s="644" t="s">
        <v>38</v>
      </c>
      <c r="C111" s="613"/>
      <c r="D111" s="613"/>
      <c r="E111" s="613"/>
      <c r="F111" s="613"/>
      <c r="G111" s="613"/>
      <c r="H111" s="532">
        <v>0</v>
      </c>
      <c r="I111" s="468"/>
      <c r="J111" s="468"/>
      <c r="K111" s="1657">
        <f>H111</f>
        <v>0</v>
      </c>
      <c r="L111" s="529">
        <v>0</v>
      </c>
      <c r="M111" s="210"/>
      <c r="N111" s="210"/>
    </row>
    <row r="112" spans="1:14" s="594" customFormat="1" ht="12.75" customHeight="1" thickTop="1" thickBot="1" x14ac:dyDescent="0.25">
      <c r="A112" s="1642" t="s">
        <v>638</v>
      </c>
      <c r="B112" s="1643" t="s">
        <v>492</v>
      </c>
      <c r="C112" s="613"/>
      <c r="D112" s="613"/>
      <c r="E112" s="613"/>
      <c r="F112" s="613"/>
      <c r="G112" s="613"/>
      <c r="H112" s="1644">
        <f>SUM(H110:H111)</f>
        <v>0</v>
      </c>
      <c r="I112" s="468"/>
      <c r="J112" s="468"/>
      <c r="K112" s="1644">
        <f>SUM(K110:K111)</f>
        <v>0</v>
      </c>
      <c r="L112" s="1651">
        <f>SUM(L110,L111)</f>
        <v>0</v>
      </c>
      <c r="M112" s="210"/>
      <c r="N112" s="210"/>
    </row>
    <row r="113" spans="1:14" s="259" customFormat="1" ht="15.75" customHeight="1" thickTop="1" thickBot="1" x14ac:dyDescent="0.25">
      <c r="A113" s="1580" t="s">
        <v>514</v>
      </c>
      <c r="B113" s="1587" t="s">
        <v>861</v>
      </c>
      <c r="C113" s="620"/>
      <c r="D113" s="620"/>
      <c r="E113" s="613"/>
      <c r="F113" s="613"/>
      <c r="G113" s="613"/>
      <c r="H113" s="620"/>
      <c r="I113" s="468"/>
      <c r="J113" s="468"/>
      <c r="K113" s="620"/>
      <c r="L113" s="528">
        <v>0</v>
      </c>
      <c r="M113" s="610"/>
      <c r="N113" s="610"/>
    </row>
    <row r="114" spans="1:14" ht="12.75" customHeight="1" thickTop="1" thickBot="1" x14ac:dyDescent="0.25">
      <c r="A114" s="1642" t="s">
        <v>48</v>
      </c>
      <c r="B114" s="1656"/>
      <c r="C114" s="1644">
        <f>SUM(C33,C74,C75,C102,C112,C113)</f>
        <v>7551972</v>
      </c>
      <c r="D114" s="1644">
        <f t="shared" ref="D114:K114" si="13">SUM(D33,D74,D75,D102,D112,D113)</f>
        <v>1229035</v>
      </c>
      <c r="E114" s="1644">
        <f t="shared" si="13"/>
        <v>1023151</v>
      </c>
      <c r="F114" s="1644">
        <f t="shared" si="13"/>
        <v>290631</v>
      </c>
      <c r="G114" s="1644">
        <f t="shared" si="13"/>
        <v>375960</v>
      </c>
      <c r="H114" s="1644">
        <f>SUM(H33,H74,H75,H102,H112,H113)</f>
        <v>6432019</v>
      </c>
      <c r="I114" s="1644">
        <f t="shared" si="13"/>
        <v>0</v>
      </c>
      <c r="J114" s="1644">
        <f t="shared" si="13"/>
        <v>0</v>
      </c>
      <c r="K114" s="1644">
        <f t="shared" si="13"/>
        <v>16902768</v>
      </c>
      <c r="L114" s="1644">
        <f>SUM(L33,L74,L75,L102,L112,L113)</f>
        <v>16548267</v>
      </c>
    </row>
    <row r="115" spans="1:14" ht="13.5" thickTop="1" x14ac:dyDescent="0.2">
      <c r="A115" s="2356" t="s">
        <v>996</v>
      </c>
      <c r="B115" s="2357"/>
      <c r="C115" s="615"/>
      <c r="D115" s="615"/>
      <c r="E115" s="615"/>
      <c r="F115" s="615"/>
      <c r="G115" s="615"/>
      <c r="H115" s="615"/>
      <c r="I115" s="615"/>
      <c r="J115" s="615"/>
      <c r="K115" s="1658">
        <f>'Revenues 9-14'!C268-'Expenditures 15-22'!K114</f>
        <v>159302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61" t="s">
        <v>296</v>
      </c>
      <c r="B117" s="2362"/>
      <c r="C117" s="1600"/>
      <c r="D117" s="1601"/>
      <c r="E117" s="1601"/>
      <c r="F117" s="1601"/>
      <c r="G117" s="1601"/>
      <c r="H117" s="1601"/>
      <c r="I117" s="1601"/>
      <c r="J117" s="1601"/>
      <c r="K117" s="1601"/>
      <c r="L117" s="1602"/>
      <c r="M117" s="175"/>
      <c r="N117" s="175"/>
    </row>
    <row r="118" spans="1:14" ht="15.75" customHeight="1" x14ac:dyDescent="0.2">
      <c r="A118" s="1588" t="s">
        <v>1035</v>
      </c>
      <c r="B118" s="1589"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82" t="s">
        <v>2053</v>
      </c>
      <c r="B120" s="625" t="s">
        <v>716</v>
      </c>
      <c r="C120" s="466">
        <v>0</v>
      </c>
      <c r="D120" s="466">
        <v>0</v>
      </c>
      <c r="E120" s="466">
        <v>0</v>
      </c>
      <c r="F120" s="466">
        <v>0</v>
      </c>
      <c r="G120" s="466">
        <v>0</v>
      </c>
      <c r="H120" s="466">
        <v>0</v>
      </c>
      <c r="I120" s="467">
        <v>0</v>
      </c>
      <c r="J120" s="467">
        <v>0</v>
      </c>
      <c r="K120" s="1645">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78" t="s">
        <v>1068</v>
      </c>
      <c r="B122" s="611">
        <v>2510</v>
      </c>
      <c r="C122" s="466">
        <v>0</v>
      </c>
      <c r="D122" s="466">
        <v>0</v>
      </c>
      <c r="E122" s="466">
        <v>0</v>
      </c>
      <c r="F122" s="466">
        <v>0</v>
      </c>
      <c r="G122" s="466">
        <v>0</v>
      </c>
      <c r="H122" s="466">
        <v>0</v>
      </c>
      <c r="I122" s="467">
        <v>0</v>
      </c>
      <c r="J122" s="467">
        <v>0</v>
      </c>
      <c r="K122" s="1644">
        <f>SUM(C122:J122)</f>
        <v>0</v>
      </c>
      <c r="L122" s="466">
        <v>0</v>
      </c>
    </row>
    <row r="123" spans="1:14" ht="14.25" thickTop="1" thickBot="1" x14ac:dyDescent="0.25">
      <c r="A123" s="1478" t="s">
        <v>4</v>
      </c>
      <c r="B123" s="611">
        <v>2530</v>
      </c>
      <c r="C123" s="466">
        <v>0</v>
      </c>
      <c r="D123" s="466">
        <v>0</v>
      </c>
      <c r="E123" s="466">
        <v>0</v>
      </c>
      <c r="F123" s="466">
        <v>0</v>
      </c>
      <c r="G123" s="466">
        <v>0</v>
      </c>
      <c r="H123" s="466">
        <v>0</v>
      </c>
      <c r="I123" s="467">
        <v>0</v>
      </c>
      <c r="J123" s="467">
        <v>0</v>
      </c>
      <c r="K123" s="1644">
        <f>SUM(C123:J123)</f>
        <v>0</v>
      </c>
      <c r="L123" s="466">
        <v>0</v>
      </c>
    </row>
    <row r="124" spans="1:14" ht="14.25" thickTop="1" thickBot="1" x14ac:dyDescent="0.25">
      <c r="A124" s="1478" t="s">
        <v>197</v>
      </c>
      <c r="B124" s="611">
        <v>2540</v>
      </c>
      <c r="C124" s="466">
        <v>0</v>
      </c>
      <c r="D124" s="466">
        <v>0</v>
      </c>
      <c r="E124" s="466">
        <v>0</v>
      </c>
      <c r="F124" s="466">
        <v>0</v>
      </c>
      <c r="G124" s="466">
        <v>49054</v>
      </c>
      <c r="H124" s="466">
        <v>0</v>
      </c>
      <c r="I124" s="467">
        <v>0</v>
      </c>
      <c r="J124" s="467">
        <v>0</v>
      </c>
      <c r="K124" s="1644">
        <f>SUM(C124:J124)</f>
        <v>49054</v>
      </c>
      <c r="L124" s="466">
        <v>0</v>
      </c>
    </row>
    <row r="125" spans="1:14" ht="14.25" thickTop="1" thickBot="1" x14ac:dyDescent="0.25">
      <c r="A125" s="1478" t="s">
        <v>953</v>
      </c>
      <c r="B125" s="611">
        <v>2550</v>
      </c>
      <c r="C125" s="466">
        <v>0</v>
      </c>
      <c r="D125" s="466">
        <v>0</v>
      </c>
      <c r="E125" s="466">
        <v>0</v>
      </c>
      <c r="F125" s="466">
        <v>0</v>
      </c>
      <c r="G125" s="466">
        <v>0</v>
      </c>
      <c r="H125" s="466">
        <v>0</v>
      </c>
      <c r="I125" s="467">
        <v>0</v>
      </c>
      <c r="J125" s="467">
        <v>0</v>
      </c>
      <c r="K125" s="1644">
        <f>SUM(C125:J125)</f>
        <v>0</v>
      </c>
      <c r="L125" s="466">
        <v>0</v>
      </c>
    </row>
    <row r="126" spans="1:14" ht="14.25" thickTop="1" thickBot="1" x14ac:dyDescent="0.25">
      <c r="A126" s="1478" t="s">
        <v>100</v>
      </c>
      <c r="B126" s="611">
        <v>2560</v>
      </c>
      <c r="C126" s="651"/>
      <c r="D126" s="651"/>
      <c r="E126" s="651"/>
      <c r="F126" s="651"/>
      <c r="G126" s="466">
        <v>0</v>
      </c>
      <c r="H126" s="651"/>
      <c r="I126" s="473">
        <v>0</v>
      </c>
      <c r="J126" s="613"/>
      <c r="K126" s="1644">
        <f>SUM(C126:J126)</f>
        <v>0</v>
      </c>
      <c r="L126" s="466">
        <v>0</v>
      </c>
    </row>
    <row r="127" spans="1:14" ht="12.75" customHeight="1" thickTop="1" thickBot="1" x14ac:dyDescent="0.25">
      <c r="A127" s="1642" t="s">
        <v>719</v>
      </c>
      <c r="B127" s="1643" t="s">
        <v>35</v>
      </c>
      <c r="C127" s="1644">
        <f>SUM(C122:C126)</f>
        <v>0</v>
      </c>
      <c r="D127" s="1644">
        <f t="shared" ref="D127:L127" si="14">SUM(D122:D126)</f>
        <v>0</v>
      </c>
      <c r="E127" s="1644">
        <f t="shared" si="14"/>
        <v>0</v>
      </c>
      <c r="F127" s="1644">
        <f t="shared" si="14"/>
        <v>0</v>
      </c>
      <c r="G127" s="1644">
        <f t="shared" si="14"/>
        <v>49054</v>
      </c>
      <c r="H127" s="1644">
        <f t="shared" si="14"/>
        <v>0</v>
      </c>
      <c r="I127" s="1644">
        <f t="shared" si="14"/>
        <v>0</v>
      </c>
      <c r="J127" s="1644">
        <f t="shared" si="14"/>
        <v>0</v>
      </c>
      <c r="K127" s="1644">
        <f t="shared" si="14"/>
        <v>49054</v>
      </c>
      <c r="L127" s="1644">
        <f t="shared" si="14"/>
        <v>0</v>
      </c>
    </row>
    <row r="128" spans="1:14" ht="12.75" customHeight="1" thickTop="1" x14ac:dyDescent="0.2">
      <c r="A128" s="1485" t="s">
        <v>980</v>
      </c>
      <c r="B128" s="652" t="s">
        <v>574</v>
      </c>
      <c r="C128" s="653">
        <v>0</v>
      </c>
      <c r="D128" s="653">
        <v>0</v>
      </c>
      <c r="E128" s="653">
        <v>0</v>
      </c>
      <c r="F128" s="653">
        <v>0</v>
      </c>
      <c r="G128" s="653">
        <v>0</v>
      </c>
      <c r="H128" s="653">
        <v>0</v>
      </c>
      <c r="I128" s="532">
        <v>0</v>
      </c>
      <c r="J128" s="532">
        <v>0</v>
      </c>
      <c r="K128" s="1659">
        <f>SUM(C128:J128)</f>
        <v>0</v>
      </c>
      <c r="L128" s="653">
        <v>0</v>
      </c>
    </row>
    <row r="129" spans="1:14" ht="12.75" customHeight="1" thickBot="1" x14ac:dyDescent="0.25">
      <c r="A129" s="1660" t="s">
        <v>811</v>
      </c>
      <c r="B129" s="1661" t="s">
        <v>569</v>
      </c>
      <c r="C129" s="1651">
        <f>SUM(C120,C127,C128)</f>
        <v>0</v>
      </c>
      <c r="D129" s="1651">
        <f t="shared" ref="D129:L129" si="15">SUM(D120,D127,D128)</f>
        <v>0</v>
      </c>
      <c r="E129" s="1651">
        <f t="shared" si="15"/>
        <v>0</v>
      </c>
      <c r="F129" s="1651">
        <f t="shared" si="15"/>
        <v>0</v>
      </c>
      <c r="G129" s="1651">
        <f t="shared" si="15"/>
        <v>49054</v>
      </c>
      <c r="H129" s="1651">
        <f t="shared" si="15"/>
        <v>0</v>
      </c>
      <c r="I129" s="1651">
        <f t="shared" si="15"/>
        <v>0</v>
      </c>
      <c r="J129" s="1651">
        <f t="shared" si="15"/>
        <v>0</v>
      </c>
      <c r="K129" s="1651">
        <f t="shared" si="15"/>
        <v>49054</v>
      </c>
      <c r="L129" s="1651">
        <f t="shared" si="15"/>
        <v>0</v>
      </c>
    </row>
    <row r="130" spans="1:14" ht="15.75" customHeight="1" thickTop="1" thickBot="1" x14ac:dyDescent="0.25">
      <c r="A130" s="1584" t="s">
        <v>1036</v>
      </c>
      <c r="B130" s="1585" t="s">
        <v>575</v>
      </c>
      <c r="C130" s="573">
        <v>0</v>
      </c>
      <c r="D130" s="573">
        <v>0</v>
      </c>
      <c r="E130" s="573">
        <v>0</v>
      </c>
      <c r="F130" s="573">
        <v>0</v>
      </c>
      <c r="G130" s="573">
        <v>0</v>
      </c>
      <c r="H130" s="573">
        <v>0</v>
      </c>
      <c r="I130" s="528">
        <v>0</v>
      </c>
      <c r="J130" s="528">
        <v>0</v>
      </c>
      <c r="K130" s="1644">
        <f>SUM(C130:J130)</f>
        <v>0</v>
      </c>
      <c r="L130" s="573">
        <v>0</v>
      </c>
    </row>
    <row r="131" spans="1:14" ht="15.75" customHeight="1" thickTop="1" x14ac:dyDescent="0.2">
      <c r="A131" s="1590" t="s">
        <v>616</v>
      </c>
      <c r="B131" s="1583"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64" t="s">
        <v>496</v>
      </c>
      <c r="B133" s="1815" t="s">
        <v>1838</v>
      </c>
      <c r="C133" s="468"/>
      <c r="D133" s="468"/>
      <c r="E133" s="638">
        <v>0</v>
      </c>
      <c r="F133" s="468"/>
      <c r="G133" s="468"/>
      <c r="H133" s="638">
        <v>0</v>
      </c>
      <c r="I133" s="468"/>
      <c r="J133" s="468"/>
      <c r="K133" s="1795">
        <f>SUM(E133,H133)</f>
        <v>0</v>
      </c>
      <c r="L133" s="638">
        <v>0</v>
      </c>
      <c r="M133" s="206"/>
      <c r="N133" s="206"/>
    </row>
    <row r="134" spans="1:14" x14ac:dyDescent="0.2">
      <c r="A134" s="1478" t="s">
        <v>304</v>
      </c>
      <c r="B134" s="611">
        <v>4120</v>
      </c>
      <c r="C134" s="613"/>
      <c r="D134" s="613"/>
      <c r="E134" s="476">
        <v>0</v>
      </c>
      <c r="F134" s="613"/>
      <c r="G134" s="613"/>
      <c r="H134" s="479">
        <v>0</v>
      </c>
      <c r="I134" s="475"/>
      <c r="J134" s="613"/>
      <c r="K134" s="1646">
        <f>SUM(E134,H134)</f>
        <v>0</v>
      </c>
      <c r="L134" s="479">
        <v>0</v>
      </c>
    </row>
    <row r="135" spans="1:14" x14ac:dyDescent="0.2">
      <c r="A135" s="1478" t="s">
        <v>697</v>
      </c>
      <c r="B135" s="611">
        <v>4140</v>
      </c>
      <c r="C135" s="613"/>
      <c r="D135" s="613"/>
      <c r="E135" s="467">
        <v>0</v>
      </c>
      <c r="F135" s="613"/>
      <c r="G135" s="613"/>
      <c r="H135" s="466">
        <v>0</v>
      </c>
      <c r="I135" s="475"/>
      <c r="J135" s="613"/>
      <c r="K135" s="1646">
        <f>SUM(E135,H135)</f>
        <v>0</v>
      </c>
      <c r="L135" s="466">
        <v>0</v>
      </c>
    </row>
    <row r="136" spans="1:14" x14ac:dyDescent="0.2">
      <c r="A136" s="1482" t="s">
        <v>698</v>
      </c>
      <c r="B136" s="625">
        <v>4190</v>
      </c>
      <c r="C136" s="613"/>
      <c r="D136" s="613"/>
      <c r="E136" s="467">
        <v>0</v>
      </c>
      <c r="F136" s="613"/>
      <c r="G136" s="613"/>
      <c r="H136" s="466">
        <v>0</v>
      </c>
      <c r="I136" s="475"/>
      <c r="J136" s="613"/>
      <c r="K136" s="1646">
        <f>SUM(E136,H136)</f>
        <v>0</v>
      </c>
      <c r="L136" s="466">
        <v>0</v>
      </c>
    </row>
    <row r="137" spans="1:14" ht="12.75" customHeight="1" thickBot="1" x14ac:dyDescent="0.25">
      <c r="A137" s="1642" t="s">
        <v>480</v>
      </c>
      <c r="B137" s="1652">
        <v>4100</v>
      </c>
      <c r="C137" s="613"/>
      <c r="D137" s="613"/>
      <c r="E137" s="1644">
        <f>SUM(E133:E136)</f>
        <v>0</v>
      </c>
      <c r="F137" s="613"/>
      <c r="G137" s="613"/>
      <c r="H137" s="1644">
        <f>SUM(H133:H136)</f>
        <v>0</v>
      </c>
      <c r="I137" s="475"/>
      <c r="J137" s="613"/>
      <c r="K137" s="1644">
        <f>SUM(K133:K136)</f>
        <v>0</v>
      </c>
      <c r="L137" s="1644">
        <f>SUM(L133:L136)</f>
        <v>0</v>
      </c>
    </row>
    <row r="138" spans="1:14" ht="12.75" customHeight="1" thickTop="1" thickBot="1" x14ac:dyDescent="0.25">
      <c r="A138" s="1484" t="s">
        <v>96</v>
      </c>
      <c r="B138" s="640" t="s">
        <v>931</v>
      </c>
      <c r="C138" s="613"/>
      <c r="D138" s="613"/>
      <c r="E138" s="573">
        <v>0</v>
      </c>
      <c r="F138" s="613"/>
      <c r="G138" s="613"/>
      <c r="H138" s="573">
        <v>0</v>
      </c>
      <c r="I138" s="475"/>
      <c r="J138" s="613"/>
      <c r="K138" s="1646">
        <f>SUM(E138,H138)</f>
        <v>0</v>
      </c>
      <c r="L138" s="573">
        <v>0</v>
      </c>
    </row>
    <row r="139" spans="1:14" ht="12.75" customHeight="1" thickTop="1" thickBot="1" x14ac:dyDescent="0.25">
      <c r="A139" s="1642" t="s">
        <v>1486</v>
      </c>
      <c r="B139" s="1652">
        <v>4000</v>
      </c>
      <c r="C139" s="613"/>
      <c r="D139" s="613"/>
      <c r="E139" s="1644">
        <f>SUM(E137,E138)</f>
        <v>0</v>
      </c>
      <c r="F139" s="613"/>
      <c r="G139" s="613"/>
      <c r="H139" s="1653">
        <f>SUM(H137:H138)</f>
        <v>0</v>
      </c>
      <c r="I139" s="475"/>
      <c r="J139" s="613"/>
      <c r="K139" s="1646">
        <f>SUM(K137,K138)</f>
        <v>0</v>
      </c>
      <c r="L139" s="1653">
        <f>SUM(L137,L138)</f>
        <v>0</v>
      </c>
    </row>
    <row r="140" spans="1:14" ht="15.75" customHeight="1" thickTop="1" x14ac:dyDescent="0.2">
      <c r="A140" s="1586" t="s">
        <v>1037</v>
      </c>
      <c r="B140" s="1587"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78" t="s">
        <v>87</v>
      </c>
      <c r="B142" s="611">
        <v>5110</v>
      </c>
      <c r="C142" s="613"/>
      <c r="D142" s="613"/>
      <c r="E142" s="613"/>
      <c r="F142" s="613"/>
      <c r="G142" s="613"/>
      <c r="H142" s="479">
        <v>0</v>
      </c>
      <c r="I142" s="468"/>
      <c r="J142" s="613"/>
      <c r="K142" s="1646">
        <f>SUM(H142)</f>
        <v>0</v>
      </c>
      <c r="L142" s="479">
        <v>0</v>
      </c>
    </row>
    <row r="143" spans="1:14" x14ac:dyDescent="0.2">
      <c r="A143" s="1478" t="s">
        <v>88</v>
      </c>
      <c r="B143" s="611">
        <v>5120</v>
      </c>
      <c r="C143" s="613"/>
      <c r="D143" s="613"/>
      <c r="E143" s="613"/>
      <c r="F143" s="613"/>
      <c r="G143" s="613"/>
      <c r="H143" s="466">
        <v>0</v>
      </c>
      <c r="I143" s="468"/>
      <c r="J143" s="613"/>
      <c r="K143" s="1646">
        <f>SUM(H143)</f>
        <v>0</v>
      </c>
      <c r="L143" s="466">
        <v>0</v>
      </c>
    </row>
    <row r="144" spans="1:14" ht="12.75" customHeight="1" x14ac:dyDescent="0.2">
      <c r="A144" s="1478" t="s">
        <v>1170</v>
      </c>
      <c r="B144" s="625" t="s">
        <v>617</v>
      </c>
      <c r="C144" s="613"/>
      <c r="D144" s="613"/>
      <c r="E144" s="613"/>
      <c r="F144" s="613"/>
      <c r="G144" s="613"/>
      <c r="H144" s="466">
        <v>0</v>
      </c>
      <c r="I144" s="468"/>
      <c r="J144" s="613"/>
      <c r="K144" s="1646">
        <f>SUM(H144)</f>
        <v>0</v>
      </c>
      <c r="L144" s="466">
        <v>0</v>
      </c>
    </row>
    <row r="145" spans="1:14" x14ac:dyDescent="0.2">
      <c r="A145" s="1478" t="s">
        <v>89</v>
      </c>
      <c r="B145" s="611" t="s">
        <v>589</v>
      </c>
      <c r="C145" s="613"/>
      <c r="D145" s="613"/>
      <c r="E145" s="613"/>
      <c r="F145" s="613"/>
      <c r="G145" s="613"/>
      <c r="H145" s="466">
        <v>0</v>
      </c>
      <c r="I145" s="468"/>
      <c r="J145" s="613"/>
      <c r="K145" s="1646">
        <f>SUM(H145)</f>
        <v>0</v>
      </c>
      <c r="L145" s="466">
        <v>0</v>
      </c>
    </row>
    <row r="146" spans="1:14" ht="12.75" customHeight="1" x14ac:dyDescent="0.2">
      <c r="A146" s="1478" t="s">
        <v>619</v>
      </c>
      <c r="B146" s="611" t="s">
        <v>618</v>
      </c>
      <c r="C146" s="613"/>
      <c r="D146" s="613"/>
      <c r="E146" s="613"/>
      <c r="F146" s="613"/>
      <c r="G146" s="613"/>
      <c r="H146" s="466">
        <v>0</v>
      </c>
      <c r="I146" s="468"/>
      <c r="J146" s="613"/>
      <c r="K146" s="1646">
        <f>SUM(H146)</f>
        <v>0</v>
      </c>
      <c r="L146" s="466">
        <v>0</v>
      </c>
    </row>
    <row r="147" spans="1:14" ht="12.75" customHeight="1" thickBot="1" x14ac:dyDescent="0.25">
      <c r="A147" s="1489" t="s">
        <v>626</v>
      </c>
      <c r="B147" s="656" t="s">
        <v>718</v>
      </c>
      <c r="C147" s="613"/>
      <c r="D147" s="613"/>
      <c r="E147" s="613"/>
      <c r="F147" s="613"/>
      <c r="G147" s="613"/>
      <c r="H147" s="1662">
        <f>SUM(H142:H146)</f>
        <v>0</v>
      </c>
      <c r="I147" s="468"/>
      <c r="J147" s="613"/>
      <c r="K147" s="1644">
        <f>SUM(K142:K146)</f>
        <v>0</v>
      </c>
      <c r="L147" s="1662">
        <f>SUM(L142:L146)</f>
        <v>0</v>
      </c>
    </row>
    <row r="148" spans="1:14" ht="15.75" customHeight="1" thickTop="1" x14ac:dyDescent="0.2">
      <c r="A148" s="657" t="s">
        <v>1103</v>
      </c>
      <c r="B148" s="658" t="s">
        <v>38</v>
      </c>
      <c r="C148" s="613"/>
      <c r="D148" s="613"/>
      <c r="E148" s="613"/>
      <c r="F148" s="613"/>
      <c r="G148" s="613"/>
      <c r="H148" s="477">
        <v>0</v>
      </c>
      <c r="I148" s="468"/>
      <c r="J148" s="613"/>
      <c r="K148" s="1646">
        <f>SUM(H148)</f>
        <v>0</v>
      </c>
      <c r="L148" s="489">
        <v>0</v>
      </c>
    </row>
    <row r="149" spans="1:14" ht="12.75" customHeight="1" thickBot="1" x14ac:dyDescent="0.25">
      <c r="A149" s="1481" t="s">
        <v>638</v>
      </c>
      <c r="B149" s="614" t="s">
        <v>492</v>
      </c>
      <c r="C149" s="613"/>
      <c r="D149" s="613"/>
      <c r="E149" s="613"/>
      <c r="F149" s="613"/>
      <c r="G149" s="613"/>
      <c r="H149" s="1644">
        <f>SUM(H147,H148)</f>
        <v>0</v>
      </c>
      <c r="I149" s="468"/>
      <c r="J149" s="613"/>
      <c r="K149" s="1644">
        <f>SUM(K147:K148)</f>
        <v>0</v>
      </c>
      <c r="L149" s="1644">
        <f>SUM(L142:L146,L148)</f>
        <v>0</v>
      </c>
    </row>
    <row r="150" spans="1:14" ht="15.75" customHeight="1" thickTop="1" thickBot="1" x14ac:dyDescent="0.25">
      <c r="A150" s="1580" t="s">
        <v>1038</v>
      </c>
      <c r="B150" s="1587" t="s">
        <v>861</v>
      </c>
      <c r="C150" s="613"/>
      <c r="D150" s="613"/>
      <c r="E150" s="613"/>
      <c r="F150" s="613"/>
      <c r="G150" s="613"/>
      <c r="H150" s="659"/>
      <c r="I150" s="518"/>
      <c r="J150" s="613"/>
      <c r="K150" s="620"/>
      <c r="L150" s="570">
        <v>0</v>
      </c>
    </row>
    <row r="151" spans="1:14" ht="12.75" customHeight="1" thickTop="1" thickBot="1" x14ac:dyDescent="0.25">
      <c r="A151" s="2373" t="s">
        <v>620</v>
      </c>
      <c r="B151" s="2353"/>
      <c r="C151" s="1644">
        <f>SUM(C129,C130,C139,C149,C150)</f>
        <v>0</v>
      </c>
      <c r="D151" s="1644">
        <f t="shared" ref="D151:K151" si="16">SUM(D129,D130,D139,D149,D150)</f>
        <v>0</v>
      </c>
      <c r="E151" s="1644">
        <f t="shared" si="16"/>
        <v>0</v>
      </c>
      <c r="F151" s="1644">
        <f t="shared" si="16"/>
        <v>0</v>
      </c>
      <c r="G151" s="1644">
        <f t="shared" si="16"/>
        <v>49054</v>
      </c>
      <c r="H151" s="1644">
        <f t="shared" si="16"/>
        <v>0</v>
      </c>
      <c r="I151" s="1644">
        <f t="shared" si="16"/>
        <v>0</v>
      </c>
      <c r="J151" s="1644">
        <f t="shared" si="16"/>
        <v>0</v>
      </c>
      <c r="K151" s="1644">
        <f t="shared" si="16"/>
        <v>49054</v>
      </c>
      <c r="L151" s="1644">
        <f>SUM(L129,L130,L139,L149,L150)</f>
        <v>0</v>
      </c>
    </row>
    <row r="152" spans="1:14" ht="12.75" customHeight="1" thickTop="1" x14ac:dyDescent="0.2">
      <c r="A152" s="2376" t="s">
        <v>1178</v>
      </c>
      <c r="B152" s="2377"/>
      <c r="C152" s="615"/>
      <c r="D152" s="615"/>
      <c r="E152" s="615"/>
      <c r="F152" s="615"/>
      <c r="G152" s="615"/>
      <c r="H152" s="615"/>
      <c r="I152" s="615"/>
      <c r="J152" s="613"/>
      <c r="K152" s="1658">
        <f>'Revenues 9-14'!D268-'Expenditures 15-22'!K151</f>
        <v>-49054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61" t="s">
        <v>621</v>
      </c>
      <c r="B154" s="2363"/>
      <c r="C154" s="1600"/>
      <c r="D154" s="1601"/>
      <c r="E154" s="1601"/>
      <c r="F154" s="1601"/>
      <c r="G154" s="1601"/>
      <c r="H154" s="1601"/>
      <c r="I154" s="1601"/>
      <c r="J154" s="1601"/>
      <c r="K154" s="1601"/>
      <c r="L154" s="1602"/>
      <c r="M154" s="664"/>
      <c r="N154" s="664"/>
    </row>
    <row r="155" spans="1:14" s="617" customFormat="1" ht="15.75" customHeight="1" thickBot="1" x14ac:dyDescent="0.25">
      <c r="A155" s="1591" t="s">
        <v>81</v>
      </c>
      <c r="B155" s="1592" t="s">
        <v>860</v>
      </c>
      <c r="C155" s="613"/>
      <c r="D155" s="613"/>
      <c r="E155" s="613"/>
      <c r="F155" s="613"/>
      <c r="G155" s="613"/>
      <c r="H155" s="1816"/>
      <c r="I155" s="613"/>
      <c r="J155" s="613"/>
      <c r="K155" s="1799"/>
      <c r="L155" s="1816"/>
      <c r="M155" s="616"/>
      <c r="N155" s="616"/>
    </row>
    <row r="156" spans="1:14" s="617" customFormat="1" ht="15.75" customHeight="1" thickTop="1" x14ac:dyDescent="0.2">
      <c r="A156" s="1796" t="s">
        <v>1839</v>
      </c>
      <c r="B156" s="1797"/>
      <c r="C156" s="613"/>
      <c r="D156" s="613"/>
      <c r="E156" s="613"/>
      <c r="F156" s="613"/>
      <c r="G156" s="613"/>
      <c r="H156" s="1817"/>
      <c r="I156" s="613"/>
      <c r="J156" s="613"/>
      <c r="K156" s="1798"/>
      <c r="L156" s="1817"/>
      <c r="M156" s="616"/>
      <c r="N156" s="616"/>
    </row>
    <row r="157" spans="1:14" s="617" customFormat="1" ht="12" x14ac:dyDescent="0.2">
      <c r="A157" s="1800" t="s">
        <v>496</v>
      </c>
      <c r="B157" s="1801" t="s">
        <v>1838</v>
      </c>
      <c r="C157" s="613"/>
      <c r="D157" s="613"/>
      <c r="E157" s="613"/>
      <c r="F157" s="613"/>
      <c r="G157" s="613"/>
      <c r="H157" s="638">
        <v>0</v>
      </c>
      <c r="I157" s="613"/>
      <c r="J157" s="613"/>
      <c r="K157" s="1645">
        <f>H157</f>
        <v>0</v>
      </c>
      <c r="L157" s="467">
        <v>0</v>
      </c>
      <c r="M157" s="616"/>
      <c r="N157" s="616"/>
    </row>
    <row r="158" spans="1:14" s="617" customFormat="1" ht="12" x14ac:dyDescent="0.2">
      <c r="A158" s="1800" t="s">
        <v>304</v>
      </c>
      <c r="B158" s="1801" t="s">
        <v>1840</v>
      </c>
      <c r="C158" s="613"/>
      <c r="D158" s="613"/>
      <c r="E158" s="613"/>
      <c r="F158" s="613"/>
      <c r="G158" s="613"/>
      <c r="H158" s="467">
        <v>0</v>
      </c>
      <c r="I158" s="613"/>
      <c r="J158" s="613"/>
      <c r="K158" s="1645">
        <f>H158</f>
        <v>0</v>
      </c>
      <c r="L158" s="467">
        <v>0</v>
      </c>
      <c r="M158" s="616"/>
      <c r="N158" s="616"/>
    </row>
    <row r="159" spans="1:14" s="617" customFormat="1" ht="12" x14ac:dyDescent="0.2">
      <c r="A159" s="1800" t="s">
        <v>1841</v>
      </c>
      <c r="B159" s="1801" t="s">
        <v>558</v>
      </c>
      <c r="C159" s="613"/>
      <c r="D159" s="613"/>
      <c r="E159" s="613"/>
      <c r="F159" s="613"/>
      <c r="G159" s="613"/>
      <c r="H159" s="467">
        <v>0</v>
      </c>
      <c r="I159" s="613"/>
      <c r="J159" s="613"/>
      <c r="K159" s="1645">
        <f>H159</f>
        <v>0</v>
      </c>
      <c r="L159" s="467">
        <v>0</v>
      </c>
      <c r="M159" s="616"/>
      <c r="N159" s="616"/>
    </row>
    <row r="160" spans="1:14" s="617" customFormat="1" ht="15.75" customHeight="1" thickBot="1" x14ac:dyDescent="0.25">
      <c r="A160" s="1802" t="s">
        <v>1842</v>
      </c>
      <c r="B160" s="1803" t="s">
        <v>860</v>
      </c>
      <c r="C160" s="613"/>
      <c r="D160" s="613"/>
      <c r="E160" s="613"/>
      <c r="F160" s="613"/>
      <c r="G160" s="613"/>
      <c r="H160" s="1662">
        <f>SUM(H157:H159)</f>
        <v>0</v>
      </c>
      <c r="I160" s="613"/>
      <c r="J160" s="613"/>
      <c r="K160" s="1644">
        <f>SUM(K157:K159)</f>
        <v>0</v>
      </c>
      <c r="L160" s="1662">
        <f>SUM(L157:L159)</f>
        <v>0</v>
      </c>
      <c r="M160" s="616"/>
      <c r="N160" s="616"/>
    </row>
    <row r="161" spans="1:14" s="259" customFormat="1" ht="15.75" customHeight="1" thickTop="1" x14ac:dyDescent="0.2">
      <c r="A161" s="1586" t="s">
        <v>82</v>
      </c>
      <c r="B161" s="1587"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78" t="s">
        <v>87</v>
      </c>
      <c r="B163" s="611">
        <v>5110</v>
      </c>
      <c r="C163" s="613"/>
      <c r="D163" s="613"/>
      <c r="E163" s="613"/>
      <c r="F163" s="613"/>
      <c r="G163" s="613"/>
      <c r="H163" s="466">
        <v>0</v>
      </c>
      <c r="I163" s="613"/>
      <c r="J163" s="613"/>
      <c r="K163" s="1645">
        <f>SUM(C163:J163)</f>
        <v>0</v>
      </c>
      <c r="L163" s="466">
        <v>0</v>
      </c>
    </row>
    <row r="164" spans="1:14" x14ac:dyDescent="0.2">
      <c r="A164" s="1478" t="s">
        <v>88</v>
      </c>
      <c r="B164" s="611">
        <v>5120</v>
      </c>
      <c r="C164" s="613"/>
      <c r="D164" s="613"/>
      <c r="E164" s="613"/>
      <c r="F164" s="613"/>
      <c r="G164" s="613"/>
      <c r="H164" s="466">
        <v>0</v>
      </c>
      <c r="I164" s="613"/>
      <c r="J164" s="613"/>
      <c r="K164" s="1645">
        <f>SUM(C164:J164)</f>
        <v>0</v>
      </c>
      <c r="L164" s="466">
        <v>0</v>
      </c>
    </row>
    <row r="165" spans="1:14" ht="12.75" customHeight="1" x14ac:dyDescent="0.2">
      <c r="A165" s="1478" t="s">
        <v>1170</v>
      </c>
      <c r="B165" s="611" t="s">
        <v>617</v>
      </c>
      <c r="C165" s="613"/>
      <c r="D165" s="613"/>
      <c r="E165" s="613"/>
      <c r="F165" s="613"/>
      <c r="G165" s="613"/>
      <c r="H165" s="466">
        <v>0</v>
      </c>
      <c r="I165" s="613"/>
      <c r="J165" s="613"/>
      <c r="K165" s="1645">
        <f>SUM(C165:J165)</f>
        <v>0</v>
      </c>
      <c r="L165" s="466">
        <v>0</v>
      </c>
    </row>
    <row r="166" spans="1:14" x14ac:dyDescent="0.2">
      <c r="A166" s="1478" t="s">
        <v>89</v>
      </c>
      <c r="B166" s="625" t="s">
        <v>589</v>
      </c>
      <c r="C166" s="613"/>
      <c r="D166" s="613"/>
      <c r="E166" s="613"/>
      <c r="F166" s="613"/>
      <c r="G166" s="613"/>
      <c r="H166" s="466">
        <v>0</v>
      </c>
      <c r="I166" s="613"/>
      <c r="J166" s="613"/>
      <c r="K166" s="1645">
        <f>SUM(C166:J166)</f>
        <v>0</v>
      </c>
      <c r="L166" s="466">
        <v>0</v>
      </c>
    </row>
    <row r="167" spans="1:14" ht="12.75" customHeight="1" x14ac:dyDescent="0.2">
      <c r="A167" s="1478" t="s">
        <v>619</v>
      </c>
      <c r="B167" s="611" t="s">
        <v>618</v>
      </c>
      <c r="C167" s="613"/>
      <c r="D167" s="613"/>
      <c r="E167" s="613"/>
      <c r="F167" s="613"/>
      <c r="G167" s="613"/>
      <c r="H167" s="466">
        <v>0</v>
      </c>
      <c r="I167" s="613"/>
      <c r="J167" s="613"/>
      <c r="K167" s="1645">
        <f>SUM(C167:J167)</f>
        <v>0</v>
      </c>
      <c r="L167" s="466">
        <v>0</v>
      </c>
    </row>
    <row r="168" spans="1:14" ht="13.5" thickBot="1" x14ac:dyDescent="0.25">
      <c r="A168" s="1642" t="s">
        <v>276</v>
      </c>
      <c r="B168" s="1649" t="s">
        <v>718</v>
      </c>
      <c r="C168" s="613"/>
      <c r="D168" s="613"/>
      <c r="E168" s="613"/>
      <c r="F168" s="613"/>
      <c r="G168" s="613"/>
      <c r="H168" s="1644">
        <f>SUM(H163:H167)</f>
        <v>0</v>
      </c>
      <c r="I168" s="613"/>
      <c r="J168" s="613"/>
      <c r="K168" s="1644">
        <f>SUM(K163:K167)</f>
        <v>0</v>
      </c>
      <c r="L168" s="1644">
        <f>SUM(L163:L167)</f>
        <v>0</v>
      </c>
    </row>
    <row r="169" spans="1:14" ht="15.75" customHeight="1" thickTop="1" x14ac:dyDescent="0.2">
      <c r="A169" s="666" t="s">
        <v>83</v>
      </c>
      <c r="B169" s="667" t="s">
        <v>38</v>
      </c>
      <c r="C169" s="613"/>
      <c r="D169" s="613"/>
      <c r="E169" s="613"/>
      <c r="F169" s="613"/>
      <c r="G169" s="613"/>
      <c r="H169" s="653">
        <v>0</v>
      </c>
      <c r="I169" s="613"/>
      <c r="J169" s="613"/>
      <c r="K169" s="1645">
        <f>SUM(C169:H169)</f>
        <v>0</v>
      </c>
      <c r="L169" s="653">
        <v>0</v>
      </c>
    </row>
    <row r="170" spans="1:14" ht="33.75" customHeight="1" x14ac:dyDescent="0.2">
      <c r="A170" s="666" t="s">
        <v>1669</v>
      </c>
      <c r="B170" s="668" t="s">
        <v>31</v>
      </c>
      <c r="C170" s="613"/>
      <c r="D170" s="613"/>
      <c r="E170" s="613"/>
      <c r="F170" s="613"/>
      <c r="G170" s="613"/>
      <c r="H170" s="566">
        <v>0</v>
      </c>
      <c r="I170" s="613"/>
      <c r="J170" s="613"/>
      <c r="K170" s="1645">
        <f>SUM(C170:J170)</f>
        <v>0</v>
      </c>
      <c r="L170" s="566">
        <v>0</v>
      </c>
    </row>
    <row r="171" spans="1:14" ht="15.75" customHeight="1" x14ac:dyDescent="0.2">
      <c r="A171" s="618" t="s">
        <v>766</v>
      </c>
      <c r="B171" s="669" t="s">
        <v>84</v>
      </c>
      <c r="C171" s="613"/>
      <c r="D171" s="613"/>
      <c r="E171" s="466">
        <v>0</v>
      </c>
      <c r="F171" s="613"/>
      <c r="G171" s="613"/>
      <c r="H171" s="566">
        <v>0</v>
      </c>
      <c r="I171" s="475"/>
      <c r="J171" s="613"/>
      <c r="K171" s="1645">
        <f>SUM(C171:J171)</f>
        <v>0</v>
      </c>
      <c r="L171" s="566">
        <v>0</v>
      </c>
    </row>
    <row r="172" spans="1:14" ht="12.75" customHeight="1" thickBot="1" x14ac:dyDescent="0.25">
      <c r="A172" s="1642" t="s">
        <v>638</v>
      </c>
      <c r="B172" s="1643" t="s">
        <v>492</v>
      </c>
      <c r="C172" s="613"/>
      <c r="D172" s="613"/>
      <c r="E172" s="1651">
        <f>SUM(E168,E169,E170,E171)</f>
        <v>0</v>
      </c>
      <c r="F172" s="613"/>
      <c r="G172" s="613"/>
      <c r="H172" s="1651">
        <f>SUM(H168,H169,H170,H171)</f>
        <v>0</v>
      </c>
      <c r="I172" s="635"/>
      <c r="J172" s="613"/>
      <c r="K172" s="1651">
        <f>SUM(K168,K169,K170,K171)</f>
        <v>0</v>
      </c>
      <c r="L172" s="1651">
        <f>SUM(L168,L169,L170,L171)</f>
        <v>0</v>
      </c>
    </row>
    <row r="173" spans="1:14" ht="15.75" customHeight="1" thickTop="1" thickBot="1" x14ac:dyDescent="0.25">
      <c r="A173" s="1593" t="s">
        <v>85</v>
      </c>
      <c r="B173" s="1585" t="s">
        <v>861</v>
      </c>
      <c r="C173" s="613"/>
      <c r="D173" s="613"/>
      <c r="E173" s="620"/>
      <c r="F173" s="613"/>
      <c r="G173" s="613"/>
      <c r="H173" s="623"/>
      <c r="I173" s="635"/>
      <c r="J173" s="613"/>
      <c r="K173" s="620"/>
      <c r="L173" s="573">
        <v>0</v>
      </c>
    </row>
    <row r="174" spans="1:14" ht="12.75" customHeight="1" thickTop="1" thickBot="1" x14ac:dyDescent="0.25">
      <c r="A174" s="1663" t="s">
        <v>90</v>
      </c>
      <c r="B174" s="1664"/>
      <c r="C174" s="613"/>
      <c r="D174" s="613"/>
      <c r="E174" s="1651">
        <f>SUM(E172,E173)</f>
        <v>0</v>
      </c>
      <c r="F174" s="613"/>
      <c r="G174" s="613"/>
      <c r="H174" s="1651">
        <f>SUM(H160,H172,H173)</f>
        <v>0</v>
      </c>
      <c r="I174" s="635"/>
      <c r="J174" s="613"/>
      <c r="K174" s="1651">
        <f>SUM(K160,K172,K173)</f>
        <v>0</v>
      </c>
      <c r="L174" s="1651">
        <f>SUM(L160,L172,L173)</f>
        <v>0</v>
      </c>
    </row>
    <row r="175" spans="1:14" ht="13.5" thickTop="1" x14ac:dyDescent="0.2">
      <c r="A175" s="2356" t="s">
        <v>996</v>
      </c>
      <c r="B175" s="2357"/>
      <c r="C175" s="613"/>
      <c r="D175" s="613"/>
      <c r="E175" s="613"/>
      <c r="F175" s="613"/>
      <c r="G175" s="613"/>
      <c r="H175" s="615"/>
      <c r="I175" s="613"/>
      <c r="J175" s="613"/>
      <c r="K175" s="1658">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28" t="s">
        <v>937</v>
      </c>
      <c r="B177" s="1529"/>
      <c r="C177" s="1525"/>
      <c r="D177" s="1526"/>
      <c r="E177" s="1526"/>
      <c r="F177" s="1526"/>
      <c r="G177" s="1526"/>
      <c r="H177" s="1526"/>
      <c r="I177" s="1526"/>
      <c r="J177" s="1526"/>
      <c r="K177" s="1526"/>
      <c r="L177" s="1527"/>
      <c r="M177" s="606"/>
      <c r="N177" s="606"/>
    </row>
    <row r="178" spans="1:14" s="671" customFormat="1" ht="15.75" customHeight="1" x14ac:dyDescent="0.2">
      <c r="A178" s="1594" t="s">
        <v>938</v>
      </c>
      <c r="B178" s="1595"/>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78" t="s">
        <v>2053</v>
      </c>
      <c r="B180" s="611" t="s">
        <v>716</v>
      </c>
      <c r="C180" s="466">
        <v>0</v>
      </c>
      <c r="D180" s="466">
        <v>0</v>
      </c>
      <c r="E180" s="466">
        <v>0</v>
      </c>
      <c r="F180" s="466">
        <v>0</v>
      </c>
      <c r="G180" s="466">
        <v>0</v>
      </c>
      <c r="H180" s="466">
        <v>0</v>
      </c>
      <c r="I180" s="467">
        <v>0</v>
      </c>
      <c r="J180" s="467">
        <v>0</v>
      </c>
      <c r="K180" s="1645">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78" t="s">
        <v>953</v>
      </c>
      <c r="B182" s="611">
        <v>2550</v>
      </c>
      <c r="C182" s="466">
        <v>0</v>
      </c>
      <c r="D182" s="466">
        <v>0</v>
      </c>
      <c r="E182" s="466">
        <v>63499</v>
      </c>
      <c r="F182" s="466">
        <v>901</v>
      </c>
      <c r="G182" s="466">
        <v>0</v>
      </c>
      <c r="H182" s="466">
        <v>0</v>
      </c>
      <c r="I182" s="467">
        <v>0</v>
      </c>
      <c r="J182" s="467">
        <v>0</v>
      </c>
      <c r="K182" s="1645">
        <f>SUM(C182:J182)</f>
        <v>64400</v>
      </c>
      <c r="L182" s="466">
        <v>60000</v>
      </c>
    </row>
    <row r="183" spans="1:14" ht="12.75" customHeight="1" thickBot="1" x14ac:dyDescent="0.25">
      <c r="A183" s="1483" t="s">
        <v>980</v>
      </c>
      <c r="B183" s="674">
        <v>2900</v>
      </c>
      <c r="C183" s="570">
        <v>0</v>
      </c>
      <c r="D183" s="570">
        <v>0</v>
      </c>
      <c r="E183" s="570">
        <v>0</v>
      </c>
      <c r="F183" s="570">
        <v>0</v>
      </c>
      <c r="G183" s="570">
        <v>0</v>
      </c>
      <c r="H183" s="570">
        <v>0</v>
      </c>
      <c r="I183" s="529">
        <v>0</v>
      </c>
      <c r="J183" s="529">
        <v>0</v>
      </c>
      <c r="K183" s="1651">
        <f>SUM(C183:J183)</f>
        <v>0</v>
      </c>
      <c r="L183" s="570">
        <v>0</v>
      </c>
    </row>
    <row r="184" spans="1:14" ht="12.75" customHeight="1" thickTop="1" thickBot="1" x14ac:dyDescent="0.25">
      <c r="A184" s="1665" t="s">
        <v>811</v>
      </c>
      <c r="B184" s="1643" t="s">
        <v>569</v>
      </c>
      <c r="C184" s="1651">
        <f>SUM(C180,C182,C183)</f>
        <v>0</v>
      </c>
      <c r="D184" s="1651">
        <f t="shared" ref="D184:J184" si="17">SUM(D180,D182,D183)</f>
        <v>0</v>
      </c>
      <c r="E184" s="1651">
        <f t="shared" si="17"/>
        <v>63499</v>
      </c>
      <c r="F184" s="1651">
        <f t="shared" si="17"/>
        <v>901</v>
      </c>
      <c r="G184" s="1651">
        <f t="shared" si="17"/>
        <v>0</v>
      </c>
      <c r="H184" s="1651">
        <f t="shared" si="17"/>
        <v>0</v>
      </c>
      <c r="I184" s="1651">
        <f t="shared" si="17"/>
        <v>0</v>
      </c>
      <c r="J184" s="1651">
        <f t="shared" si="17"/>
        <v>0</v>
      </c>
      <c r="K184" s="1651">
        <f>SUM(K180,K182,K183)</f>
        <v>64400</v>
      </c>
      <c r="L184" s="1651">
        <f>SUM(L180, L182:L183)</f>
        <v>60000</v>
      </c>
    </row>
    <row r="185" spans="1:14" ht="15.75" customHeight="1" thickTop="1" thickBot="1" x14ac:dyDescent="0.25">
      <c r="A185" s="1596" t="s">
        <v>939</v>
      </c>
      <c r="B185" s="1585">
        <v>3000</v>
      </c>
      <c r="C185" s="573">
        <v>0</v>
      </c>
      <c r="D185" s="573">
        <v>0</v>
      </c>
      <c r="E185" s="573">
        <v>0</v>
      </c>
      <c r="F185" s="573">
        <v>0</v>
      </c>
      <c r="G185" s="573">
        <v>0</v>
      </c>
      <c r="H185" s="573">
        <v>0</v>
      </c>
      <c r="I185" s="528">
        <v>0</v>
      </c>
      <c r="J185" s="528">
        <v>0</v>
      </c>
      <c r="K185" s="1644">
        <f>SUM(C185:J185)</f>
        <v>0</v>
      </c>
      <c r="L185" s="573">
        <v>0</v>
      </c>
    </row>
    <row r="186" spans="1:14" s="671" customFormat="1" ht="15.75" customHeight="1" thickTop="1" x14ac:dyDescent="0.2">
      <c r="A186" s="1580" t="s">
        <v>91</v>
      </c>
      <c r="B186" s="1583"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78" t="s">
        <v>496</v>
      </c>
      <c r="B188" s="611">
        <v>4110</v>
      </c>
      <c r="C188" s="613"/>
      <c r="D188" s="613"/>
      <c r="E188" s="466">
        <v>0</v>
      </c>
      <c r="F188" s="613"/>
      <c r="G188" s="613"/>
      <c r="H188" s="466">
        <v>0</v>
      </c>
      <c r="I188" s="475"/>
      <c r="J188" s="613"/>
      <c r="K188" s="1645">
        <f t="shared" ref="K188:K193" si="18">SUM(E188,H188)</f>
        <v>0</v>
      </c>
      <c r="L188" s="466">
        <v>0</v>
      </c>
    </row>
    <row r="189" spans="1:14" x14ac:dyDescent="0.2">
      <c r="A189" s="1478" t="s">
        <v>304</v>
      </c>
      <c r="B189" s="611">
        <v>4120</v>
      </c>
      <c r="C189" s="613"/>
      <c r="D189" s="613"/>
      <c r="E189" s="466">
        <v>0</v>
      </c>
      <c r="F189" s="613"/>
      <c r="G189" s="613"/>
      <c r="H189" s="466">
        <v>0</v>
      </c>
      <c r="I189" s="475"/>
      <c r="J189" s="613"/>
      <c r="K189" s="1645">
        <f t="shared" si="18"/>
        <v>0</v>
      </c>
      <c r="L189" s="466">
        <v>0</v>
      </c>
    </row>
    <row r="190" spans="1:14" x14ac:dyDescent="0.2">
      <c r="A190" s="1478" t="s">
        <v>305</v>
      </c>
      <c r="B190" s="625">
        <v>4130</v>
      </c>
      <c r="C190" s="613"/>
      <c r="D190" s="613"/>
      <c r="E190" s="466">
        <v>0</v>
      </c>
      <c r="F190" s="613"/>
      <c r="G190" s="613"/>
      <c r="H190" s="466">
        <v>0</v>
      </c>
      <c r="I190" s="475"/>
      <c r="J190" s="613"/>
      <c r="K190" s="1645">
        <f t="shared" si="18"/>
        <v>0</v>
      </c>
      <c r="L190" s="466">
        <v>0</v>
      </c>
    </row>
    <row r="191" spans="1:14" x14ac:dyDescent="0.2">
      <c r="A191" s="1478" t="s">
        <v>697</v>
      </c>
      <c r="B191" s="611">
        <v>4140</v>
      </c>
      <c r="C191" s="613"/>
      <c r="D191" s="613"/>
      <c r="E191" s="466">
        <v>0</v>
      </c>
      <c r="F191" s="613"/>
      <c r="G191" s="613"/>
      <c r="H191" s="466">
        <v>0</v>
      </c>
      <c r="I191" s="475"/>
      <c r="J191" s="613"/>
      <c r="K191" s="1645">
        <f t="shared" si="18"/>
        <v>0</v>
      </c>
      <c r="L191" s="466">
        <v>0</v>
      </c>
    </row>
    <row r="192" spans="1:14" x14ac:dyDescent="0.2">
      <c r="A192" s="1478" t="s">
        <v>86</v>
      </c>
      <c r="B192" s="611">
        <v>4170</v>
      </c>
      <c r="C192" s="613"/>
      <c r="D192" s="613"/>
      <c r="E192" s="466">
        <v>0</v>
      </c>
      <c r="F192" s="613"/>
      <c r="G192" s="613"/>
      <c r="H192" s="466">
        <v>0</v>
      </c>
      <c r="I192" s="475"/>
      <c r="J192" s="613"/>
      <c r="K192" s="1645">
        <f t="shared" si="18"/>
        <v>0</v>
      </c>
      <c r="L192" s="466">
        <v>0</v>
      </c>
    </row>
    <row r="193" spans="1:14" x14ac:dyDescent="0.2">
      <c r="A193" s="1482" t="s">
        <v>698</v>
      </c>
      <c r="B193" s="625">
        <v>4190</v>
      </c>
      <c r="C193" s="613"/>
      <c r="D193" s="613"/>
      <c r="E193" s="466">
        <v>0</v>
      </c>
      <c r="F193" s="613"/>
      <c r="G193" s="613"/>
      <c r="H193" s="466">
        <v>0</v>
      </c>
      <c r="I193" s="475"/>
      <c r="J193" s="613"/>
      <c r="K193" s="1645">
        <f t="shared" si="18"/>
        <v>0</v>
      </c>
      <c r="L193" s="466">
        <v>0</v>
      </c>
    </row>
    <row r="194" spans="1:14" ht="12.75" customHeight="1" thickBot="1" x14ac:dyDescent="0.25">
      <c r="A194" s="1642" t="s">
        <v>1140</v>
      </c>
      <c r="B194" s="1643" t="s">
        <v>559</v>
      </c>
      <c r="C194" s="613"/>
      <c r="D194" s="613"/>
      <c r="E194" s="1644">
        <f>SUM(E188:E193)</f>
        <v>0</v>
      </c>
      <c r="F194" s="613"/>
      <c r="G194" s="613"/>
      <c r="H194" s="1644">
        <f>SUM(H188:H193)</f>
        <v>0</v>
      </c>
      <c r="I194" s="475"/>
      <c r="J194" s="613"/>
      <c r="K194" s="1644">
        <f>SUM(K188:K193)</f>
        <v>0</v>
      </c>
      <c r="L194" s="1644">
        <f>SUM(L188:L193)</f>
        <v>0</v>
      </c>
    </row>
    <row r="195" spans="1:14" ht="15.75" customHeight="1" thickTop="1" x14ac:dyDescent="0.2">
      <c r="A195" s="666" t="s">
        <v>92</v>
      </c>
      <c r="B195" s="675" t="s">
        <v>931</v>
      </c>
      <c r="C195" s="613"/>
      <c r="D195" s="613"/>
      <c r="E195" s="653">
        <v>0</v>
      </c>
      <c r="F195" s="613"/>
      <c r="G195" s="613"/>
      <c r="H195" s="653">
        <v>0</v>
      </c>
      <c r="I195" s="475"/>
      <c r="J195" s="613"/>
      <c r="K195" s="1659">
        <f>SUM(E195,H195)</f>
        <v>0</v>
      </c>
      <c r="L195" s="653">
        <v>0</v>
      </c>
    </row>
    <row r="196" spans="1:14" ht="12.75" customHeight="1" thickBot="1" x14ac:dyDescent="0.25">
      <c r="A196" s="1642" t="s">
        <v>1486</v>
      </c>
      <c r="B196" s="1643" t="s">
        <v>860</v>
      </c>
      <c r="C196" s="613"/>
      <c r="D196" s="613"/>
      <c r="E196" s="1651">
        <f>SUM(E194,E195)</f>
        <v>0</v>
      </c>
      <c r="F196" s="613"/>
      <c r="G196" s="613"/>
      <c r="H196" s="1651">
        <f>SUM(H194,H195)</f>
        <v>0</v>
      </c>
      <c r="I196" s="475"/>
      <c r="J196" s="613"/>
      <c r="K196" s="1651">
        <f>SUM(K194,K195)</f>
        <v>0</v>
      </c>
      <c r="L196" s="1651">
        <f>SUM(L194,L195)</f>
        <v>0</v>
      </c>
    </row>
    <row r="197" spans="1:14" s="671" customFormat="1" ht="15.75" customHeight="1" thickTop="1" x14ac:dyDescent="0.2">
      <c r="A197" s="1586" t="s">
        <v>940</v>
      </c>
      <c r="B197" s="1583"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78" t="s">
        <v>87</v>
      </c>
      <c r="B199" s="611">
        <v>5110</v>
      </c>
      <c r="C199" s="613"/>
      <c r="D199" s="613"/>
      <c r="E199" s="613"/>
      <c r="F199" s="613"/>
      <c r="G199" s="613"/>
      <c r="H199" s="466">
        <v>0</v>
      </c>
      <c r="I199" s="613"/>
      <c r="J199" s="613"/>
      <c r="K199" s="1645">
        <f>SUM(H199)</f>
        <v>0</v>
      </c>
      <c r="L199" s="466">
        <v>0</v>
      </c>
    </row>
    <row r="200" spans="1:14" x14ac:dyDescent="0.2">
      <c r="A200" s="1478" t="s">
        <v>88</v>
      </c>
      <c r="B200" s="611">
        <v>5120</v>
      </c>
      <c r="C200" s="613"/>
      <c r="D200" s="613"/>
      <c r="E200" s="613"/>
      <c r="F200" s="613"/>
      <c r="G200" s="613"/>
      <c r="H200" s="466">
        <v>0</v>
      </c>
      <c r="I200" s="613"/>
      <c r="J200" s="613"/>
      <c r="K200" s="1645">
        <f>SUM(H200)</f>
        <v>0</v>
      </c>
      <c r="L200" s="466">
        <v>0</v>
      </c>
    </row>
    <row r="201" spans="1:14" ht="12.75" customHeight="1" x14ac:dyDescent="0.2">
      <c r="A201" s="1478" t="s">
        <v>1170</v>
      </c>
      <c r="B201" s="625" t="s">
        <v>617</v>
      </c>
      <c r="C201" s="613"/>
      <c r="D201" s="613"/>
      <c r="E201" s="613"/>
      <c r="F201" s="613"/>
      <c r="G201" s="613"/>
      <c r="H201" s="466">
        <v>0</v>
      </c>
      <c r="I201" s="613"/>
      <c r="J201" s="613"/>
      <c r="K201" s="1645">
        <f>SUM(H201)</f>
        <v>0</v>
      </c>
      <c r="L201" s="466">
        <v>0</v>
      </c>
    </row>
    <row r="202" spans="1:14" x14ac:dyDescent="0.2">
      <c r="A202" s="1478" t="s">
        <v>89</v>
      </c>
      <c r="B202" s="611" t="s">
        <v>589</v>
      </c>
      <c r="C202" s="613"/>
      <c r="D202" s="613"/>
      <c r="E202" s="613"/>
      <c r="F202" s="613"/>
      <c r="G202" s="613"/>
      <c r="H202" s="466">
        <v>0</v>
      </c>
      <c r="I202" s="613"/>
      <c r="J202" s="613"/>
      <c r="K202" s="1645">
        <f>SUM(H202)</f>
        <v>0</v>
      </c>
      <c r="L202" s="466">
        <v>0</v>
      </c>
    </row>
    <row r="203" spans="1:14" x14ac:dyDescent="0.2">
      <c r="A203" s="1490" t="s">
        <v>619</v>
      </c>
      <c r="B203" s="611" t="s">
        <v>618</v>
      </c>
      <c r="C203" s="613"/>
      <c r="D203" s="613"/>
      <c r="E203" s="613"/>
      <c r="F203" s="613"/>
      <c r="G203" s="613"/>
      <c r="H203" s="471">
        <v>0</v>
      </c>
      <c r="I203" s="613"/>
      <c r="J203" s="613"/>
      <c r="K203" s="1645">
        <f>SUM(H203)</f>
        <v>0</v>
      </c>
      <c r="L203" s="471">
        <v>0</v>
      </c>
    </row>
    <row r="204" spans="1:14" ht="13.5" thickBot="1" x14ac:dyDescent="0.25">
      <c r="A204" s="1642" t="s">
        <v>276</v>
      </c>
      <c r="B204" s="1643" t="s">
        <v>718</v>
      </c>
      <c r="C204" s="613"/>
      <c r="D204" s="613"/>
      <c r="E204" s="613"/>
      <c r="F204" s="613"/>
      <c r="G204" s="613"/>
      <c r="H204" s="1644">
        <f>SUM(H199:H203)</f>
        <v>0</v>
      </c>
      <c r="I204" s="613"/>
      <c r="J204" s="613"/>
      <c r="K204" s="1644">
        <f>SUM(K199:K203)</f>
        <v>0</v>
      </c>
      <c r="L204" s="1644">
        <f>SUM(L199:L203)</f>
        <v>0</v>
      </c>
    </row>
    <row r="205" spans="1:14" ht="15.75" customHeight="1" thickTop="1" x14ac:dyDescent="0.2">
      <c r="A205" s="676" t="s">
        <v>83</v>
      </c>
      <c r="B205" s="677" t="s">
        <v>38</v>
      </c>
      <c r="C205" s="613"/>
      <c r="D205" s="613"/>
      <c r="E205" s="613"/>
      <c r="F205" s="613"/>
      <c r="G205" s="613"/>
      <c r="H205" s="532">
        <v>0</v>
      </c>
      <c r="I205" s="613"/>
      <c r="J205" s="613"/>
      <c r="K205" s="1659">
        <f>SUM(H205)</f>
        <v>0</v>
      </c>
      <c r="L205" s="532">
        <v>0</v>
      </c>
    </row>
    <row r="206" spans="1:14" ht="30" customHeight="1" x14ac:dyDescent="0.2">
      <c r="A206" s="678" t="s">
        <v>1670</v>
      </c>
      <c r="B206" s="669" t="s">
        <v>31</v>
      </c>
      <c r="C206" s="613"/>
      <c r="D206" s="613"/>
      <c r="E206" s="613"/>
      <c r="F206" s="613"/>
      <c r="G206" s="613"/>
      <c r="H206" s="466">
        <v>0</v>
      </c>
      <c r="I206" s="613"/>
      <c r="J206" s="613"/>
      <c r="K206" s="1645">
        <f>SUM(H206)</f>
        <v>0</v>
      </c>
      <c r="L206" s="466">
        <v>0</v>
      </c>
    </row>
    <row r="207" spans="1:14" ht="15.75" customHeight="1" x14ac:dyDescent="0.2">
      <c r="A207" s="618" t="s">
        <v>766</v>
      </c>
      <c r="B207" s="669" t="s">
        <v>84</v>
      </c>
      <c r="C207" s="613"/>
      <c r="D207" s="613"/>
      <c r="E207" s="613"/>
      <c r="F207" s="613"/>
      <c r="G207" s="613"/>
      <c r="H207" s="467">
        <v>0</v>
      </c>
      <c r="I207" s="613"/>
      <c r="J207" s="613"/>
      <c r="K207" s="1645">
        <f>H207</f>
        <v>0</v>
      </c>
      <c r="L207" s="466">
        <v>0</v>
      </c>
    </row>
    <row r="208" spans="1:14" ht="12.75" customHeight="1" thickBot="1" x14ac:dyDescent="0.25">
      <c r="A208" s="1660" t="s">
        <v>638</v>
      </c>
      <c r="B208" s="1661" t="s">
        <v>492</v>
      </c>
      <c r="C208" s="613"/>
      <c r="D208" s="613"/>
      <c r="E208" s="613"/>
      <c r="F208" s="613"/>
      <c r="G208" s="613"/>
      <c r="H208" s="1651">
        <f>SUM(H204,H205,H206,H207)</f>
        <v>0</v>
      </c>
      <c r="I208" s="613"/>
      <c r="J208" s="613"/>
      <c r="K208" s="1651">
        <f>SUM(K204,K205,K206,K207)</f>
        <v>0</v>
      </c>
      <c r="L208" s="1651">
        <f>SUM(L204,L205,L206,L207)</f>
        <v>0</v>
      </c>
    </row>
    <row r="209" spans="1:14" ht="15.75" customHeight="1" thickTop="1" thickBot="1" x14ac:dyDescent="0.25">
      <c r="A209" s="1580" t="s">
        <v>872</v>
      </c>
      <c r="B209" s="1587" t="s">
        <v>861</v>
      </c>
      <c r="C209" s="620"/>
      <c r="D209" s="620"/>
      <c r="E209" s="620"/>
      <c r="F209" s="620"/>
      <c r="G209" s="620"/>
      <c r="H209" s="620"/>
      <c r="I209" s="613"/>
      <c r="J209" s="613"/>
      <c r="K209" s="620"/>
      <c r="L209" s="573">
        <v>0</v>
      </c>
    </row>
    <row r="210" spans="1:14" ht="12.75" customHeight="1" thickTop="1" thickBot="1" x14ac:dyDescent="0.25">
      <c r="A210" s="1666" t="s">
        <v>277</v>
      </c>
      <c r="B210" s="1667"/>
      <c r="C210" s="1644">
        <f>SUM(C184,C185)</f>
        <v>0</v>
      </c>
      <c r="D210" s="1644">
        <f>SUM(D184,D185)</f>
        <v>0</v>
      </c>
      <c r="E210" s="1644">
        <f>SUM(E184,E185,E196)</f>
        <v>63499</v>
      </c>
      <c r="F210" s="1644">
        <f>SUM(F184,F185)</f>
        <v>901</v>
      </c>
      <c r="G210" s="1644">
        <f>SUM(G184,G185)</f>
        <v>0</v>
      </c>
      <c r="H210" s="1644">
        <f>SUM(H184,H185,H196,H208,H209)</f>
        <v>0</v>
      </c>
      <c r="I210" s="1644">
        <f>SUM(I184,I185)</f>
        <v>0</v>
      </c>
      <c r="J210" s="1644">
        <f>SUM(J184,J185)</f>
        <v>0</v>
      </c>
      <c r="K210" s="1645">
        <f>SUM(K184,K185,K196,K208,K209)</f>
        <v>64400</v>
      </c>
      <c r="L210" s="1644">
        <f>SUM(L184,L185,L196,L208,L209)</f>
        <v>60000</v>
      </c>
    </row>
    <row r="211" spans="1:14" ht="13.5" thickTop="1" x14ac:dyDescent="0.2">
      <c r="A211" s="2356" t="s">
        <v>996</v>
      </c>
      <c r="B211" s="2357"/>
      <c r="C211" s="615"/>
      <c r="D211" s="615"/>
      <c r="E211" s="615"/>
      <c r="F211" s="615"/>
      <c r="G211" s="615"/>
      <c r="H211" s="615"/>
      <c r="I211" s="613"/>
      <c r="J211" s="613"/>
      <c r="K211" s="1658">
        <f>'Revenues 9-14'!F268-'Expenditures 15-22'!K210</f>
        <v>-20782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78" t="s">
        <v>965</v>
      </c>
      <c r="B213" s="2379"/>
      <c r="C213" s="1525"/>
      <c r="D213" s="1526"/>
      <c r="E213" s="1526"/>
      <c r="F213" s="1526"/>
      <c r="G213" s="1526"/>
      <c r="H213" s="1526"/>
      <c r="I213" s="1526"/>
      <c r="J213" s="1526"/>
      <c r="K213" s="1526"/>
      <c r="L213" s="1527"/>
      <c r="M213" s="606"/>
      <c r="N213" s="606"/>
    </row>
    <row r="214" spans="1:14" s="671" customFormat="1" ht="15.75" customHeight="1" x14ac:dyDescent="0.2">
      <c r="A214" s="1597" t="s">
        <v>873</v>
      </c>
      <c r="B214" s="1589" t="s">
        <v>570</v>
      </c>
      <c r="C214" s="613"/>
      <c r="D214" s="620"/>
      <c r="E214" s="613"/>
      <c r="F214" s="613"/>
      <c r="G214" s="613"/>
      <c r="H214" s="613"/>
      <c r="I214" s="613"/>
      <c r="J214" s="613"/>
      <c r="K214" s="620"/>
      <c r="L214" s="620"/>
      <c r="M214" s="662"/>
      <c r="N214" s="662"/>
    </row>
    <row r="215" spans="1:14" x14ac:dyDescent="0.2">
      <c r="A215" s="1478" t="s">
        <v>961</v>
      </c>
      <c r="B215" s="611">
        <v>1100</v>
      </c>
      <c r="C215" s="613"/>
      <c r="D215" s="466">
        <v>0</v>
      </c>
      <c r="E215" s="613"/>
      <c r="F215" s="613"/>
      <c r="G215" s="613"/>
      <c r="H215" s="613"/>
      <c r="I215" s="613"/>
      <c r="J215" s="613"/>
      <c r="K215" s="1645">
        <f>D215</f>
        <v>0</v>
      </c>
      <c r="L215" s="466">
        <v>0</v>
      </c>
    </row>
    <row r="216" spans="1:14" x14ac:dyDescent="0.2">
      <c r="A216" s="1478" t="s">
        <v>163</v>
      </c>
      <c r="B216" s="611" t="s">
        <v>967</v>
      </c>
      <c r="C216" s="613"/>
      <c r="D216" s="467">
        <v>0</v>
      </c>
      <c r="E216" s="613"/>
      <c r="F216" s="613"/>
      <c r="G216" s="613"/>
      <c r="H216" s="613"/>
      <c r="I216" s="613"/>
      <c r="J216" s="613"/>
      <c r="K216" s="1645">
        <f t="shared" ref="K216:K228" si="19">D216</f>
        <v>0</v>
      </c>
      <c r="L216" s="466">
        <v>0</v>
      </c>
    </row>
    <row r="217" spans="1:14" x14ac:dyDescent="0.2">
      <c r="A217" s="1478" t="s">
        <v>164</v>
      </c>
      <c r="B217" s="611">
        <v>1200</v>
      </c>
      <c r="C217" s="613"/>
      <c r="D217" s="466">
        <v>0</v>
      </c>
      <c r="E217" s="613"/>
      <c r="F217" s="613"/>
      <c r="G217" s="613"/>
      <c r="H217" s="613"/>
      <c r="I217" s="613"/>
      <c r="J217" s="613"/>
      <c r="K217" s="1645">
        <f t="shared" si="19"/>
        <v>0</v>
      </c>
      <c r="L217" s="466">
        <v>0</v>
      </c>
    </row>
    <row r="218" spans="1:14" x14ac:dyDescent="0.2">
      <c r="A218" s="1478" t="s">
        <v>278</v>
      </c>
      <c r="B218" s="611" t="s">
        <v>968</v>
      </c>
      <c r="C218" s="613"/>
      <c r="D218" s="467">
        <v>0</v>
      </c>
      <c r="E218" s="613"/>
      <c r="F218" s="613"/>
      <c r="G218" s="613"/>
      <c r="H218" s="613"/>
      <c r="I218" s="613"/>
      <c r="J218" s="613"/>
      <c r="K218" s="1645">
        <f t="shared" si="19"/>
        <v>0</v>
      </c>
      <c r="L218" s="466">
        <v>0</v>
      </c>
    </row>
    <row r="219" spans="1:14" x14ac:dyDescent="0.2">
      <c r="A219" s="1478" t="s">
        <v>279</v>
      </c>
      <c r="B219" s="611">
        <v>1250</v>
      </c>
      <c r="C219" s="613"/>
      <c r="D219" s="466">
        <v>0</v>
      </c>
      <c r="E219" s="613"/>
      <c r="F219" s="613"/>
      <c r="G219" s="613"/>
      <c r="H219" s="613"/>
      <c r="I219" s="613"/>
      <c r="J219" s="613"/>
      <c r="K219" s="1645">
        <f t="shared" si="19"/>
        <v>0</v>
      </c>
      <c r="L219" s="466">
        <v>0</v>
      </c>
    </row>
    <row r="220" spans="1:14" x14ac:dyDescent="0.2">
      <c r="A220" s="1478" t="s">
        <v>280</v>
      </c>
      <c r="B220" s="611" t="s">
        <v>161</v>
      </c>
      <c r="C220" s="613"/>
      <c r="D220" s="467">
        <v>0</v>
      </c>
      <c r="E220" s="613"/>
      <c r="F220" s="613"/>
      <c r="G220" s="613"/>
      <c r="H220" s="613"/>
      <c r="I220" s="613"/>
      <c r="J220" s="613"/>
      <c r="K220" s="1645">
        <f t="shared" si="19"/>
        <v>0</v>
      </c>
      <c r="L220" s="466">
        <v>0</v>
      </c>
    </row>
    <row r="221" spans="1:14" x14ac:dyDescent="0.2">
      <c r="A221" s="1478" t="s">
        <v>962</v>
      </c>
      <c r="B221" s="611">
        <v>1300</v>
      </c>
      <c r="C221" s="613"/>
      <c r="D221" s="466">
        <v>0</v>
      </c>
      <c r="E221" s="613"/>
      <c r="F221" s="613"/>
      <c r="G221" s="613"/>
      <c r="H221" s="613"/>
      <c r="I221" s="613"/>
      <c r="J221" s="613"/>
      <c r="K221" s="1645">
        <f t="shared" si="19"/>
        <v>0</v>
      </c>
      <c r="L221" s="466">
        <v>0</v>
      </c>
    </row>
    <row r="222" spans="1:14" x14ac:dyDescent="0.2">
      <c r="A222" s="1478" t="s">
        <v>723</v>
      </c>
      <c r="B222" s="611">
        <v>1400</v>
      </c>
      <c r="C222" s="613"/>
      <c r="D222" s="466">
        <v>0</v>
      </c>
      <c r="E222" s="613"/>
      <c r="F222" s="613"/>
      <c r="G222" s="613"/>
      <c r="H222" s="613"/>
      <c r="I222" s="613"/>
      <c r="J222" s="613"/>
      <c r="K222" s="1645">
        <f t="shared" si="19"/>
        <v>0</v>
      </c>
      <c r="L222" s="466">
        <v>0</v>
      </c>
    </row>
    <row r="223" spans="1:14" x14ac:dyDescent="0.2">
      <c r="A223" s="1478" t="s">
        <v>963</v>
      </c>
      <c r="B223" s="611">
        <v>1500</v>
      </c>
      <c r="C223" s="613"/>
      <c r="D223" s="466">
        <v>0</v>
      </c>
      <c r="E223" s="613"/>
      <c r="F223" s="613"/>
      <c r="G223" s="613"/>
      <c r="H223" s="613"/>
      <c r="I223" s="613"/>
      <c r="J223" s="613"/>
      <c r="K223" s="1645">
        <f t="shared" si="19"/>
        <v>0</v>
      </c>
      <c r="L223" s="466">
        <v>0</v>
      </c>
    </row>
    <row r="224" spans="1:14" x14ac:dyDescent="0.2">
      <c r="A224" s="1478" t="s">
        <v>964</v>
      </c>
      <c r="B224" s="611">
        <v>1600</v>
      </c>
      <c r="C224" s="613"/>
      <c r="D224" s="466">
        <v>0</v>
      </c>
      <c r="E224" s="613"/>
      <c r="F224" s="613"/>
      <c r="G224" s="613"/>
      <c r="H224" s="613"/>
      <c r="I224" s="613"/>
      <c r="J224" s="613"/>
      <c r="K224" s="1645">
        <f t="shared" si="19"/>
        <v>0</v>
      </c>
      <c r="L224" s="466">
        <v>0</v>
      </c>
    </row>
    <row r="225" spans="1:12" x14ac:dyDescent="0.2">
      <c r="A225" s="1478" t="s">
        <v>987</v>
      </c>
      <c r="B225" s="611">
        <v>1650</v>
      </c>
      <c r="C225" s="613"/>
      <c r="D225" s="466">
        <v>0</v>
      </c>
      <c r="E225" s="613"/>
      <c r="F225" s="613"/>
      <c r="G225" s="613"/>
      <c r="H225" s="613"/>
      <c r="I225" s="613"/>
      <c r="J225" s="613"/>
      <c r="K225" s="1645">
        <f t="shared" si="19"/>
        <v>0</v>
      </c>
      <c r="L225" s="466">
        <v>0</v>
      </c>
    </row>
    <row r="226" spans="1:12" x14ac:dyDescent="0.2">
      <c r="A226" s="1478" t="s">
        <v>724</v>
      </c>
      <c r="B226" s="611" t="s">
        <v>162</v>
      </c>
      <c r="C226" s="613"/>
      <c r="D226" s="467">
        <v>0</v>
      </c>
      <c r="E226" s="613"/>
      <c r="F226" s="613"/>
      <c r="G226" s="613"/>
      <c r="H226" s="613"/>
      <c r="I226" s="613"/>
      <c r="J226" s="613"/>
      <c r="K226" s="1645">
        <f t="shared" si="19"/>
        <v>0</v>
      </c>
      <c r="L226" s="466">
        <v>0</v>
      </c>
    </row>
    <row r="227" spans="1:12" x14ac:dyDescent="0.2">
      <c r="A227" s="1478" t="s">
        <v>1087</v>
      </c>
      <c r="B227" s="611">
        <v>1800</v>
      </c>
      <c r="C227" s="613"/>
      <c r="D227" s="466">
        <v>0</v>
      </c>
      <c r="E227" s="613"/>
      <c r="F227" s="613"/>
      <c r="G227" s="613"/>
      <c r="H227" s="613"/>
      <c r="I227" s="613"/>
      <c r="J227" s="613"/>
      <c r="K227" s="1645">
        <f t="shared" si="19"/>
        <v>0</v>
      </c>
      <c r="L227" s="466">
        <v>0</v>
      </c>
    </row>
    <row r="228" spans="1:12" x14ac:dyDescent="0.2">
      <c r="A228" s="1478" t="s">
        <v>1088</v>
      </c>
      <c r="B228" s="611">
        <v>1900</v>
      </c>
      <c r="C228" s="613"/>
      <c r="D228" s="466">
        <v>0</v>
      </c>
      <c r="E228" s="613"/>
      <c r="F228" s="613"/>
      <c r="G228" s="613"/>
      <c r="H228" s="613"/>
      <c r="I228" s="613"/>
      <c r="J228" s="613"/>
      <c r="K228" s="1645">
        <f t="shared" si="19"/>
        <v>0</v>
      </c>
      <c r="L228" s="466">
        <v>0</v>
      </c>
    </row>
    <row r="229" spans="1:12" ht="12.75" customHeight="1" thickBot="1" x14ac:dyDescent="0.25">
      <c r="A229" s="1642" t="s">
        <v>715</v>
      </c>
      <c r="B229" s="1649" t="s">
        <v>570</v>
      </c>
      <c r="C229" s="613"/>
      <c r="D229" s="1644">
        <f>SUM(D215:D228)</f>
        <v>0</v>
      </c>
      <c r="E229" s="613"/>
      <c r="F229" s="613"/>
      <c r="G229" s="613"/>
      <c r="H229" s="613"/>
      <c r="I229" s="613"/>
      <c r="J229" s="613"/>
      <c r="K229" s="1644">
        <f>SUM(K215:K228)</f>
        <v>0</v>
      </c>
      <c r="L229" s="1644">
        <f>SUM(L215:L228)</f>
        <v>0</v>
      </c>
    </row>
    <row r="230" spans="1:12" ht="15.75" customHeight="1" thickTop="1" x14ac:dyDescent="0.2">
      <c r="A230" s="1586" t="s">
        <v>874</v>
      </c>
      <c r="B230" s="1587"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78" t="s">
        <v>1089</v>
      </c>
      <c r="B232" s="611">
        <v>2110</v>
      </c>
      <c r="C232" s="613"/>
      <c r="D232" s="466">
        <v>0</v>
      </c>
      <c r="E232" s="613"/>
      <c r="F232" s="613"/>
      <c r="G232" s="613"/>
      <c r="H232" s="613"/>
      <c r="I232" s="613"/>
      <c r="J232" s="613"/>
      <c r="K232" s="1645">
        <f t="shared" ref="K232:K237" si="20">D232</f>
        <v>0</v>
      </c>
      <c r="L232" s="466">
        <v>0</v>
      </c>
    </row>
    <row r="233" spans="1:12" x14ac:dyDescent="0.2">
      <c r="A233" s="1478" t="s">
        <v>1090</v>
      </c>
      <c r="B233" s="611">
        <v>2120</v>
      </c>
      <c r="C233" s="613"/>
      <c r="D233" s="466">
        <v>0</v>
      </c>
      <c r="E233" s="613"/>
      <c r="F233" s="613"/>
      <c r="G233" s="613"/>
      <c r="H233" s="613"/>
      <c r="I233" s="613"/>
      <c r="J233" s="613"/>
      <c r="K233" s="1645">
        <f t="shared" si="20"/>
        <v>0</v>
      </c>
      <c r="L233" s="466">
        <v>0</v>
      </c>
    </row>
    <row r="234" spans="1:12" x14ac:dyDescent="0.2">
      <c r="A234" s="1478" t="s">
        <v>198</v>
      </c>
      <c r="B234" s="611">
        <v>2130</v>
      </c>
      <c r="C234" s="613"/>
      <c r="D234" s="466">
        <v>0</v>
      </c>
      <c r="E234" s="613"/>
      <c r="F234" s="613"/>
      <c r="G234" s="613"/>
      <c r="H234" s="613"/>
      <c r="I234" s="613"/>
      <c r="J234" s="613"/>
      <c r="K234" s="1645">
        <f t="shared" si="20"/>
        <v>0</v>
      </c>
      <c r="L234" s="466">
        <v>0</v>
      </c>
    </row>
    <row r="235" spans="1:12" x14ac:dyDescent="0.2">
      <c r="A235" s="1478" t="s">
        <v>199</v>
      </c>
      <c r="B235" s="611">
        <v>2140</v>
      </c>
      <c r="C235" s="613"/>
      <c r="D235" s="466">
        <v>0</v>
      </c>
      <c r="E235" s="613"/>
      <c r="F235" s="613"/>
      <c r="G235" s="613"/>
      <c r="H235" s="613"/>
      <c r="I235" s="613"/>
      <c r="J235" s="613"/>
      <c r="K235" s="1645">
        <f t="shared" si="20"/>
        <v>0</v>
      </c>
      <c r="L235" s="466">
        <v>0</v>
      </c>
    </row>
    <row r="236" spans="1:12" x14ac:dyDescent="0.2">
      <c r="A236" s="1478" t="s">
        <v>200</v>
      </c>
      <c r="B236" s="611">
        <v>2150</v>
      </c>
      <c r="C236" s="613"/>
      <c r="D236" s="466">
        <v>0</v>
      </c>
      <c r="E236" s="613"/>
      <c r="F236" s="613"/>
      <c r="G236" s="613"/>
      <c r="H236" s="613"/>
      <c r="I236" s="613"/>
      <c r="J236" s="613"/>
      <c r="K236" s="1645">
        <f t="shared" si="20"/>
        <v>0</v>
      </c>
      <c r="L236" s="466">
        <v>0</v>
      </c>
    </row>
    <row r="237" spans="1:12" x14ac:dyDescent="0.2">
      <c r="A237" s="1478" t="s">
        <v>165</v>
      </c>
      <c r="B237" s="611">
        <v>2190</v>
      </c>
      <c r="C237" s="613"/>
      <c r="D237" s="466">
        <v>0</v>
      </c>
      <c r="E237" s="613"/>
      <c r="F237" s="613"/>
      <c r="G237" s="613"/>
      <c r="H237" s="613"/>
      <c r="I237" s="613"/>
      <c r="J237" s="613"/>
      <c r="K237" s="1645">
        <f t="shared" si="20"/>
        <v>0</v>
      </c>
      <c r="L237" s="466">
        <v>0</v>
      </c>
    </row>
    <row r="238" spans="1:12" ht="12.75" customHeight="1" thickBot="1" x14ac:dyDescent="0.25">
      <c r="A238" s="1642" t="s">
        <v>560</v>
      </c>
      <c r="B238" s="1649" t="s">
        <v>716</v>
      </c>
      <c r="C238" s="613"/>
      <c r="D238" s="1644">
        <f>SUM(D232:D237)</f>
        <v>0</v>
      </c>
      <c r="E238" s="613"/>
      <c r="F238" s="613"/>
      <c r="G238" s="613"/>
      <c r="H238" s="613"/>
      <c r="I238" s="613"/>
      <c r="J238" s="613"/>
      <c r="K238" s="1644">
        <f>SUM(K232:K237)</f>
        <v>0</v>
      </c>
      <c r="L238" s="1644">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78" t="s">
        <v>814</v>
      </c>
      <c r="B240" s="611">
        <v>2210</v>
      </c>
      <c r="C240" s="613"/>
      <c r="D240" s="479">
        <v>0</v>
      </c>
      <c r="E240" s="613"/>
      <c r="F240" s="613"/>
      <c r="G240" s="613"/>
      <c r="H240" s="613"/>
      <c r="I240" s="613"/>
      <c r="J240" s="613"/>
      <c r="K240" s="1646">
        <f>D240</f>
        <v>0</v>
      </c>
      <c r="L240" s="479">
        <v>0</v>
      </c>
    </row>
    <row r="241" spans="1:12" x14ac:dyDescent="0.2">
      <c r="A241" s="1478" t="s">
        <v>815</v>
      </c>
      <c r="B241" s="611">
        <v>2220</v>
      </c>
      <c r="C241" s="613"/>
      <c r="D241" s="466">
        <v>0</v>
      </c>
      <c r="E241" s="613"/>
      <c r="F241" s="613"/>
      <c r="G241" s="613"/>
      <c r="H241" s="613"/>
      <c r="I241" s="613"/>
      <c r="J241" s="613"/>
      <c r="K241" s="1646">
        <f>D241</f>
        <v>0</v>
      </c>
      <c r="L241" s="466">
        <v>0</v>
      </c>
    </row>
    <row r="242" spans="1:12" x14ac:dyDescent="0.2">
      <c r="A242" s="1478" t="s">
        <v>816</v>
      </c>
      <c r="B242" s="611">
        <v>2230</v>
      </c>
      <c r="C242" s="613"/>
      <c r="D242" s="466">
        <v>0</v>
      </c>
      <c r="E242" s="613"/>
      <c r="F242" s="613"/>
      <c r="G242" s="613"/>
      <c r="H242" s="613"/>
      <c r="I242" s="613"/>
      <c r="J242" s="613"/>
      <c r="K242" s="1646">
        <f>D242</f>
        <v>0</v>
      </c>
      <c r="L242" s="466">
        <v>0</v>
      </c>
    </row>
    <row r="243" spans="1:12" ht="12.75" customHeight="1" thickBot="1" x14ac:dyDescent="0.25">
      <c r="A243" s="1668" t="s">
        <v>561</v>
      </c>
      <c r="B243" s="1669">
        <v>2200</v>
      </c>
      <c r="C243" s="613"/>
      <c r="D243" s="1644">
        <f>SUM(D240:D242)</f>
        <v>0</v>
      </c>
      <c r="E243" s="613"/>
      <c r="F243" s="613"/>
      <c r="G243" s="613"/>
      <c r="H243" s="613"/>
      <c r="I243" s="613"/>
      <c r="J243" s="613"/>
      <c r="K243" s="1644">
        <f>SUM(K240:K242)</f>
        <v>0</v>
      </c>
      <c r="L243" s="1644">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78" t="s">
        <v>817</v>
      </c>
      <c r="B245" s="611">
        <v>2310</v>
      </c>
      <c r="C245" s="613"/>
      <c r="D245" s="479">
        <v>0</v>
      </c>
      <c r="E245" s="613"/>
      <c r="F245" s="613"/>
      <c r="G245" s="613"/>
      <c r="H245" s="613"/>
      <c r="I245" s="613"/>
      <c r="J245" s="613"/>
      <c r="K245" s="1646">
        <f>D245</f>
        <v>0</v>
      </c>
      <c r="L245" s="479">
        <v>0</v>
      </c>
    </row>
    <row r="246" spans="1:12" x14ac:dyDescent="0.2">
      <c r="A246" s="1478" t="s">
        <v>818</v>
      </c>
      <c r="B246" s="611">
        <v>2320</v>
      </c>
      <c r="C246" s="613"/>
      <c r="D246" s="466">
        <v>0</v>
      </c>
      <c r="E246" s="613"/>
      <c r="F246" s="613"/>
      <c r="G246" s="613"/>
      <c r="H246" s="613"/>
      <c r="I246" s="613"/>
      <c r="J246" s="613"/>
      <c r="K246" s="1646">
        <f t="shared" ref="K246:K256" si="21">D246</f>
        <v>0</v>
      </c>
      <c r="L246" s="466">
        <v>0</v>
      </c>
    </row>
    <row r="247" spans="1:12" x14ac:dyDescent="0.2">
      <c r="A247" s="1478" t="s">
        <v>819</v>
      </c>
      <c r="B247" s="611">
        <v>2330</v>
      </c>
      <c r="C247" s="613"/>
      <c r="D247" s="466">
        <v>0</v>
      </c>
      <c r="E247" s="613"/>
      <c r="F247" s="613"/>
      <c r="G247" s="613"/>
      <c r="H247" s="613"/>
      <c r="I247" s="613"/>
      <c r="J247" s="613"/>
      <c r="K247" s="1646">
        <f t="shared" si="21"/>
        <v>0</v>
      </c>
      <c r="L247" s="466">
        <v>0</v>
      </c>
    </row>
    <row r="248" spans="1:12" x14ac:dyDescent="0.2">
      <c r="A248" s="1479" t="s">
        <v>299</v>
      </c>
      <c r="B248" s="599" t="s">
        <v>281</v>
      </c>
      <c r="C248" s="613"/>
      <c r="D248" s="473">
        <v>0</v>
      </c>
      <c r="E248" s="613"/>
      <c r="F248" s="613"/>
      <c r="G248" s="613"/>
      <c r="H248" s="613"/>
      <c r="I248" s="613"/>
      <c r="J248" s="613"/>
      <c r="K248" s="1646">
        <f t="shared" si="21"/>
        <v>0</v>
      </c>
      <c r="L248" s="466">
        <v>0</v>
      </c>
    </row>
    <row r="249" spans="1:12" x14ac:dyDescent="0.2">
      <c r="A249" s="1480" t="s">
        <v>1799</v>
      </c>
      <c r="B249" s="680" t="s">
        <v>282</v>
      </c>
      <c r="C249" s="613"/>
      <c r="D249" s="473">
        <v>0</v>
      </c>
      <c r="E249" s="613"/>
      <c r="F249" s="613"/>
      <c r="G249" s="613"/>
      <c r="H249" s="613"/>
      <c r="I249" s="613"/>
      <c r="J249" s="613"/>
      <c r="K249" s="1646">
        <f t="shared" si="21"/>
        <v>0</v>
      </c>
      <c r="L249" s="466">
        <v>0</v>
      </c>
    </row>
    <row r="250" spans="1:12" x14ac:dyDescent="0.2">
      <c r="A250" s="1479" t="s">
        <v>1800</v>
      </c>
      <c r="B250" s="599" t="s">
        <v>283</v>
      </c>
      <c r="C250" s="613"/>
      <c r="D250" s="473">
        <v>0</v>
      </c>
      <c r="E250" s="613"/>
      <c r="F250" s="613"/>
      <c r="G250" s="613"/>
      <c r="H250" s="613"/>
      <c r="I250" s="613"/>
      <c r="J250" s="613"/>
      <c r="K250" s="1646">
        <f t="shared" si="21"/>
        <v>0</v>
      </c>
      <c r="L250" s="466">
        <v>0</v>
      </c>
    </row>
    <row r="251" spans="1:12" x14ac:dyDescent="0.2">
      <c r="A251" s="1479" t="s">
        <v>238</v>
      </c>
      <c r="B251" s="599" t="s">
        <v>284</v>
      </c>
      <c r="C251" s="613"/>
      <c r="D251" s="473">
        <v>0</v>
      </c>
      <c r="E251" s="613"/>
      <c r="F251" s="613"/>
      <c r="G251" s="613"/>
      <c r="H251" s="613"/>
      <c r="I251" s="613"/>
      <c r="J251" s="613"/>
      <c r="K251" s="1646">
        <f t="shared" si="21"/>
        <v>0</v>
      </c>
      <c r="L251" s="466">
        <v>0</v>
      </c>
    </row>
    <row r="252" spans="1:12" x14ac:dyDescent="0.2">
      <c r="A252" s="1479" t="s">
        <v>702</v>
      </c>
      <c r="B252" s="599" t="s">
        <v>285</v>
      </c>
      <c r="C252" s="613"/>
      <c r="D252" s="473">
        <v>0</v>
      </c>
      <c r="E252" s="613"/>
      <c r="F252" s="613"/>
      <c r="G252" s="613"/>
      <c r="H252" s="613"/>
      <c r="I252" s="613"/>
      <c r="J252" s="613"/>
      <c r="K252" s="1646">
        <f t="shared" si="21"/>
        <v>0</v>
      </c>
      <c r="L252" s="466">
        <v>0</v>
      </c>
    </row>
    <row r="253" spans="1:12" x14ac:dyDescent="0.2">
      <c r="A253" s="1479" t="s">
        <v>239</v>
      </c>
      <c r="B253" s="599" t="s">
        <v>286</v>
      </c>
      <c r="C253" s="613"/>
      <c r="D253" s="473">
        <v>0</v>
      </c>
      <c r="E253" s="613"/>
      <c r="F253" s="613"/>
      <c r="G253" s="613"/>
      <c r="H253" s="613"/>
      <c r="I253" s="613"/>
      <c r="J253" s="613"/>
      <c r="K253" s="1646">
        <f t="shared" si="21"/>
        <v>0</v>
      </c>
      <c r="L253" s="466">
        <v>0</v>
      </c>
    </row>
    <row r="254" spans="1:12" ht="22.5" x14ac:dyDescent="0.2">
      <c r="A254" s="1479" t="s">
        <v>1029</v>
      </c>
      <c r="B254" s="680" t="s">
        <v>287</v>
      </c>
      <c r="C254" s="613"/>
      <c r="D254" s="473">
        <v>0</v>
      </c>
      <c r="E254" s="613"/>
      <c r="F254" s="613"/>
      <c r="G254" s="613"/>
      <c r="H254" s="613"/>
      <c r="I254" s="613"/>
      <c r="J254" s="613"/>
      <c r="K254" s="1646">
        <f t="shared" si="21"/>
        <v>0</v>
      </c>
      <c r="L254" s="466">
        <v>0</v>
      </c>
    </row>
    <row r="255" spans="1:12" x14ac:dyDescent="0.2">
      <c r="A255" s="1479" t="s">
        <v>1030</v>
      </c>
      <c r="B255" s="599" t="s">
        <v>288</v>
      </c>
      <c r="C255" s="613"/>
      <c r="D255" s="473">
        <v>0</v>
      </c>
      <c r="E255" s="613"/>
      <c r="F255" s="613"/>
      <c r="G255" s="613"/>
      <c r="H255" s="613"/>
      <c r="I255" s="613"/>
      <c r="J255" s="613"/>
      <c r="K255" s="1646">
        <f t="shared" si="21"/>
        <v>0</v>
      </c>
      <c r="L255" s="466">
        <v>0</v>
      </c>
    </row>
    <row r="256" spans="1:12" x14ac:dyDescent="0.2">
      <c r="A256" s="1479" t="s">
        <v>971</v>
      </c>
      <c r="B256" s="611" t="s">
        <v>289</v>
      </c>
      <c r="C256" s="613"/>
      <c r="D256" s="473">
        <v>0</v>
      </c>
      <c r="E256" s="613"/>
      <c r="F256" s="613"/>
      <c r="G256" s="613"/>
      <c r="H256" s="613"/>
      <c r="I256" s="613"/>
      <c r="J256" s="613"/>
      <c r="K256" s="1646">
        <f t="shared" si="21"/>
        <v>0</v>
      </c>
      <c r="L256" s="466">
        <v>0</v>
      </c>
    </row>
    <row r="257" spans="1:14" ht="12.75" customHeight="1" thickBot="1" x14ac:dyDescent="0.25">
      <c r="A257" s="1642" t="s">
        <v>717</v>
      </c>
      <c r="B257" s="1670">
        <v>2300</v>
      </c>
      <c r="C257" s="613"/>
      <c r="D257" s="1644">
        <f>SUM(D245:D256)</f>
        <v>0</v>
      </c>
      <c r="E257" s="613"/>
      <c r="F257" s="613"/>
      <c r="G257" s="613"/>
      <c r="H257" s="613"/>
      <c r="I257" s="613"/>
      <c r="J257" s="613"/>
      <c r="K257" s="1644">
        <f>SUM(K245:K256)</f>
        <v>0</v>
      </c>
      <c r="L257" s="1644">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78" t="s">
        <v>1067</v>
      </c>
      <c r="B259" s="682">
        <v>2410</v>
      </c>
      <c r="C259" s="613"/>
      <c r="D259" s="479">
        <v>0</v>
      </c>
      <c r="E259" s="613"/>
      <c r="F259" s="613"/>
      <c r="G259" s="613"/>
      <c r="H259" s="613"/>
      <c r="I259" s="613"/>
      <c r="J259" s="613"/>
      <c r="K259" s="1646">
        <f>D259</f>
        <v>0</v>
      </c>
      <c r="L259" s="479">
        <v>0</v>
      </c>
    </row>
    <row r="260" spans="1:14" s="594" customFormat="1" x14ac:dyDescent="0.2">
      <c r="A260" s="1496" t="s">
        <v>1798</v>
      </c>
      <c r="B260" s="625">
        <v>2490</v>
      </c>
      <c r="C260" s="613"/>
      <c r="D260" s="466">
        <v>0</v>
      </c>
      <c r="E260" s="613"/>
      <c r="F260" s="613"/>
      <c r="G260" s="613"/>
      <c r="H260" s="613"/>
      <c r="I260" s="613"/>
      <c r="J260" s="613"/>
      <c r="K260" s="1646">
        <f>D260</f>
        <v>0</v>
      </c>
      <c r="L260" s="466">
        <v>0</v>
      </c>
      <c r="M260" s="210"/>
      <c r="N260" s="210"/>
    </row>
    <row r="261" spans="1:14" ht="12.75" customHeight="1" thickBot="1" x14ac:dyDescent="0.25">
      <c r="A261" s="1666" t="s">
        <v>263</v>
      </c>
      <c r="B261" s="1671" t="s">
        <v>34</v>
      </c>
      <c r="C261" s="613"/>
      <c r="D261" s="1644">
        <f>SUM(D259:D260)</f>
        <v>0</v>
      </c>
      <c r="E261" s="613"/>
      <c r="F261" s="613"/>
      <c r="G261" s="613"/>
      <c r="H261" s="613"/>
      <c r="I261" s="613"/>
      <c r="J261" s="613"/>
      <c r="K261" s="1644">
        <f>SUM(K259:K260)</f>
        <v>0</v>
      </c>
      <c r="L261" s="1644">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78" t="s">
        <v>1068</v>
      </c>
      <c r="B263" s="682">
        <v>2510</v>
      </c>
      <c r="C263" s="613"/>
      <c r="D263" s="466">
        <v>0</v>
      </c>
      <c r="E263" s="613"/>
      <c r="F263" s="613"/>
      <c r="G263" s="613"/>
      <c r="H263" s="613"/>
      <c r="I263" s="613"/>
      <c r="J263" s="613"/>
      <c r="K263" s="1646">
        <f>D263</f>
        <v>0</v>
      </c>
      <c r="L263" s="479">
        <v>0</v>
      </c>
    </row>
    <row r="264" spans="1:14" x14ac:dyDescent="0.2">
      <c r="A264" s="1478" t="s">
        <v>463</v>
      </c>
      <c r="B264" s="682">
        <v>2520</v>
      </c>
      <c r="C264" s="613"/>
      <c r="D264" s="466">
        <v>0</v>
      </c>
      <c r="E264" s="613"/>
      <c r="F264" s="613"/>
      <c r="G264" s="613"/>
      <c r="H264" s="613"/>
      <c r="I264" s="613"/>
      <c r="J264" s="613"/>
      <c r="K264" s="1646">
        <f t="shared" ref="K264:K269" si="22">D264</f>
        <v>0</v>
      </c>
      <c r="L264" s="466">
        <v>0</v>
      </c>
    </row>
    <row r="265" spans="1:14" x14ac:dyDescent="0.2">
      <c r="A265" s="1478" t="s">
        <v>4</v>
      </c>
      <c r="B265" s="611">
        <v>2530</v>
      </c>
      <c r="C265" s="613"/>
      <c r="D265" s="466">
        <v>0</v>
      </c>
      <c r="E265" s="613"/>
      <c r="F265" s="613"/>
      <c r="G265" s="613"/>
      <c r="H265" s="613"/>
      <c r="I265" s="613"/>
      <c r="J265" s="613"/>
      <c r="K265" s="1646">
        <f t="shared" si="22"/>
        <v>0</v>
      </c>
      <c r="L265" s="466">
        <v>0</v>
      </c>
    </row>
    <row r="266" spans="1:14" x14ac:dyDescent="0.2">
      <c r="A266" s="1478" t="s">
        <v>197</v>
      </c>
      <c r="B266" s="611">
        <v>2540</v>
      </c>
      <c r="C266" s="613"/>
      <c r="D266" s="466">
        <v>0</v>
      </c>
      <c r="E266" s="613"/>
      <c r="F266" s="613"/>
      <c r="G266" s="613"/>
      <c r="H266" s="613"/>
      <c r="I266" s="613"/>
      <c r="J266" s="613"/>
      <c r="K266" s="1646">
        <f t="shared" si="22"/>
        <v>0</v>
      </c>
      <c r="L266" s="466">
        <v>0</v>
      </c>
    </row>
    <row r="267" spans="1:14" x14ac:dyDescent="0.2">
      <c r="A267" s="1478" t="s">
        <v>953</v>
      </c>
      <c r="B267" s="611">
        <v>2550</v>
      </c>
      <c r="C267" s="613"/>
      <c r="D267" s="466">
        <v>0</v>
      </c>
      <c r="E267" s="613"/>
      <c r="F267" s="613"/>
      <c r="G267" s="613"/>
      <c r="H267" s="613"/>
      <c r="I267" s="613"/>
      <c r="J267" s="613"/>
      <c r="K267" s="1646">
        <f t="shared" si="22"/>
        <v>0</v>
      </c>
      <c r="L267" s="466">
        <v>0</v>
      </c>
    </row>
    <row r="268" spans="1:14" x14ac:dyDescent="0.2">
      <c r="A268" s="1478" t="s">
        <v>100</v>
      </c>
      <c r="B268" s="611">
        <v>2560</v>
      </c>
      <c r="C268" s="613"/>
      <c r="D268" s="466">
        <v>0</v>
      </c>
      <c r="E268" s="613"/>
      <c r="F268" s="613"/>
      <c r="G268" s="613"/>
      <c r="H268" s="613"/>
      <c r="I268" s="613"/>
      <c r="J268" s="613"/>
      <c r="K268" s="1646">
        <f t="shared" si="22"/>
        <v>0</v>
      </c>
      <c r="L268" s="466">
        <v>0</v>
      </c>
    </row>
    <row r="269" spans="1:14" x14ac:dyDescent="0.2">
      <c r="A269" s="1478" t="s">
        <v>101</v>
      </c>
      <c r="B269" s="611">
        <v>2570</v>
      </c>
      <c r="C269" s="613"/>
      <c r="D269" s="466">
        <v>0</v>
      </c>
      <c r="E269" s="613"/>
      <c r="F269" s="613"/>
      <c r="G269" s="613"/>
      <c r="H269" s="613"/>
      <c r="I269" s="613"/>
      <c r="J269" s="613"/>
      <c r="K269" s="1646">
        <f t="shared" si="22"/>
        <v>0</v>
      </c>
      <c r="L269" s="466">
        <v>0</v>
      </c>
    </row>
    <row r="270" spans="1:14" ht="12.75" customHeight="1" thickBot="1" x14ac:dyDescent="0.25">
      <c r="A270" s="1642" t="s">
        <v>719</v>
      </c>
      <c r="B270" s="1649" t="s">
        <v>35</v>
      </c>
      <c r="C270" s="613"/>
      <c r="D270" s="1644">
        <f>SUM(D263:D269)</f>
        <v>0</v>
      </c>
      <c r="E270" s="613"/>
      <c r="F270" s="613"/>
      <c r="G270" s="613"/>
      <c r="H270" s="613"/>
      <c r="I270" s="613"/>
      <c r="J270" s="613"/>
      <c r="K270" s="1644">
        <f>SUM(K263:K269)</f>
        <v>0</v>
      </c>
      <c r="L270" s="1644">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78" t="s">
        <v>1060</v>
      </c>
      <c r="B272" s="611">
        <v>2610</v>
      </c>
      <c r="C272" s="613"/>
      <c r="D272" s="479">
        <v>0</v>
      </c>
      <c r="E272" s="613"/>
      <c r="F272" s="613"/>
      <c r="G272" s="613"/>
      <c r="H272" s="613"/>
      <c r="I272" s="613"/>
      <c r="J272" s="613"/>
      <c r="K272" s="1646">
        <f>D272</f>
        <v>0</v>
      </c>
      <c r="L272" s="479">
        <v>0</v>
      </c>
    </row>
    <row r="273" spans="1:12" x14ac:dyDescent="0.2">
      <c r="A273" s="1478" t="s">
        <v>607</v>
      </c>
      <c r="B273" s="625">
        <v>2620</v>
      </c>
      <c r="C273" s="613"/>
      <c r="D273" s="466">
        <v>0</v>
      </c>
      <c r="E273" s="613"/>
      <c r="F273" s="613"/>
      <c r="G273" s="613"/>
      <c r="H273" s="613"/>
      <c r="I273" s="613"/>
      <c r="J273" s="613"/>
      <c r="K273" s="1646">
        <f>D273</f>
        <v>0</v>
      </c>
      <c r="L273" s="466">
        <v>0</v>
      </c>
    </row>
    <row r="274" spans="1:12" ht="12" customHeight="1" x14ac:dyDescent="0.2">
      <c r="A274" s="1478" t="s">
        <v>1061</v>
      </c>
      <c r="B274" s="611">
        <v>2630</v>
      </c>
      <c r="C274" s="613"/>
      <c r="D274" s="466">
        <v>0</v>
      </c>
      <c r="E274" s="613"/>
      <c r="F274" s="613"/>
      <c r="G274" s="613"/>
      <c r="H274" s="613"/>
      <c r="I274" s="613"/>
      <c r="J274" s="613"/>
      <c r="K274" s="1646">
        <f>D274</f>
        <v>0</v>
      </c>
      <c r="L274" s="466">
        <v>0</v>
      </c>
    </row>
    <row r="275" spans="1:12" x14ac:dyDescent="0.2">
      <c r="A275" s="1478" t="s">
        <v>403</v>
      </c>
      <c r="B275" s="611">
        <v>2640</v>
      </c>
      <c r="C275" s="613"/>
      <c r="D275" s="466">
        <v>0</v>
      </c>
      <c r="E275" s="613"/>
      <c r="F275" s="613"/>
      <c r="G275" s="613"/>
      <c r="H275" s="613"/>
      <c r="I275" s="613"/>
      <c r="J275" s="613"/>
      <c r="K275" s="1646">
        <f>D275</f>
        <v>0</v>
      </c>
      <c r="L275" s="466">
        <v>0</v>
      </c>
    </row>
    <row r="276" spans="1:12" x14ac:dyDescent="0.2">
      <c r="A276" s="1478" t="s">
        <v>404</v>
      </c>
      <c r="B276" s="611">
        <v>2660</v>
      </c>
      <c r="C276" s="613"/>
      <c r="D276" s="466">
        <v>0</v>
      </c>
      <c r="E276" s="613"/>
      <c r="F276" s="613"/>
      <c r="G276" s="613"/>
      <c r="H276" s="613"/>
      <c r="I276" s="613"/>
      <c r="J276" s="613"/>
      <c r="K276" s="1646">
        <f>D276</f>
        <v>0</v>
      </c>
      <c r="L276" s="466">
        <v>0</v>
      </c>
    </row>
    <row r="277" spans="1:12" ht="12.75" customHeight="1" thickBot="1" x14ac:dyDescent="0.25">
      <c r="A277" s="1665" t="s">
        <v>37</v>
      </c>
      <c r="B277" s="1643" t="s">
        <v>36</v>
      </c>
      <c r="C277" s="613"/>
      <c r="D277" s="1644">
        <f>SUM(D272:D276)</f>
        <v>0</v>
      </c>
      <c r="E277" s="613"/>
      <c r="F277" s="613"/>
      <c r="G277" s="613"/>
      <c r="H277" s="613"/>
      <c r="I277" s="613"/>
      <c r="J277" s="613"/>
      <c r="K277" s="1644">
        <f>SUM(K272:K276)</f>
        <v>0</v>
      </c>
      <c r="L277" s="1644">
        <f>SUM(L272:L276)</f>
        <v>0</v>
      </c>
    </row>
    <row r="278" spans="1:12" ht="13.5" customHeight="1" thickTop="1" x14ac:dyDescent="0.2">
      <c r="A278" s="1484" t="s">
        <v>980</v>
      </c>
      <c r="B278" s="652" t="s">
        <v>574</v>
      </c>
      <c r="C278" s="613"/>
      <c r="D278" s="653">
        <v>0</v>
      </c>
      <c r="E278" s="613"/>
      <c r="F278" s="613"/>
      <c r="G278" s="613"/>
      <c r="H278" s="613"/>
      <c r="I278" s="613"/>
      <c r="J278" s="613"/>
      <c r="K278" s="1659">
        <f>D278</f>
        <v>0</v>
      </c>
      <c r="L278" s="653">
        <v>0</v>
      </c>
    </row>
    <row r="279" spans="1:12" ht="12.75" customHeight="1" thickBot="1" x14ac:dyDescent="0.25">
      <c r="A279" s="1672" t="s">
        <v>811</v>
      </c>
      <c r="B279" s="1655">
        <v>2000</v>
      </c>
      <c r="C279" s="613"/>
      <c r="D279" s="1651">
        <f>SUM(D238,D243,D257,D261,D270,D277,D278)</f>
        <v>0</v>
      </c>
      <c r="E279" s="613"/>
      <c r="F279" s="613"/>
      <c r="G279" s="613"/>
      <c r="H279" s="613"/>
      <c r="I279" s="613"/>
      <c r="J279" s="613"/>
      <c r="K279" s="1651">
        <f>SUM(K238,K243,K257,K261,K270,K277,K278)</f>
        <v>0</v>
      </c>
      <c r="L279" s="1651">
        <f>SUM(L238,L243,L257,L261,L270,L277,L278)</f>
        <v>0</v>
      </c>
    </row>
    <row r="280" spans="1:12" ht="15.75" customHeight="1" thickTop="1" thickBot="1" x14ac:dyDescent="0.25">
      <c r="A280" s="1598" t="s">
        <v>875</v>
      </c>
      <c r="B280" s="1587">
        <v>3000</v>
      </c>
      <c r="C280" s="613"/>
      <c r="D280" s="573">
        <v>0</v>
      </c>
      <c r="E280" s="613"/>
      <c r="F280" s="613"/>
      <c r="G280" s="613"/>
      <c r="H280" s="613"/>
      <c r="I280" s="613"/>
      <c r="J280" s="613"/>
      <c r="K280" s="1653">
        <f>D280</f>
        <v>0</v>
      </c>
      <c r="L280" s="573">
        <v>0</v>
      </c>
    </row>
    <row r="281" spans="1:12" ht="15.75" customHeight="1" thickTop="1" x14ac:dyDescent="0.2">
      <c r="A281" s="1588" t="s">
        <v>142</v>
      </c>
      <c r="B281" s="1589" t="s">
        <v>860</v>
      </c>
      <c r="C281" s="613"/>
      <c r="D281" s="563"/>
      <c r="E281" s="613"/>
      <c r="F281" s="613"/>
      <c r="G281" s="613"/>
      <c r="H281" s="613"/>
      <c r="I281" s="613"/>
      <c r="J281" s="613"/>
      <c r="K281" s="613"/>
      <c r="L281" s="613"/>
    </row>
    <row r="282" spans="1:12" ht="15.75" customHeight="1" x14ac:dyDescent="0.2">
      <c r="A282" s="1804" t="s">
        <v>496</v>
      </c>
      <c r="B282" s="687" t="s">
        <v>1838</v>
      </c>
      <c r="C282" s="613"/>
      <c r="D282" s="467">
        <v>0</v>
      </c>
      <c r="E282" s="613"/>
      <c r="F282" s="613"/>
      <c r="G282" s="613"/>
      <c r="H282" s="613"/>
      <c r="I282" s="613"/>
      <c r="J282" s="613"/>
      <c r="K282" s="1645">
        <f>D282</f>
        <v>0</v>
      </c>
      <c r="L282" s="467">
        <v>0</v>
      </c>
    </row>
    <row r="283" spans="1:12" x14ac:dyDescent="0.2">
      <c r="A283" s="1478" t="s">
        <v>304</v>
      </c>
      <c r="B283" s="611">
        <v>4120</v>
      </c>
      <c r="C283" s="613"/>
      <c r="D283" s="466">
        <v>0</v>
      </c>
      <c r="E283" s="613"/>
      <c r="F283" s="613"/>
      <c r="G283" s="613"/>
      <c r="H283" s="613"/>
      <c r="I283" s="613"/>
      <c r="J283" s="613"/>
      <c r="K283" s="1645">
        <f>D283</f>
        <v>0</v>
      </c>
      <c r="L283" s="466">
        <v>0</v>
      </c>
    </row>
    <row r="284" spans="1:12" x14ac:dyDescent="0.2">
      <c r="A284" s="1478" t="s">
        <v>697</v>
      </c>
      <c r="B284" s="611">
        <v>4140</v>
      </c>
      <c r="C284" s="613"/>
      <c r="D284" s="467">
        <v>0</v>
      </c>
      <c r="E284" s="613"/>
      <c r="F284" s="613"/>
      <c r="G284" s="613"/>
      <c r="H284" s="613"/>
      <c r="I284" s="613"/>
      <c r="J284" s="613"/>
      <c r="K284" s="1645">
        <f>D284</f>
        <v>0</v>
      </c>
      <c r="L284" s="466">
        <v>0</v>
      </c>
    </row>
    <row r="285" spans="1:12" ht="12.75" customHeight="1" thickBot="1" x14ac:dyDescent="0.25">
      <c r="A285" s="1642" t="s">
        <v>1486</v>
      </c>
      <c r="B285" s="1643" t="s">
        <v>860</v>
      </c>
      <c r="C285" s="613"/>
      <c r="D285" s="1644">
        <f>SUM(D282:D284)</f>
        <v>0</v>
      </c>
      <c r="E285" s="613"/>
      <c r="F285" s="613"/>
      <c r="G285" s="613"/>
      <c r="H285" s="613"/>
      <c r="I285" s="613"/>
      <c r="J285" s="613"/>
      <c r="K285" s="1644">
        <f>SUM(K282:K284)</f>
        <v>0</v>
      </c>
      <c r="L285" s="1644">
        <f>SUM(L282:L284)</f>
        <v>0</v>
      </c>
    </row>
    <row r="286" spans="1:12" ht="15.75" customHeight="1" thickTop="1" x14ac:dyDescent="0.2">
      <c r="A286" s="1586" t="s">
        <v>876</v>
      </c>
      <c r="B286" s="1583"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78" t="s">
        <v>87</v>
      </c>
      <c r="B288" s="611">
        <v>5110</v>
      </c>
      <c r="C288" s="613"/>
      <c r="D288" s="613"/>
      <c r="E288" s="613"/>
      <c r="F288" s="613"/>
      <c r="G288" s="613"/>
      <c r="H288" s="466">
        <v>0</v>
      </c>
      <c r="I288" s="613"/>
      <c r="J288" s="613"/>
      <c r="K288" s="1645">
        <f>H288</f>
        <v>0</v>
      </c>
      <c r="L288" s="466">
        <v>0</v>
      </c>
    </row>
    <row r="289" spans="1:14" x14ac:dyDescent="0.2">
      <c r="A289" s="1478" t="s">
        <v>88</v>
      </c>
      <c r="B289" s="611">
        <v>5120</v>
      </c>
      <c r="C289" s="613"/>
      <c r="D289" s="613"/>
      <c r="E289" s="613"/>
      <c r="F289" s="613"/>
      <c r="G289" s="613"/>
      <c r="H289" s="466">
        <v>0</v>
      </c>
      <c r="I289" s="613"/>
      <c r="J289" s="613"/>
      <c r="K289" s="1645">
        <f>H289</f>
        <v>0</v>
      </c>
      <c r="L289" s="466">
        <v>0</v>
      </c>
    </row>
    <row r="290" spans="1:14" ht="12.75" customHeight="1" x14ac:dyDescent="0.2">
      <c r="A290" s="1478" t="s">
        <v>1170</v>
      </c>
      <c r="B290" s="625" t="s">
        <v>617</v>
      </c>
      <c r="C290" s="613"/>
      <c r="D290" s="613"/>
      <c r="E290" s="613"/>
      <c r="F290" s="613"/>
      <c r="G290" s="613"/>
      <c r="H290" s="466">
        <v>0</v>
      </c>
      <c r="I290" s="613"/>
      <c r="J290" s="613"/>
      <c r="K290" s="1645">
        <f>H290</f>
        <v>0</v>
      </c>
      <c r="L290" s="466">
        <v>0</v>
      </c>
    </row>
    <row r="291" spans="1:14" x14ac:dyDescent="0.2">
      <c r="A291" s="1478" t="s">
        <v>89</v>
      </c>
      <c r="B291" s="611" t="s">
        <v>589</v>
      </c>
      <c r="C291" s="613"/>
      <c r="D291" s="613"/>
      <c r="E291" s="613"/>
      <c r="F291" s="613"/>
      <c r="G291" s="613"/>
      <c r="H291" s="466">
        <v>0</v>
      </c>
      <c r="I291" s="613"/>
      <c r="J291" s="613"/>
      <c r="K291" s="1645">
        <f>H291</f>
        <v>0</v>
      </c>
      <c r="L291" s="466">
        <v>0</v>
      </c>
    </row>
    <row r="292" spans="1:14" x14ac:dyDescent="0.2">
      <c r="A292" s="1478" t="s">
        <v>762</v>
      </c>
      <c r="B292" s="611" t="s">
        <v>618</v>
      </c>
      <c r="C292" s="613"/>
      <c r="D292" s="613"/>
      <c r="E292" s="613"/>
      <c r="F292" s="613"/>
      <c r="G292" s="613"/>
      <c r="H292" s="466">
        <v>0</v>
      </c>
      <c r="I292" s="613"/>
      <c r="J292" s="613"/>
      <c r="K292" s="1645">
        <f>H292</f>
        <v>0</v>
      </c>
      <c r="L292" s="466">
        <v>0</v>
      </c>
    </row>
    <row r="293" spans="1:14" ht="12.75" customHeight="1" thickBot="1" x14ac:dyDescent="0.25">
      <c r="A293" s="1642" t="s">
        <v>484</v>
      </c>
      <c r="B293" s="1643" t="s">
        <v>492</v>
      </c>
      <c r="C293" s="613"/>
      <c r="D293" s="613"/>
      <c r="E293" s="613"/>
      <c r="F293" s="613"/>
      <c r="G293" s="613"/>
      <c r="H293" s="1644">
        <f>SUM(H288:H292)</f>
        <v>0</v>
      </c>
      <c r="I293" s="613"/>
      <c r="J293" s="613"/>
      <c r="K293" s="1644">
        <f>SUM(K288:K292)</f>
        <v>0</v>
      </c>
      <c r="L293" s="1644">
        <f>SUM(L288:L292)</f>
        <v>0</v>
      </c>
    </row>
    <row r="294" spans="1:14" ht="15.75" customHeight="1" thickTop="1" thickBot="1" x14ac:dyDescent="0.25">
      <c r="A294" s="1599" t="s">
        <v>877</v>
      </c>
      <c r="B294" s="1587" t="s">
        <v>861</v>
      </c>
      <c r="C294" s="613"/>
      <c r="D294" s="620"/>
      <c r="E294" s="613"/>
      <c r="F294" s="613"/>
      <c r="G294" s="613"/>
      <c r="H294" s="683"/>
      <c r="I294" s="613"/>
      <c r="J294" s="613"/>
      <c r="K294" s="683"/>
      <c r="L294" s="575">
        <v>0</v>
      </c>
    </row>
    <row r="295" spans="1:14" ht="12.75" customHeight="1" thickTop="1" thickBot="1" x14ac:dyDescent="0.25">
      <c r="A295" s="2374" t="s">
        <v>505</v>
      </c>
      <c r="B295" s="2375"/>
      <c r="C295" s="613"/>
      <c r="D295" s="1644">
        <f>SUM(D229,D279,D280,D285)</f>
        <v>0</v>
      </c>
      <c r="E295" s="613"/>
      <c r="F295" s="613"/>
      <c r="G295" s="613"/>
      <c r="H295" s="1644">
        <f>H293</f>
        <v>0</v>
      </c>
      <c r="I295" s="613"/>
      <c r="J295" s="613"/>
      <c r="K295" s="1644">
        <f>SUM(K229,K279,K280,K285,K293,K294)</f>
        <v>0</v>
      </c>
      <c r="L295" s="1644">
        <f>SUM(L229,L279,L280,L285,L293,L294)</f>
        <v>0</v>
      </c>
    </row>
    <row r="296" spans="1:14" ht="13.5" thickTop="1" x14ac:dyDescent="0.2">
      <c r="A296" s="2356" t="s">
        <v>996</v>
      </c>
      <c r="B296" s="2357"/>
      <c r="C296" s="613"/>
      <c r="D296" s="615"/>
      <c r="E296" s="613"/>
      <c r="F296" s="613"/>
      <c r="G296" s="613"/>
      <c r="H296" s="684"/>
      <c r="I296" s="613"/>
      <c r="J296" s="613"/>
      <c r="K296" s="1658">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66" t="s">
        <v>143</v>
      </c>
      <c r="B298" s="2360"/>
      <c r="C298" s="1525"/>
      <c r="D298" s="1526"/>
      <c r="E298" s="1526"/>
      <c r="F298" s="1526"/>
      <c r="G298" s="1526"/>
      <c r="H298" s="1526"/>
      <c r="I298" s="1526"/>
      <c r="J298" s="1526"/>
      <c r="K298" s="1526"/>
      <c r="L298" s="1527"/>
    </row>
    <row r="299" spans="1:14" ht="15.75" customHeight="1" x14ac:dyDescent="0.2">
      <c r="A299" s="1586" t="s">
        <v>144</v>
      </c>
      <c r="B299" s="1589"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91" t="s">
        <v>608</v>
      </c>
      <c r="B301" s="686">
        <v>2530</v>
      </c>
      <c r="C301" s="466">
        <v>0</v>
      </c>
      <c r="D301" s="466">
        <v>0</v>
      </c>
      <c r="E301" s="466">
        <v>0</v>
      </c>
      <c r="F301" s="466">
        <v>0</v>
      </c>
      <c r="G301" s="466">
        <v>0</v>
      </c>
      <c r="H301" s="466">
        <v>0</v>
      </c>
      <c r="I301" s="467">
        <v>0</v>
      </c>
      <c r="J301" s="467">
        <v>0</v>
      </c>
      <c r="K301" s="1645">
        <f>SUM(C301:J301)</f>
        <v>0</v>
      </c>
      <c r="L301" s="467">
        <v>0</v>
      </c>
    </row>
    <row r="302" spans="1:14" ht="13.5" customHeight="1" x14ac:dyDescent="0.2">
      <c r="A302" s="1491" t="s">
        <v>980</v>
      </c>
      <c r="B302" s="611" t="s">
        <v>574</v>
      </c>
      <c r="C302" s="466">
        <v>0</v>
      </c>
      <c r="D302" s="466">
        <v>0</v>
      </c>
      <c r="E302" s="466">
        <v>0</v>
      </c>
      <c r="F302" s="466">
        <v>0</v>
      </c>
      <c r="G302" s="466">
        <v>0</v>
      </c>
      <c r="H302" s="466">
        <v>0</v>
      </c>
      <c r="I302" s="467">
        <v>0</v>
      </c>
      <c r="J302" s="467">
        <v>0</v>
      </c>
      <c r="K302" s="1645">
        <f>SUM(C302:J302)</f>
        <v>0</v>
      </c>
      <c r="L302" s="466">
        <v>0</v>
      </c>
    </row>
    <row r="303" spans="1:14" ht="12.75" customHeight="1" thickBot="1" x14ac:dyDescent="0.25">
      <c r="A303" s="1642" t="s">
        <v>811</v>
      </c>
      <c r="B303" s="1643" t="s">
        <v>569</v>
      </c>
      <c r="C303" s="1651">
        <f>SUM(C301:C302)</f>
        <v>0</v>
      </c>
      <c r="D303" s="1651">
        <f t="shared" ref="D303:L303" si="23">SUM(D301:D302)</f>
        <v>0</v>
      </c>
      <c r="E303" s="1651">
        <f t="shared" si="23"/>
        <v>0</v>
      </c>
      <c r="F303" s="1651">
        <f t="shared" si="23"/>
        <v>0</v>
      </c>
      <c r="G303" s="1651">
        <f t="shared" si="23"/>
        <v>0</v>
      </c>
      <c r="H303" s="1651">
        <f t="shared" si="23"/>
        <v>0</v>
      </c>
      <c r="I303" s="1651">
        <f t="shared" si="23"/>
        <v>0</v>
      </c>
      <c r="J303" s="1651">
        <f t="shared" si="23"/>
        <v>0</v>
      </c>
      <c r="K303" s="1651">
        <f t="shared" si="23"/>
        <v>0</v>
      </c>
      <c r="L303" s="1651">
        <f t="shared" si="23"/>
        <v>0</v>
      </c>
    </row>
    <row r="304" spans="1:14" ht="15.75" customHeight="1" thickTop="1" x14ac:dyDescent="0.2">
      <c r="A304" s="1586" t="s">
        <v>145</v>
      </c>
      <c r="B304" s="1587"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92" t="s">
        <v>1843</v>
      </c>
      <c r="B306" s="687" t="s">
        <v>1838</v>
      </c>
      <c r="C306" s="613"/>
      <c r="D306" s="613"/>
      <c r="E306" s="467">
        <v>0</v>
      </c>
      <c r="F306" s="613"/>
      <c r="G306" s="613"/>
      <c r="H306" s="467">
        <v>0</v>
      </c>
      <c r="I306" s="613"/>
      <c r="J306" s="613"/>
      <c r="K306" s="1645">
        <f>SUM(E306,H306)</f>
        <v>0</v>
      </c>
      <c r="L306" s="467">
        <v>0</v>
      </c>
    </row>
    <row r="307" spans="1:14" x14ac:dyDescent="0.2">
      <c r="A307" s="1478" t="s">
        <v>304</v>
      </c>
      <c r="B307" s="611">
        <v>4120</v>
      </c>
      <c r="C307" s="613"/>
      <c r="D307" s="613"/>
      <c r="E307" s="467">
        <v>0</v>
      </c>
      <c r="F307" s="613"/>
      <c r="G307" s="613"/>
      <c r="H307" s="467">
        <v>0</v>
      </c>
      <c r="I307" s="475"/>
      <c r="J307" s="613"/>
      <c r="K307" s="1645">
        <f>SUM(E307,H307)</f>
        <v>0</v>
      </c>
      <c r="L307" s="466">
        <v>0</v>
      </c>
    </row>
    <row r="308" spans="1:14" x14ac:dyDescent="0.2">
      <c r="A308" s="1478" t="s">
        <v>697</v>
      </c>
      <c r="B308" s="611">
        <v>4140</v>
      </c>
      <c r="C308" s="613"/>
      <c r="D308" s="613"/>
      <c r="E308" s="467">
        <v>0</v>
      </c>
      <c r="F308" s="613"/>
      <c r="G308" s="613"/>
      <c r="H308" s="467">
        <v>0</v>
      </c>
      <c r="I308" s="475"/>
      <c r="J308" s="613"/>
      <c r="K308" s="1645">
        <f>SUM(E308,H308)</f>
        <v>0</v>
      </c>
      <c r="L308" s="466">
        <v>0</v>
      </c>
    </row>
    <row r="309" spans="1:14" ht="12.75" customHeight="1" x14ac:dyDescent="0.2">
      <c r="A309" s="1482" t="s">
        <v>698</v>
      </c>
      <c r="B309" s="625">
        <v>4190</v>
      </c>
      <c r="C309" s="613"/>
      <c r="D309" s="613"/>
      <c r="E309" s="467">
        <v>0</v>
      </c>
      <c r="F309" s="613"/>
      <c r="G309" s="613"/>
      <c r="H309" s="467">
        <v>0</v>
      </c>
      <c r="I309" s="475"/>
      <c r="J309" s="613"/>
      <c r="K309" s="1645">
        <f>SUM(E309,H309)</f>
        <v>0</v>
      </c>
      <c r="L309" s="466">
        <v>0</v>
      </c>
    </row>
    <row r="310" spans="1:14" ht="12.75" customHeight="1" thickBot="1" x14ac:dyDescent="0.25">
      <c r="A310" s="1642" t="s">
        <v>1486</v>
      </c>
      <c r="B310" s="1649" t="s">
        <v>860</v>
      </c>
      <c r="C310" s="613"/>
      <c r="D310" s="613"/>
      <c r="E310" s="1644">
        <f>SUM(E306:E309)</f>
        <v>0</v>
      </c>
      <c r="F310" s="613"/>
      <c r="G310" s="613"/>
      <c r="H310" s="1644">
        <f>SUM(H306:H309)</f>
        <v>0</v>
      </c>
      <c r="I310" s="475"/>
      <c r="J310" s="613"/>
      <c r="K310" s="1644">
        <f>SUM(K306:K309)</f>
        <v>0</v>
      </c>
      <c r="L310" s="1651">
        <f>SUM(L306:L309)</f>
        <v>0</v>
      </c>
    </row>
    <row r="311" spans="1:14" ht="15.75" customHeight="1" thickTop="1" thickBot="1" x14ac:dyDescent="0.25">
      <c r="A311" s="1593" t="s">
        <v>895</v>
      </c>
      <c r="B311" s="1585" t="s">
        <v>861</v>
      </c>
      <c r="C311" s="620"/>
      <c r="D311" s="620"/>
      <c r="E311" s="620"/>
      <c r="F311" s="620"/>
      <c r="G311" s="620"/>
      <c r="H311" s="620"/>
      <c r="I311" s="620"/>
      <c r="J311" s="613"/>
      <c r="K311" s="620"/>
      <c r="L311" s="573">
        <v>0</v>
      </c>
    </row>
    <row r="312" spans="1:14" s="671" customFormat="1" ht="12.75" customHeight="1" thickTop="1" thickBot="1" x14ac:dyDescent="0.25">
      <c r="A312" s="2371" t="s">
        <v>277</v>
      </c>
      <c r="B312" s="2372"/>
      <c r="C312" s="1644">
        <f>SUM(C303)</f>
        <v>0</v>
      </c>
      <c r="D312" s="1644">
        <f>SUM(D303)</f>
        <v>0</v>
      </c>
      <c r="E312" s="1644">
        <f>SUM(E303,E310)</f>
        <v>0</v>
      </c>
      <c r="F312" s="1644">
        <f>SUM(F303)</f>
        <v>0</v>
      </c>
      <c r="G312" s="1644">
        <f>SUM(G303)</f>
        <v>0</v>
      </c>
      <c r="H312" s="1644">
        <f>SUM(H303,H310)</f>
        <v>0</v>
      </c>
      <c r="I312" s="1644">
        <f>SUM(I303)</f>
        <v>0</v>
      </c>
      <c r="J312" s="1644">
        <f>SUM(J303)</f>
        <v>0</v>
      </c>
      <c r="K312" s="1644">
        <f>SUM(K303,K310,K311)</f>
        <v>0</v>
      </c>
      <c r="L312" s="1644">
        <f>SUM(L303,L310,L311)</f>
        <v>0</v>
      </c>
      <c r="M312" s="662"/>
      <c r="N312" s="662"/>
    </row>
    <row r="313" spans="1:14" ht="13.5" thickTop="1" x14ac:dyDescent="0.2">
      <c r="A313" s="2367" t="s">
        <v>996</v>
      </c>
      <c r="B313" s="2368"/>
      <c r="C313" s="623"/>
      <c r="D313" s="623"/>
      <c r="E313" s="623"/>
      <c r="F313" s="623"/>
      <c r="G313" s="623"/>
      <c r="H313" s="623"/>
      <c r="I313" s="623"/>
      <c r="J313" s="623"/>
      <c r="K313" s="1659">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80" t="s">
        <v>149</v>
      </c>
      <c r="B315" s="2381"/>
      <c r="C315" s="1530"/>
      <c r="D315" s="1531"/>
      <c r="E315" s="1531"/>
      <c r="F315" s="1531"/>
      <c r="G315" s="1531"/>
      <c r="H315" s="1531"/>
      <c r="I315" s="1531"/>
      <c r="J315" s="1531"/>
      <c r="K315" s="1531"/>
      <c r="L315" s="1532"/>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82" t="s">
        <v>898</v>
      </c>
      <c r="B317" s="2381"/>
      <c r="C317" s="1530"/>
      <c r="D317" s="1531"/>
      <c r="E317" s="1531"/>
      <c r="F317" s="1531"/>
      <c r="G317" s="1531"/>
      <c r="H317" s="1531"/>
      <c r="I317" s="1531"/>
      <c r="J317" s="1531"/>
      <c r="K317" s="1531"/>
      <c r="L317" s="1532"/>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93" t="s">
        <v>299</v>
      </c>
      <c r="B319" s="694" t="s">
        <v>281</v>
      </c>
      <c r="C319" s="467">
        <v>0</v>
      </c>
      <c r="D319" s="467">
        <v>0</v>
      </c>
      <c r="E319" s="467">
        <v>0</v>
      </c>
      <c r="F319" s="467">
        <v>0</v>
      </c>
      <c r="G319" s="467">
        <v>0</v>
      </c>
      <c r="H319" s="467">
        <v>0</v>
      </c>
      <c r="I319" s="467">
        <v>0</v>
      </c>
      <c r="J319" s="467">
        <v>0</v>
      </c>
      <c r="K319" s="1645">
        <f>SUM(C319:J319)</f>
        <v>0</v>
      </c>
      <c r="L319" s="467">
        <v>0</v>
      </c>
      <c r="M319" s="662"/>
      <c r="N319" s="662"/>
    </row>
    <row r="320" spans="1:14" s="671" customFormat="1" x14ac:dyDescent="0.2">
      <c r="A320" s="1497" t="s">
        <v>1799</v>
      </c>
      <c r="B320" s="695" t="s">
        <v>282</v>
      </c>
      <c r="C320" s="467">
        <v>0</v>
      </c>
      <c r="D320" s="467">
        <v>0</v>
      </c>
      <c r="E320" s="467">
        <v>0</v>
      </c>
      <c r="F320" s="467">
        <v>0</v>
      </c>
      <c r="G320" s="467">
        <v>0</v>
      </c>
      <c r="H320" s="467">
        <v>0</v>
      </c>
      <c r="I320" s="467">
        <v>0</v>
      </c>
      <c r="J320" s="467">
        <v>0</v>
      </c>
      <c r="K320" s="1645">
        <f t="shared" ref="K320:K327" si="24">SUM(C320:J320)</f>
        <v>0</v>
      </c>
      <c r="L320" s="467">
        <v>0</v>
      </c>
      <c r="M320" s="662"/>
      <c r="N320" s="662"/>
    </row>
    <row r="321" spans="1:14" s="671" customFormat="1" x14ac:dyDescent="0.2">
      <c r="A321" s="1493" t="s">
        <v>300</v>
      </c>
      <c r="B321" s="694" t="s">
        <v>283</v>
      </c>
      <c r="C321" s="467">
        <v>0</v>
      </c>
      <c r="D321" s="467">
        <v>0</v>
      </c>
      <c r="E321" s="467">
        <v>0</v>
      </c>
      <c r="F321" s="467">
        <v>0</v>
      </c>
      <c r="G321" s="467">
        <v>0</v>
      </c>
      <c r="H321" s="467">
        <v>0</v>
      </c>
      <c r="I321" s="467">
        <v>0</v>
      </c>
      <c r="J321" s="467">
        <v>0</v>
      </c>
      <c r="K321" s="1645">
        <f t="shared" si="24"/>
        <v>0</v>
      </c>
      <c r="L321" s="467">
        <v>0</v>
      </c>
      <c r="M321" s="662"/>
      <c r="N321" s="662"/>
    </row>
    <row r="322" spans="1:14" s="671" customFormat="1" x14ac:dyDescent="0.2">
      <c r="A322" s="1493" t="s">
        <v>238</v>
      </c>
      <c r="B322" s="694" t="s">
        <v>284</v>
      </c>
      <c r="C322" s="467">
        <v>0</v>
      </c>
      <c r="D322" s="467">
        <v>0</v>
      </c>
      <c r="E322" s="467">
        <v>0</v>
      </c>
      <c r="F322" s="467">
        <v>0</v>
      </c>
      <c r="G322" s="467">
        <v>0</v>
      </c>
      <c r="H322" s="467">
        <v>0</v>
      </c>
      <c r="I322" s="467">
        <v>0</v>
      </c>
      <c r="J322" s="467">
        <v>0</v>
      </c>
      <c r="K322" s="1645">
        <f t="shared" si="24"/>
        <v>0</v>
      </c>
      <c r="L322" s="467">
        <v>0</v>
      </c>
      <c r="M322" s="662"/>
      <c r="N322" s="662"/>
    </row>
    <row r="323" spans="1:14" s="671" customFormat="1" x14ac:dyDescent="0.2">
      <c r="A323" s="1493" t="s">
        <v>702</v>
      </c>
      <c r="B323" s="694" t="s">
        <v>285</v>
      </c>
      <c r="C323" s="467">
        <v>0</v>
      </c>
      <c r="D323" s="467">
        <v>0</v>
      </c>
      <c r="E323" s="467">
        <v>0</v>
      </c>
      <c r="F323" s="467">
        <v>0</v>
      </c>
      <c r="G323" s="467">
        <v>0</v>
      </c>
      <c r="H323" s="467">
        <v>0</v>
      </c>
      <c r="I323" s="467">
        <v>0</v>
      </c>
      <c r="J323" s="467">
        <v>0</v>
      </c>
      <c r="K323" s="1645">
        <f t="shared" si="24"/>
        <v>0</v>
      </c>
      <c r="L323" s="467">
        <v>0</v>
      </c>
      <c r="M323" s="662"/>
      <c r="N323" s="662"/>
    </row>
    <row r="324" spans="1:14" s="671" customFormat="1" x14ac:dyDescent="0.2">
      <c r="A324" s="1493" t="s">
        <v>239</v>
      </c>
      <c r="B324" s="694" t="s">
        <v>286</v>
      </c>
      <c r="C324" s="467">
        <v>0</v>
      </c>
      <c r="D324" s="467">
        <v>0</v>
      </c>
      <c r="E324" s="467">
        <v>0</v>
      </c>
      <c r="F324" s="467">
        <v>0</v>
      </c>
      <c r="G324" s="467">
        <v>0</v>
      </c>
      <c r="H324" s="467">
        <v>0</v>
      </c>
      <c r="I324" s="467">
        <v>0</v>
      </c>
      <c r="J324" s="467">
        <v>0</v>
      </c>
      <c r="K324" s="1645">
        <f t="shared" si="24"/>
        <v>0</v>
      </c>
      <c r="L324" s="467">
        <v>0</v>
      </c>
      <c r="M324" s="662"/>
      <c r="N324" s="662"/>
    </row>
    <row r="325" spans="1:14" s="671" customFormat="1" ht="22.5" x14ac:dyDescent="0.2">
      <c r="A325" s="1493" t="s">
        <v>1029</v>
      </c>
      <c r="B325" s="695" t="s">
        <v>287</v>
      </c>
      <c r="C325" s="467">
        <v>0</v>
      </c>
      <c r="D325" s="467">
        <v>0</v>
      </c>
      <c r="E325" s="467">
        <v>0</v>
      </c>
      <c r="F325" s="467">
        <v>0</v>
      </c>
      <c r="G325" s="467">
        <v>0</v>
      </c>
      <c r="H325" s="467">
        <v>0</v>
      </c>
      <c r="I325" s="467">
        <v>0</v>
      </c>
      <c r="J325" s="467">
        <v>0</v>
      </c>
      <c r="K325" s="1645">
        <f t="shared" si="24"/>
        <v>0</v>
      </c>
      <c r="L325" s="467">
        <v>0</v>
      </c>
      <c r="M325" s="662"/>
      <c r="N325" s="662"/>
    </row>
    <row r="326" spans="1:14" s="671" customFormat="1" x14ac:dyDescent="0.2">
      <c r="A326" s="1493" t="s">
        <v>1030</v>
      </c>
      <c r="B326" s="694" t="s">
        <v>288</v>
      </c>
      <c r="C326" s="467">
        <v>0</v>
      </c>
      <c r="D326" s="467">
        <v>0</v>
      </c>
      <c r="E326" s="467">
        <v>0</v>
      </c>
      <c r="F326" s="467">
        <v>0</v>
      </c>
      <c r="G326" s="467">
        <v>0</v>
      </c>
      <c r="H326" s="467">
        <v>0</v>
      </c>
      <c r="I326" s="467">
        <v>0</v>
      </c>
      <c r="J326" s="467">
        <v>0</v>
      </c>
      <c r="K326" s="1645">
        <f t="shared" si="24"/>
        <v>0</v>
      </c>
      <c r="L326" s="467">
        <v>0</v>
      </c>
      <c r="M326" s="662"/>
      <c r="N326" s="662"/>
    </row>
    <row r="327" spans="1:14" s="671" customFormat="1" x14ac:dyDescent="0.2">
      <c r="A327" s="1493" t="s">
        <v>971</v>
      </c>
      <c r="B327" s="694" t="s">
        <v>289</v>
      </c>
      <c r="C327" s="467">
        <v>0</v>
      </c>
      <c r="D327" s="467">
        <v>0</v>
      </c>
      <c r="E327" s="467">
        <v>0</v>
      </c>
      <c r="F327" s="467">
        <v>0</v>
      </c>
      <c r="G327" s="467">
        <v>0</v>
      </c>
      <c r="H327" s="467">
        <v>0</v>
      </c>
      <c r="I327" s="467">
        <v>0</v>
      </c>
      <c r="J327" s="467">
        <v>0</v>
      </c>
      <c r="K327" s="1645">
        <f t="shared" si="24"/>
        <v>0</v>
      </c>
      <c r="L327" s="467">
        <v>0</v>
      </c>
      <c r="M327" s="662"/>
      <c r="N327" s="662"/>
    </row>
    <row r="328" spans="1:14" s="671" customFormat="1" x14ac:dyDescent="0.2">
      <c r="A328" s="1494" t="s">
        <v>472</v>
      </c>
      <c r="B328" s="687" t="s">
        <v>1132</v>
      </c>
      <c r="C328" s="473">
        <v>0</v>
      </c>
      <c r="D328" s="473">
        <v>0</v>
      </c>
      <c r="E328" s="473">
        <v>0</v>
      </c>
      <c r="F328" s="473">
        <v>0</v>
      </c>
      <c r="G328" s="473">
        <v>0</v>
      </c>
      <c r="H328" s="473">
        <v>0</v>
      </c>
      <c r="I328" s="473">
        <v>0</v>
      </c>
      <c r="J328" s="473">
        <v>0</v>
      </c>
      <c r="K328" s="1673">
        <f>SUM(C328:J328)</f>
        <v>0</v>
      </c>
      <c r="L328" s="473">
        <v>0</v>
      </c>
      <c r="M328" s="662"/>
      <c r="N328" s="662"/>
    </row>
    <row r="329" spans="1:14" s="671" customFormat="1" x14ac:dyDescent="0.2">
      <c r="A329" s="1494" t="s">
        <v>1133</v>
      </c>
      <c r="B329" s="687" t="s">
        <v>1134</v>
      </c>
      <c r="C329" s="473">
        <v>0</v>
      </c>
      <c r="D329" s="473">
        <v>0</v>
      </c>
      <c r="E329" s="473">
        <v>0</v>
      </c>
      <c r="F329" s="473">
        <v>0</v>
      </c>
      <c r="G329" s="473">
        <v>0</v>
      </c>
      <c r="H329" s="473">
        <v>0</v>
      </c>
      <c r="I329" s="473">
        <v>0</v>
      </c>
      <c r="J329" s="473">
        <v>0</v>
      </c>
      <c r="K329" s="1673">
        <f>SUM(C329:J329)</f>
        <v>0</v>
      </c>
      <c r="L329" s="473">
        <v>0</v>
      </c>
      <c r="M329" s="662"/>
      <c r="N329" s="662"/>
    </row>
    <row r="330" spans="1:14" s="671" customFormat="1" ht="12.75" customHeight="1" thickBot="1" x14ac:dyDescent="0.25">
      <c r="A330" s="1674" t="s">
        <v>717</v>
      </c>
      <c r="B330" s="1643" t="s">
        <v>569</v>
      </c>
      <c r="C330" s="1644">
        <f>SUM(C319:C329)</f>
        <v>0</v>
      </c>
      <c r="D330" s="1644">
        <f t="shared" ref="D330:J330" si="25">SUM(D319:D329)</f>
        <v>0</v>
      </c>
      <c r="E330" s="1644">
        <f t="shared" si="25"/>
        <v>0</v>
      </c>
      <c r="F330" s="1644">
        <f t="shared" si="25"/>
        <v>0</v>
      </c>
      <c r="G330" s="1644">
        <f t="shared" si="25"/>
        <v>0</v>
      </c>
      <c r="H330" s="1644">
        <f t="shared" si="25"/>
        <v>0</v>
      </c>
      <c r="I330" s="1644">
        <f t="shared" si="25"/>
        <v>0</v>
      </c>
      <c r="J330" s="1644">
        <f t="shared" si="25"/>
        <v>0</v>
      </c>
      <c r="K330" s="1644">
        <f>SUM(K319:K329)</f>
        <v>0</v>
      </c>
      <c r="L330" s="1644">
        <f>SUM(L319:L329)</f>
        <v>0</v>
      </c>
      <c r="M330" s="662"/>
      <c r="N330" s="662"/>
    </row>
    <row r="331" spans="1:14" s="671" customFormat="1" ht="12.75" customHeight="1" thickTop="1" x14ac:dyDescent="0.2">
      <c r="A331" s="1805" t="s">
        <v>1844</v>
      </c>
      <c r="B331" s="644" t="s">
        <v>860</v>
      </c>
      <c r="C331" s="1807"/>
      <c r="D331" s="1807"/>
      <c r="E331" s="1807"/>
      <c r="F331" s="1807"/>
      <c r="G331" s="1807"/>
      <c r="H331" s="1807"/>
      <c r="I331" s="1807"/>
      <c r="J331" s="1807"/>
      <c r="K331" s="1807"/>
      <c r="L331" s="1807"/>
      <c r="M331" s="662"/>
      <c r="N331" s="662"/>
    </row>
    <row r="332" spans="1:14" s="671" customFormat="1" ht="12.75" customHeight="1" x14ac:dyDescent="0.2">
      <c r="A332" s="1806" t="s">
        <v>496</v>
      </c>
      <c r="B332" s="1801" t="s">
        <v>1838</v>
      </c>
      <c r="C332" s="1807"/>
      <c r="D332" s="1807"/>
      <c r="E332" s="1807"/>
      <c r="F332" s="1807"/>
      <c r="G332" s="1807"/>
      <c r="H332" s="467">
        <v>0</v>
      </c>
      <c r="I332" s="1807"/>
      <c r="J332" s="1807"/>
      <c r="K332" s="1645">
        <f>H332</f>
        <v>0</v>
      </c>
      <c r="L332" s="467">
        <v>0</v>
      </c>
      <c r="M332" s="662"/>
      <c r="N332" s="662"/>
    </row>
    <row r="333" spans="1:14" s="671" customFormat="1" ht="12.75" customHeight="1" x14ac:dyDescent="0.2">
      <c r="A333" s="1806" t="s">
        <v>304</v>
      </c>
      <c r="B333" s="1801" t="s">
        <v>1840</v>
      </c>
      <c r="C333" s="1807"/>
      <c r="D333" s="1807"/>
      <c r="E333" s="1807"/>
      <c r="F333" s="1807"/>
      <c r="G333" s="1807"/>
      <c r="H333" s="467">
        <v>0</v>
      </c>
      <c r="I333" s="1807"/>
      <c r="J333" s="1807"/>
      <c r="K333" s="1645">
        <f>H333</f>
        <v>0</v>
      </c>
      <c r="L333" s="467">
        <v>0</v>
      </c>
      <c r="M333" s="662"/>
      <c r="N333" s="662"/>
    </row>
    <row r="334" spans="1:14" s="671" customFormat="1" ht="12.75" customHeight="1" thickBot="1" x14ac:dyDescent="0.25">
      <c r="A334" s="1806" t="s">
        <v>1845</v>
      </c>
      <c r="B334" s="1801" t="s">
        <v>860</v>
      </c>
      <c r="C334" s="1807"/>
      <c r="D334" s="1807"/>
      <c r="E334" s="1807"/>
      <c r="F334" s="1807"/>
      <c r="G334" s="1807"/>
      <c r="H334" s="1644">
        <f>SUM(H332:H333)</f>
        <v>0</v>
      </c>
      <c r="I334" s="1807"/>
      <c r="J334" s="1807"/>
      <c r="K334" s="1644">
        <f>SUM(K332:K333)</f>
        <v>0</v>
      </c>
      <c r="L334" s="1644">
        <f>SUM(L332:L333)</f>
        <v>0</v>
      </c>
      <c r="M334" s="662"/>
      <c r="N334" s="662"/>
    </row>
    <row r="335" spans="1:14" ht="15.75" customHeight="1" thickTop="1" x14ac:dyDescent="0.2">
      <c r="A335" s="1590" t="s">
        <v>899</v>
      </c>
      <c r="B335" s="1581"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92" t="s">
        <v>87</v>
      </c>
      <c r="B337" s="687" t="s">
        <v>900</v>
      </c>
      <c r="C337" s="635"/>
      <c r="D337" s="635"/>
      <c r="E337" s="635"/>
      <c r="F337" s="635"/>
      <c r="G337" s="635"/>
      <c r="H337" s="476">
        <v>0</v>
      </c>
      <c r="I337" s="635"/>
      <c r="J337" s="635"/>
      <c r="K337" s="1645">
        <f>H337</f>
        <v>0</v>
      </c>
      <c r="L337" s="476">
        <v>0</v>
      </c>
    </row>
    <row r="338" spans="1:14" ht="12.75" customHeight="1" x14ac:dyDescent="0.2">
      <c r="A338" s="1492" t="s">
        <v>1170</v>
      </c>
      <c r="B338" s="687" t="s">
        <v>617</v>
      </c>
      <c r="C338" s="635"/>
      <c r="D338" s="635"/>
      <c r="E338" s="635"/>
      <c r="F338" s="635"/>
      <c r="G338" s="635"/>
      <c r="H338" s="476">
        <v>0</v>
      </c>
      <c r="I338" s="635"/>
      <c r="J338" s="635"/>
      <c r="K338" s="1645">
        <f>H338</f>
        <v>0</v>
      </c>
      <c r="L338" s="476">
        <v>0</v>
      </c>
    </row>
    <row r="339" spans="1:14" x14ac:dyDescent="0.2">
      <c r="A339" s="1478" t="s">
        <v>901</v>
      </c>
      <c r="B339" s="625">
        <v>5150</v>
      </c>
      <c r="C339" s="635"/>
      <c r="D339" s="635"/>
      <c r="E339" s="635"/>
      <c r="F339" s="635"/>
      <c r="G339" s="635"/>
      <c r="H339" s="467">
        <v>0</v>
      </c>
      <c r="I339" s="635"/>
      <c r="J339" s="635"/>
      <c r="K339" s="1645">
        <f>H339</f>
        <v>0</v>
      </c>
      <c r="L339" s="467">
        <v>0</v>
      </c>
    </row>
    <row r="340" spans="1:14" ht="13.5" thickBot="1" x14ac:dyDescent="0.25">
      <c r="A340" s="1668" t="s">
        <v>902</v>
      </c>
      <c r="B340" s="1643" t="s">
        <v>492</v>
      </c>
      <c r="C340" s="613"/>
      <c r="D340" s="613"/>
      <c r="E340" s="613"/>
      <c r="F340" s="613"/>
      <c r="G340" s="613"/>
      <c r="H340" s="1662">
        <f>SUM(H337:H339)</f>
        <v>0</v>
      </c>
      <c r="I340" s="613"/>
      <c r="J340" s="613"/>
      <c r="K340" s="1662">
        <f>SUM(K337:K339)</f>
        <v>0</v>
      </c>
      <c r="L340" s="1662">
        <f>SUM(L337:L339)</f>
        <v>0</v>
      </c>
    </row>
    <row r="341" spans="1:14" ht="15.75" customHeight="1" thickTop="1" thickBot="1" x14ac:dyDescent="0.25">
      <c r="A341" s="1593" t="s">
        <v>903</v>
      </c>
      <c r="B341" s="1585" t="s">
        <v>861</v>
      </c>
      <c r="C341" s="613"/>
      <c r="D341" s="613"/>
      <c r="E341" s="475"/>
      <c r="F341" s="468"/>
      <c r="G341" s="468"/>
      <c r="H341" s="475"/>
      <c r="I341" s="475"/>
      <c r="J341" s="468"/>
      <c r="K341" s="475"/>
      <c r="L341" s="573">
        <v>0</v>
      </c>
    </row>
    <row r="342" spans="1:14" ht="12.75" customHeight="1" thickTop="1" thickBot="1" x14ac:dyDescent="0.25">
      <c r="A342" s="1660" t="s">
        <v>505</v>
      </c>
      <c r="B342" s="1675"/>
      <c r="C342" s="1644">
        <f>SUM(C330)</f>
        <v>0</v>
      </c>
      <c r="D342" s="1644">
        <f>SUM(D330)</f>
        <v>0</v>
      </c>
      <c r="E342" s="1644">
        <f>SUM(E330)</f>
        <v>0</v>
      </c>
      <c r="F342" s="1644">
        <f>SUM(F330)</f>
        <v>0</v>
      </c>
      <c r="G342" s="1644">
        <f>SUM(G330)</f>
        <v>0</v>
      </c>
      <c r="H342" s="1644">
        <f>SUM(H330,H334,H340)</f>
        <v>0</v>
      </c>
      <c r="I342" s="1644">
        <f>SUM(I330)</f>
        <v>0</v>
      </c>
      <c r="J342" s="1644">
        <f>SUM(J330)</f>
        <v>0</v>
      </c>
      <c r="K342" s="1644">
        <f>SUM(K330,K334,K340)</f>
        <v>0</v>
      </c>
      <c r="L342" s="1651">
        <f>SUM(L330,L340,L341)</f>
        <v>0</v>
      </c>
    </row>
    <row r="343" spans="1:14" ht="12.75" customHeight="1" thickTop="1" x14ac:dyDescent="0.2">
      <c r="A343" s="2369" t="s">
        <v>996</v>
      </c>
      <c r="B343" s="2370"/>
      <c r="C343" s="613"/>
      <c r="D343" s="613"/>
      <c r="E343" s="613"/>
      <c r="F343" s="613"/>
      <c r="G343" s="613"/>
      <c r="H343" s="613"/>
      <c r="I343" s="613"/>
      <c r="J343" s="613"/>
      <c r="K343" s="1658">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59" t="s">
        <v>966</v>
      </c>
      <c r="B345" s="2360"/>
      <c r="C345" s="1525"/>
      <c r="D345" s="1526"/>
      <c r="E345" s="1526"/>
      <c r="F345" s="1526"/>
      <c r="G345" s="1526"/>
      <c r="H345" s="1526"/>
      <c r="I345" s="1526"/>
      <c r="J345" s="1526"/>
      <c r="K345" s="1526"/>
      <c r="L345" s="1527"/>
      <c r="M345" s="664"/>
      <c r="N345" s="664"/>
    </row>
    <row r="346" spans="1:14" s="343" customFormat="1" ht="15.75" customHeight="1" x14ac:dyDescent="0.2">
      <c r="A346" s="1597" t="s">
        <v>844</v>
      </c>
      <c r="B346" s="1589"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78" t="s">
        <v>4</v>
      </c>
      <c r="B348" s="611">
        <v>2530</v>
      </c>
      <c r="C348" s="466">
        <v>0</v>
      </c>
      <c r="D348" s="466">
        <v>0</v>
      </c>
      <c r="E348" s="466">
        <v>0</v>
      </c>
      <c r="F348" s="466">
        <v>0</v>
      </c>
      <c r="G348" s="466">
        <v>0</v>
      </c>
      <c r="H348" s="466">
        <v>0</v>
      </c>
      <c r="I348" s="467">
        <v>0</v>
      </c>
      <c r="J348" s="467">
        <v>0</v>
      </c>
      <c r="K348" s="1645">
        <f>SUM(C348:J348)</f>
        <v>0</v>
      </c>
      <c r="L348" s="466">
        <v>0</v>
      </c>
    </row>
    <row r="349" spans="1:14" x14ac:dyDescent="0.2">
      <c r="A349" s="1478" t="s">
        <v>197</v>
      </c>
      <c r="B349" s="611">
        <v>2540</v>
      </c>
      <c r="C349" s="466">
        <v>0</v>
      </c>
      <c r="D349" s="466">
        <v>0</v>
      </c>
      <c r="E349" s="466">
        <v>0</v>
      </c>
      <c r="F349" s="466">
        <v>0</v>
      </c>
      <c r="G349" s="466">
        <v>0</v>
      </c>
      <c r="H349" s="466">
        <v>0</v>
      </c>
      <c r="I349" s="467">
        <v>0</v>
      </c>
      <c r="J349" s="467">
        <v>0</v>
      </c>
      <c r="K349" s="1645">
        <f>SUM(C349:J349)</f>
        <v>0</v>
      </c>
      <c r="L349" s="466">
        <v>0</v>
      </c>
    </row>
    <row r="350" spans="1:14" ht="12.75" customHeight="1" thickBot="1" x14ac:dyDescent="0.25">
      <c r="A350" s="1642" t="s">
        <v>719</v>
      </c>
      <c r="B350" s="1643" t="s">
        <v>35</v>
      </c>
      <c r="C350" s="1644">
        <f>SUM(C348:C349)</f>
        <v>0</v>
      </c>
      <c r="D350" s="1644">
        <f t="shared" ref="D350:L350" si="26">SUM(D348:D349)</f>
        <v>0</v>
      </c>
      <c r="E350" s="1644">
        <f t="shared" si="26"/>
        <v>0</v>
      </c>
      <c r="F350" s="1644">
        <f t="shared" si="26"/>
        <v>0</v>
      </c>
      <c r="G350" s="1644">
        <f t="shared" si="26"/>
        <v>0</v>
      </c>
      <c r="H350" s="1644">
        <f t="shared" si="26"/>
        <v>0</v>
      </c>
      <c r="I350" s="1644">
        <f t="shared" si="26"/>
        <v>0</v>
      </c>
      <c r="J350" s="1644">
        <f t="shared" si="26"/>
        <v>0</v>
      </c>
      <c r="K350" s="1644">
        <f t="shared" si="26"/>
        <v>0</v>
      </c>
      <c r="L350" s="1644">
        <f t="shared" si="26"/>
        <v>0</v>
      </c>
    </row>
    <row r="351" spans="1:14" ht="12.75" customHeight="1" thickTop="1" x14ac:dyDescent="0.2">
      <c r="A351" s="1484"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42" t="s">
        <v>624</v>
      </c>
      <c r="B352" s="1649" t="s">
        <v>569</v>
      </c>
      <c r="C352" s="1644">
        <f>SUM(C350:C351)</f>
        <v>0</v>
      </c>
      <c r="D352" s="1644">
        <f t="shared" ref="D352:L352" si="27">SUM(D350:D351)</f>
        <v>0</v>
      </c>
      <c r="E352" s="1644">
        <f t="shared" si="27"/>
        <v>0</v>
      </c>
      <c r="F352" s="1644">
        <f t="shared" si="27"/>
        <v>0</v>
      </c>
      <c r="G352" s="1644">
        <f t="shared" si="27"/>
        <v>0</v>
      </c>
      <c r="H352" s="1644">
        <f t="shared" si="27"/>
        <v>0</v>
      </c>
      <c r="I352" s="1644">
        <f t="shared" si="27"/>
        <v>0</v>
      </c>
      <c r="J352" s="1644">
        <f t="shared" si="27"/>
        <v>0</v>
      </c>
      <c r="K352" s="1644">
        <f t="shared" si="27"/>
        <v>0</v>
      </c>
      <c r="L352" s="1644">
        <f t="shared" si="27"/>
        <v>0</v>
      </c>
    </row>
    <row r="353" spans="1:14" s="343" customFormat="1" ht="15.75" customHeight="1" thickTop="1" x14ac:dyDescent="0.2">
      <c r="A353" s="1586" t="s">
        <v>625</v>
      </c>
      <c r="B353" s="1583" t="s">
        <v>860</v>
      </c>
      <c r="C353" s="613"/>
      <c r="D353" s="613"/>
      <c r="E353" s="613"/>
      <c r="F353" s="613"/>
      <c r="G353" s="613"/>
      <c r="H353" s="613"/>
      <c r="I353" s="613"/>
      <c r="J353" s="613"/>
      <c r="K353" s="613"/>
      <c r="L353" s="613"/>
      <c r="M353" s="606"/>
      <c r="N353" s="606"/>
    </row>
    <row r="354" spans="1:14" x14ac:dyDescent="0.2">
      <c r="A354" s="1808" t="s">
        <v>1846</v>
      </c>
      <c r="B354" s="680" t="s">
        <v>1838</v>
      </c>
      <c r="C354" s="613"/>
      <c r="D354" s="613"/>
      <c r="E354" s="613"/>
      <c r="F354" s="613"/>
      <c r="G354" s="613"/>
      <c r="H354" s="473">
        <v>0</v>
      </c>
      <c r="I354" s="698"/>
      <c r="J354" s="613"/>
      <c r="K354" s="1673">
        <f>H354</f>
        <v>0</v>
      </c>
      <c r="L354" s="471">
        <v>0</v>
      </c>
    </row>
    <row r="355" spans="1:14" ht="12.75" customHeight="1" x14ac:dyDescent="0.2">
      <c r="A355" s="1487" t="s">
        <v>1847</v>
      </c>
      <c r="B355" s="687" t="s">
        <v>1840</v>
      </c>
      <c r="C355" s="613"/>
      <c r="D355" s="613"/>
      <c r="E355" s="613"/>
      <c r="F355" s="613"/>
      <c r="G355" s="613"/>
      <c r="H355" s="467">
        <v>0</v>
      </c>
      <c r="I355" s="698"/>
      <c r="J355" s="613"/>
      <c r="K355" s="1717">
        <f>H355</f>
        <v>0</v>
      </c>
      <c r="L355" s="467">
        <v>0</v>
      </c>
    </row>
    <row r="356" spans="1:14" ht="12.75" customHeight="1" x14ac:dyDescent="0.2">
      <c r="A356" s="1808" t="s">
        <v>698</v>
      </c>
      <c r="B356" s="680" t="s">
        <v>558</v>
      </c>
      <c r="C356" s="613"/>
      <c r="D356" s="613"/>
      <c r="E356" s="613"/>
      <c r="F356" s="613"/>
      <c r="G356" s="613"/>
      <c r="H356" s="477">
        <v>0</v>
      </c>
      <c r="I356" s="698"/>
      <c r="J356" s="613"/>
      <c r="K356" s="1714">
        <f>H356</f>
        <v>0</v>
      </c>
      <c r="L356" s="477">
        <v>0</v>
      </c>
    </row>
    <row r="357" spans="1:14" ht="12.75" customHeight="1" thickBot="1" x14ac:dyDescent="0.25">
      <c r="A357" s="1642" t="s">
        <v>1486</v>
      </c>
      <c r="B357" s="1643" t="s">
        <v>860</v>
      </c>
      <c r="C357" s="613"/>
      <c r="D357" s="613"/>
      <c r="E357" s="613"/>
      <c r="F357" s="613"/>
      <c r="G357" s="613"/>
      <c r="H357" s="1662">
        <f>SUM(H354:H356)</f>
        <v>0</v>
      </c>
      <c r="I357" s="698"/>
      <c r="J357" s="613"/>
      <c r="K357" s="1662">
        <f>SUM(K354:K356)</f>
        <v>0</v>
      </c>
      <c r="L357" s="1662">
        <f>SUM(L354:L356)</f>
        <v>0</v>
      </c>
    </row>
    <row r="358" spans="1:14" s="343" customFormat="1" ht="15.75" customHeight="1" thickTop="1" x14ac:dyDescent="0.2">
      <c r="A358" s="1586" t="s">
        <v>948</v>
      </c>
      <c r="B358" s="1583"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78" t="s">
        <v>87</v>
      </c>
      <c r="B360" s="611">
        <v>5110</v>
      </c>
      <c r="C360" s="613"/>
      <c r="D360" s="613"/>
      <c r="E360" s="613"/>
      <c r="F360" s="613"/>
      <c r="G360" s="613"/>
      <c r="H360" s="467">
        <v>0</v>
      </c>
      <c r="I360" s="613"/>
      <c r="J360" s="613"/>
      <c r="K360" s="1645">
        <f>SUM(C360:J360)</f>
        <v>0</v>
      </c>
      <c r="L360" s="466">
        <v>0</v>
      </c>
    </row>
    <row r="361" spans="1:14" ht="12.75" customHeight="1" x14ac:dyDescent="0.2">
      <c r="A361" s="1479" t="s">
        <v>619</v>
      </c>
      <c r="B361" s="599" t="s">
        <v>618</v>
      </c>
      <c r="C361" s="613"/>
      <c r="D361" s="613"/>
      <c r="E361" s="613"/>
      <c r="F361" s="613"/>
      <c r="G361" s="613"/>
      <c r="H361" s="467">
        <v>0</v>
      </c>
      <c r="I361" s="613"/>
      <c r="J361" s="613"/>
      <c r="K361" s="1645">
        <f>SUM(C361:J361)</f>
        <v>0</v>
      </c>
      <c r="L361" s="466">
        <v>0</v>
      </c>
    </row>
    <row r="362" spans="1:14" ht="12.75" customHeight="1" thickBot="1" x14ac:dyDescent="0.25">
      <c r="A362" s="1642" t="s">
        <v>626</v>
      </c>
      <c r="B362" s="1643" t="s">
        <v>718</v>
      </c>
      <c r="C362" s="613"/>
      <c r="D362" s="613"/>
      <c r="E362" s="613"/>
      <c r="F362" s="613"/>
      <c r="G362" s="613"/>
      <c r="H362" s="1677">
        <f>SUM(H360:H361)</f>
        <v>0</v>
      </c>
      <c r="I362" s="613"/>
      <c r="J362" s="613"/>
      <c r="K362" s="1677">
        <f>SUM(K360:K361)</f>
        <v>0</v>
      </c>
      <c r="L362" s="1677">
        <f>SUM(L360:L361)</f>
        <v>0</v>
      </c>
    </row>
    <row r="363" spans="1:14" s="671" customFormat="1" ht="15.75" customHeight="1" thickTop="1" x14ac:dyDescent="0.2">
      <c r="A363" s="657" t="s">
        <v>83</v>
      </c>
      <c r="B363" s="658" t="s">
        <v>38</v>
      </c>
      <c r="C363" s="635"/>
      <c r="D363" s="635"/>
      <c r="E363" s="635"/>
      <c r="F363" s="635"/>
      <c r="G363" s="635"/>
      <c r="H363" s="477">
        <v>0</v>
      </c>
      <c r="I363" s="635"/>
      <c r="J363" s="635"/>
      <c r="K363" s="1673">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645">
        <f>SUM(C364:J364)</f>
        <v>0</v>
      </c>
      <c r="L364" s="704">
        <v>0</v>
      </c>
    </row>
    <row r="365" spans="1:14" s="671" customFormat="1" ht="12.75" customHeight="1" thickBot="1" x14ac:dyDescent="0.25">
      <c r="A365" s="1495" t="s">
        <v>590</v>
      </c>
      <c r="B365" s="656" t="s">
        <v>492</v>
      </c>
      <c r="C365" s="635"/>
      <c r="D365" s="635"/>
      <c r="E365" s="635"/>
      <c r="F365" s="635"/>
      <c r="G365" s="635"/>
      <c r="H365" s="1677">
        <f>SUM(H362,H363,H364)</f>
        <v>0</v>
      </c>
      <c r="I365" s="635"/>
      <c r="J365" s="635"/>
      <c r="K365" s="1677">
        <f>SUM(K362,K363,K364)</f>
        <v>0</v>
      </c>
      <c r="L365" s="1677">
        <f>SUM(L362,L363,L364)</f>
        <v>0</v>
      </c>
      <c r="M365" s="662"/>
      <c r="N365" s="662"/>
    </row>
    <row r="366" spans="1:14" s="343" customFormat="1" ht="15.75" customHeight="1" thickTop="1" thickBot="1" x14ac:dyDescent="0.25">
      <c r="A366" s="1580" t="s">
        <v>949</v>
      </c>
      <c r="B366" s="1587" t="s">
        <v>861</v>
      </c>
      <c r="C366" s="620"/>
      <c r="D366" s="620"/>
      <c r="E366" s="620"/>
      <c r="F366" s="620"/>
      <c r="G366" s="620"/>
      <c r="H366" s="620"/>
      <c r="I366" s="620"/>
      <c r="J366" s="613"/>
      <c r="K366" s="620"/>
      <c r="L366" s="570">
        <v>0</v>
      </c>
      <c r="M366" s="606"/>
      <c r="N366" s="606"/>
    </row>
    <row r="367" spans="1:14" ht="12.75" customHeight="1" thickTop="1" thickBot="1" x14ac:dyDescent="0.25">
      <c r="A367" s="1666" t="s">
        <v>505</v>
      </c>
      <c r="B367" s="1678"/>
      <c r="C367" s="1644">
        <f t="shared" ref="C367:L367" si="28">SUM(C352,C357,C365,C366)</f>
        <v>0</v>
      </c>
      <c r="D367" s="1644">
        <f t="shared" si="28"/>
        <v>0</v>
      </c>
      <c r="E367" s="1644">
        <f t="shared" si="28"/>
        <v>0</v>
      </c>
      <c r="F367" s="1644">
        <f t="shared" si="28"/>
        <v>0</v>
      </c>
      <c r="G367" s="1644">
        <f t="shared" si="28"/>
        <v>0</v>
      </c>
      <c r="H367" s="1644">
        <f t="shared" si="28"/>
        <v>0</v>
      </c>
      <c r="I367" s="1644">
        <f t="shared" si="28"/>
        <v>0</v>
      </c>
      <c r="J367" s="1644">
        <f t="shared" si="28"/>
        <v>0</v>
      </c>
      <c r="K367" s="1644">
        <f t="shared" si="28"/>
        <v>0</v>
      </c>
      <c r="L367" s="1644">
        <f t="shared" si="28"/>
        <v>0</v>
      </c>
    </row>
    <row r="368" spans="1:14" ht="13.5" thickTop="1" x14ac:dyDescent="0.2">
      <c r="A368" s="2356" t="s">
        <v>996</v>
      </c>
      <c r="B368" s="2357"/>
      <c r="C368" s="651"/>
      <c r="D368" s="651"/>
      <c r="E368" s="623"/>
      <c r="F368" s="623"/>
      <c r="G368" s="623"/>
      <c r="H368" s="623"/>
      <c r="I368" s="623"/>
      <c r="J368" s="620"/>
      <c r="K368" s="1645">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6ce3111e-7420-4802-b50a-75d4e9a0b980"/>
    <ds:schemaRef ds:uri="http://schemas.openxmlformats.org/package/2006/metadata/core-properties"/>
    <ds:schemaRef ds:uri="http://purl.org/dc/dcmitype/"/>
    <ds:schemaRef ds:uri="http://schemas.microsoft.com/sharepoint/v3"/>
    <ds:schemaRef ds:uri="d21dc803-237d-4c68-8692-8d731fd29118"/>
    <ds:schemaRef ds:uri="http://purl.org/dc/elements/1.1/"/>
    <ds:schemaRef ds:uri="http://purl.org/dc/terms/"/>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23</vt:i4>
      </vt:variant>
    </vt:vector>
  </HeadingPairs>
  <TitlesOfParts>
    <vt:vector size="6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SF&amp;QC Sec-2</vt:lpstr>
      <vt:lpstr>Finding 2019 - 001</vt:lpstr>
      <vt:lpstr>Finding 2019 - 002</vt:lpstr>
      <vt:lpstr>SF&amp;QC Sec-3</vt:lpstr>
      <vt:lpstr>Finding 2019-003</vt:lpstr>
      <vt:lpstr>Finding 2019-004</vt:lpstr>
      <vt:lpstr>Finding 2019-005</vt:lpstr>
      <vt:lpstr>Finding 2019-006</vt:lpstr>
      <vt:lpstr>SSPAF</vt:lpstr>
      <vt:lpstr>CAP 2019-001</vt:lpstr>
      <vt:lpstr>CAP 2019-002</vt:lpstr>
      <vt:lpstr>CAP 2019-003</vt:lpstr>
      <vt:lpstr>CAP 2019-004</vt:lpstr>
      <vt:lpstr>CAP 2019-005</vt:lpstr>
      <vt:lpstr>CAP 2019-006</vt:lpstr>
      <vt:lpstr>' SEFA'!Print_Area</vt:lpstr>
      <vt:lpstr>'Finding 2019-003'!Print_Area</vt:lpstr>
      <vt:lpstr>'Finding 2019-004'!Print_Area</vt:lpstr>
      <vt:lpstr>'Finding 2019-005'!Print_Area</vt:lpstr>
      <vt:lpstr>'Finding 2019-006'!Print_Area</vt:lpstr>
      <vt:lpstr>'SEFA NOTES'!Print_Area</vt:lpstr>
      <vt:lpstr>'SEFA Reconcile'!Print_Area</vt:lpstr>
      <vt:lpstr>SEFA19!Print_Area</vt:lpstr>
      <vt:lpstr>'SF&amp;QC Sec-1'!Print_Area</vt:lpstr>
      <vt:lpstr>'SF&amp;QC Sec-3'!Print_Area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2020-01-15T20:43:30Z</cp:lastPrinted>
  <dcterms:created xsi:type="dcterms:W3CDTF">2003-10-29T19:06:34Z</dcterms:created>
  <dcterms:modified xsi:type="dcterms:W3CDTF">2020-01-21T19:29:05Z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