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69062195-BAE9-4337-B4EE-9F8517ADD805}"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9" i="5" l="1"/>
  <c r="C8" i="3"/>
  <c r="C27" i="3"/>
  <c r="F142" i="181"/>
  <c r="F141" i="181"/>
  <c r="F140" i="181"/>
  <c r="F139" i="181"/>
  <c r="F138" i="181"/>
  <c r="F137" i="181"/>
  <c r="F136" i="181"/>
  <c r="F135" i="181"/>
  <c r="F134" i="181"/>
  <c r="G134" i="181" s="1"/>
  <c r="F133" i="181"/>
  <c r="F132" i="181"/>
  <c r="F131" i="181"/>
  <c r="F130" i="181"/>
  <c r="F129" i="181"/>
  <c r="F128" i="181"/>
  <c r="F127" i="181"/>
  <c r="F126" i="181"/>
  <c r="F125" i="181"/>
  <c r="F124" i="181"/>
  <c r="F123" i="181"/>
  <c r="F122" i="181"/>
  <c r="F121" i="181"/>
  <c r="F120" i="181"/>
  <c r="F119" i="181"/>
  <c r="F118" i="181"/>
  <c r="F117" i="181"/>
  <c r="F116" i="181"/>
  <c r="G116" i="181" s="1"/>
  <c r="F115" i="181"/>
  <c r="F114" i="181"/>
  <c r="F113" i="181"/>
  <c r="F112" i="181"/>
  <c r="G112" i="181" s="1"/>
  <c r="F111" i="181"/>
  <c r="F110" i="181"/>
  <c r="F109" i="181"/>
  <c r="F108" i="181"/>
  <c r="F107" i="181"/>
  <c r="F106" i="181"/>
  <c r="F105" i="181"/>
  <c r="F104" i="181"/>
  <c r="G104" i="181" s="1"/>
  <c r="F103" i="181"/>
  <c r="F102" i="181"/>
  <c r="G102" i="181" s="1"/>
  <c r="F101" i="181"/>
  <c r="F100" i="181"/>
  <c r="F99" i="181"/>
  <c r="F98" i="181"/>
  <c r="F97" i="181"/>
  <c r="F96" i="181"/>
  <c r="F95" i="181"/>
  <c r="F94" i="181"/>
  <c r="F93" i="181"/>
  <c r="F92" i="181"/>
  <c r="F91" i="181"/>
  <c r="F90" i="181"/>
  <c r="G90" i="181" s="1"/>
  <c r="F89" i="181"/>
  <c r="F88" i="181"/>
  <c r="G88" i="181" s="1"/>
  <c r="F87" i="181"/>
  <c r="F86" i="181"/>
  <c r="F85" i="181"/>
  <c r="F84" i="181"/>
  <c r="F83" i="181"/>
  <c r="F82" i="181"/>
  <c r="F81" i="181"/>
  <c r="F80" i="181"/>
  <c r="F79" i="181"/>
  <c r="F78" i="181"/>
  <c r="F77" i="181"/>
  <c r="F76" i="181"/>
  <c r="F75" i="181"/>
  <c r="F74" i="181"/>
  <c r="G74" i="181" s="1"/>
  <c r="F73" i="181"/>
  <c r="F72" i="181"/>
  <c r="F71" i="181"/>
  <c r="F70" i="181"/>
  <c r="F69" i="181"/>
  <c r="F68" i="181"/>
  <c r="F67" i="181"/>
  <c r="F66" i="181"/>
  <c r="G66" i="181" s="1"/>
  <c r="F65" i="181"/>
  <c r="F64" i="181"/>
  <c r="F63" i="181"/>
  <c r="F62" i="181"/>
  <c r="G62" i="181" s="1"/>
  <c r="F61" i="181"/>
  <c r="F60" i="181"/>
  <c r="G60" i="181" s="1"/>
  <c r="F59" i="181"/>
  <c r="F58" i="181"/>
  <c r="G58" i="181" s="1"/>
  <c r="F57" i="181"/>
  <c r="F56" i="181"/>
  <c r="G56" i="181" s="1"/>
  <c r="F55" i="181"/>
  <c r="F54" i="181"/>
  <c r="F53" i="181"/>
  <c r="F52" i="181"/>
  <c r="F51" i="181"/>
  <c r="F50" i="181"/>
  <c r="G50" i="181" s="1"/>
  <c r="F49" i="181"/>
  <c r="F48" i="181"/>
  <c r="B15" i="7"/>
  <c r="D167" i="34"/>
  <c r="D166" i="34"/>
  <c r="C167" i="34"/>
  <c r="C166" i="34"/>
  <c r="F167" i="34"/>
  <c r="F166" i="34"/>
  <c r="B7812" i="106"/>
  <c r="B7811" i="106"/>
  <c r="B7810" i="106"/>
  <c r="B7809" i="106"/>
  <c r="J24" i="24"/>
  <c r="B7816" i="106"/>
  <c r="D7816" i="106"/>
  <c r="B7815" i="106"/>
  <c r="D7815" i="106"/>
  <c r="B7814" i="106"/>
  <c r="D7814" i="106"/>
  <c r="B7813" i="106"/>
  <c r="D7813" i="106"/>
  <c r="D7811" i="106"/>
  <c r="D7812" i="106"/>
  <c r="D7810" i="106"/>
  <c r="D7809" i="106"/>
  <c r="B7808" i="106"/>
  <c r="D7808" i="106"/>
  <c r="B7807" i="106"/>
  <c r="D7807" i="106"/>
  <c r="B7806" i="106"/>
  <c r="B7805" i="106"/>
  <c r="D7805" i="106"/>
  <c r="B7804" i="106"/>
  <c r="D7804" i="106"/>
  <c r="B7803" i="106"/>
  <c r="D7803" i="106"/>
  <c r="B7802" i="106"/>
  <c r="D7802" i="106"/>
  <c r="B7801" i="106"/>
  <c r="D7801" i="106"/>
  <c r="D7806"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F79" i="34"/>
  <c r="K356" i="29"/>
  <c r="K355" i="29"/>
  <c r="B7794" i="106"/>
  <c r="K354" i="29"/>
  <c r="H357" i="29"/>
  <c r="L334" i="29"/>
  <c r="K333" i="29"/>
  <c r="B7788" i="106"/>
  <c r="K332" i="29"/>
  <c r="B7786" i="106"/>
  <c r="H334" i="29"/>
  <c r="B7789" i="106"/>
  <c r="K282" i="29"/>
  <c r="B7784" i="106"/>
  <c r="H160" i="29"/>
  <c r="K159" i="29"/>
  <c r="B7782" i="106"/>
  <c r="K158" i="29"/>
  <c r="B7780" i="106"/>
  <c r="K157" i="29"/>
  <c r="B7795" i="106"/>
  <c r="K133" i="29"/>
  <c r="B7776" i="106"/>
  <c r="B7793" i="106"/>
  <c r="B7791" i="106"/>
  <c r="B7787" i="106"/>
  <c r="B7785" i="106"/>
  <c r="B7783" i="106"/>
  <c r="B7781" i="106"/>
  <c r="B7779" i="106"/>
  <c r="B7778" i="106"/>
  <c r="B7777" i="106"/>
  <c r="B7775" i="106"/>
  <c r="B7774" i="106"/>
  <c r="K334" i="29"/>
  <c r="F74" i="34"/>
  <c r="K357" i="29"/>
  <c r="B7792" i="106"/>
  <c r="K15" i="4"/>
  <c r="B7790" i="106"/>
  <c r="J15" i="4"/>
  <c r="B7796" i="106"/>
  <c r="L357" i="29"/>
  <c r="L285" i="29"/>
  <c r="D285" i="29"/>
  <c r="L160" i="29"/>
  <c r="K160" i="29"/>
  <c r="F60" i="34"/>
  <c r="L137" i="29"/>
  <c r="H137" i="29"/>
  <c r="E137" i="29"/>
  <c r="E139" i="29"/>
  <c r="E15" i="4"/>
  <c r="G141" i="181"/>
  <c r="E141" i="181"/>
  <c r="G140" i="181"/>
  <c r="E140" i="181"/>
  <c r="G139" i="181"/>
  <c r="E139" i="181"/>
  <c r="G138" i="181"/>
  <c r="E138" i="181"/>
  <c r="G137" i="181"/>
  <c r="E137" i="181"/>
  <c r="G136" i="181"/>
  <c r="E136" i="181"/>
  <c r="G135" i="181"/>
  <c r="E135" i="181"/>
  <c r="E134" i="181"/>
  <c r="G133" i="181"/>
  <c r="E133" i="181"/>
  <c r="G132" i="181"/>
  <c r="E132" i="181"/>
  <c r="G131" i="181"/>
  <c r="E131" i="181"/>
  <c r="G130" i="181"/>
  <c r="E130" i="181"/>
  <c r="E129" i="181"/>
  <c r="G129" i="181"/>
  <c r="G128" i="181"/>
  <c r="E128" i="181"/>
  <c r="G127" i="181"/>
  <c r="E127" i="181"/>
  <c r="G126" i="181"/>
  <c r="E126" i="181"/>
  <c r="E125" i="181"/>
  <c r="G125" i="181"/>
  <c r="G124" i="181"/>
  <c r="E124" i="181"/>
  <c r="G123" i="181"/>
  <c r="E123" i="181"/>
  <c r="G122" i="181"/>
  <c r="E122" i="181"/>
  <c r="G121" i="181"/>
  <c r="E121" i="181"/>
  <c r="G120" i="181"/>
  <c r="E120" i="181"/>
  <c r="G119" i="181"/>
  <c r="E119" i="181"/>
  <c r="G118" i="181"/>
  <c r="E118" i="181"/>
  <c r="G117" i="181"/>
  <c r="E117" i="181"/>
  <c r="E116" i="181"/>
  <c r="G115" i="181"/>
  <c r="E115" i="181"/>
  <c r="G114" i="181"/>
  <c r="E114" i="181"/>
  <c r="G113" i="181"/>
  <c r="E113" i="181"/>
  <c r="E112" i="181"/>
  <c r="G111" i="181"/>
  <c r="E111" i="181"/>
  <c r="G110" i="181"/>
  <c r="E110" i="181"/>
  <c r="G109" i="181"/>
  <c r="E109" i="181"/>
  <c r="G108" i="181"/>
  <c r="E108" i="181"/>
  <c r="G107" i="181"/>
  <c r="E107" i="181"/>
  <c r="G106" i="181"/>
  <c r="E106" i="181"/>
  <c r="G101" i="181"/>
  <c r="E101" i="181"/>
  <c r="G105" i="181"/>
  <c r="E105" i="181"/>
  <c r="E104" i="181"/>
  <c r="G103" i="181"/>
  <c r="E103" i="181"/>
  <c r="E102" i="181"/>
  <c r="G100" i="181"/>
  <c r="E100" i="181"/>
  <c r="E99" i="181"/>
  <c r="G99" i="181"/>
  <c r="G98" i="181"/>
  <c r="E98" i="181"/>
  <c r="E97" i="181"/>
  <c r="G97" i="181"/>
  <c r="G95" i="181"/>
  <c r="E95" i="181"/>
  <c r="G94" i="181"/>
  <c r="E94" i="181"/>
  <c r="E93" i="181"/>
  <c r="G93" i="181"/>
  <c r="G92" i="181"/>
  <c r="E92" i="181"/>
  <c r="G91" i="181"/>
  <c r="E91" i="181"/>
  <c r="E90" i="181"/>
  <c r="G89" i="181"/>
  <c r="E89" i="181"/>
  <c r="E88" i="181"/>
  <c r="G86" i="181"/>
  <c r="E86" i="181"/>
  <c r="G85" i="181"/>
  <c r="E85" i="181"/>
  <c r="G84" i="181"/>
  <c r="E84" i="181"/>
  <c r="G83" i="181"/>
  <c r="E83" i="181"/>
  <c r="G82" i="181"/>
  <c r="E82" i="181"/>
  <c r="G81" i="181"/>
  <c r="E81" i="181"/>
  <c r="G80" i="181"/>
  <c r="E80" i="181"/>
  <c r="G79" i="181"/>
  <c r="E79" i="181"/>
  <c r="G78" i="181"/>
  <c r="E78" i="181"/>
  <c r="E77" i="181"/>
  <c r="G77" i="181"/>
  <c r="G76" i="181"/>
  <c r="E76" i="181"/>
  <c r="G75" i="181"/>
  <c r="E75" i="181"/>
  <c r="G142" i="181"/>
  <c r="E142" i="181"/>
  <c r="G96" i="181"/>
  <c r="E96" i="181"/>
  <c r="G87" i="181"/>
  <c r="E87" i="181"/>
  <c r="E74" i="181"/>
  <c r="G73" i="181"/>
  <c r="E73" i="181"/>
  <c r="G72" i="181"/>
  <c r="E72" i="181"/>
  <c r="G71" i="181"/>
  <c r="E71" i="181"/>
  <c r="G70" i="181"/>
  <c r="E70" i="181"/>
  <c r="G69" i="181"/>
  <c r="E69" i="181"/>
  <c r="G68" i="181"/>
  <c r="E68" i="181"/>
  <c r="E67" i="181"/>
  <c r="G67" i="181"/>
  <c r="E66" i="181"/>
  <c r="G65" i="181"/>
  <c r="E65" i="181"/>
  <c r="G64" i="181"/>
  <c r="E64" i="181"/>
  <c r="G63" i="181"/>
  <c r="E63" i="181"/>
  <c r="E62" i="181"/>
  <c r="G61" i="181"/>
  <c r="E61" i="181"/>
  <c r="E60" i="181"/>
  <c r="G59" i="181"/>
  <c r="E59" i="181"/>
  <c r="E58" i="181"/>
  <c r="G57" i="181"/>
  <c r="E57" i="181"/>
  <c r="E56" i="181"/>
  <c r="G55" i="181"/>
  <c r="E55" i="181"/>
  <c r="G54" i="181"/>
  <c r="E54" i="181"/>
  <c r="G53" i="181"/>
  <c r="E53" i="181"/>
  <c r="G52" i="181"/>
  <c r="E52" i="181"/>
  <c r="G51" i="181"/>
  <c r="E51" i="181"/>
  <c r="E50" i="181"/>
  <c r="G49" i="181"/>
  <c r="E49" i="181"/>
  <c r="G48" i="181"/>
  <c r="E48" i="181"/>
  <c r="E47" i="181"/>
  <c r="F47" i="181"/>
  <c r="G47" i="181"/>
  <c r="E46" i="181"/>
  <c r="F46" i="181"/>
  <c r="G46" i="181" s="1"/>
  <c r="E45" i="181"/>
  <c r="E44" i="181"/>
  <c r="E43" i="181"/>
  <c r="F43" i="181"/>
  <c r="G43" i="181"/>
  <c r="E42" i="181"/>
  <c r="F42" i="181"/>
  <c r="G42" i="181" s="1"/>
  <c r="E41" i="181"/>
  <c r="F41" i="181"/>
  <c r="G41" i="181"/>
  <c r="E40" i="181"/>
  <c r="F40" i="181"/>
  <c r="G40" i="181" s="1"/>
  <c r="E39" i="181"/>
  <c r="F39" i="181"/>
  <c r="G39" i="181"/>
  <c r="E38" i="181"/>
  <c r="F38" i="181"/>
  <c r="G38" i="181" s="1"/>
  <c r="E37" i="181"/>
  <c r="F37" i="181"/>
  <c r="G37" i="181"/>
  <c r="E36" i="181"/>
  <c r="F36" i="181"/>
  <c r="G36" i="181" s="1"/>
  <c r="E35" i="181"/>
  <c r="E34" i="181"/>
  <c r="F34" i="181"/>
  <c r="G34" i="181" s="1"/>
  <c r="E33" i="181"/>
  <c r="F33" i="181"/>
  <c r="G33" i="181"/>
  <c r="E32" i="181"/>
  <c r="F32" i="181"/>
  <c r="G32" i="181" s="1"/>
  <c r="E31" i="181"/>
  <c r="E30" i="181"/>
  <c r="F30" i="181"/>
  <c r="G30" i="181" s="1"/>
  <c r="E29" i="181"/>
  <c r="E28" i="181"/>
  <c r="F28" i="181"/>
  <c r="G28" i="181" s="1"/>
  <c r="E27" i="181"/>
  <c r="E26" i="181"/>
  <c r="F26" i="181"/>
  <c r="G26" i="181" s="1"/>
  <c r="E25" i="181"/>
  <c r="F25" i="181" s="1"/>
  <c r="G25" i="181" s="1"/>
  <c r="E24" i="181"/>
  <c r="F24" i="181"/>
  <c r="G24" i="181" s="1"/>
  <c r="E23" i="181"/>
  <c r="F23" i="181" s="1"/>
  <c r="G23" i="181" s="1"/>
  <c r="E22" i="181"/>
  <c r="F22" i="181"/>
  <c r="G22" i="181" s="1"/>
  <c r="E21" i="181"/>
  <c r="E20" i="181"/>
  <c r="F45" i="181"/>
  <c r="G45" i="181" s="1"/>
  <c r="F44" i="181"/>
  <c r="G44" i="181" s="1"/>
  <c r="F35" i="181"/>
  <c r="G35" i="181" s="1"/>
  <c r="F31" i="181"/>
  <c r="G31" i="181" s="1"/>
  <c r="F29" i="181"/>
  <c r="G29" i="181" s="1"/>
  <c r="F27" i="181"/>
  <c r="G27" i="181" s="1"/>
  <c r="F21" i="181"/>
  <c r="G21" i="181" s="1"/>
  <c r="F20" i="181"/>
  <c r="G20" i="181" s="1"/>
  <c r="D143" i="181"/>
  <c r="D80" i="36" s="1"/>
  <c r="E18" i="181"/>
  <c r="F18" i="181"/>
  <c r="E16" i="181"/>
  <c r="F16" i="181" s="1"/>
  <c r="G16" i="181" s="1"/>
  <c r="G18" i="18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1" i="179"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B2" i="174"/>
  <c r="A1" i="171"/>
  <c r="B2" i="176"/>
  <c r="B1" i="177"/>
  <c r="A2" i="171"/>
  <c r="B1" i="174"/>
  <c r="B7773" i="106"/>
  <c r="B61" i="106"/>
  <c r="B52" i="106"/>
  <c r="B51" i="106"/>
  <c r="B49" i="106"/>
  <c r="B48" i="106"/>
  <c r="B47" i="106"/>
  <c r="B46" i="106"/>
  <c r="B45" i="106"/>
  <c r="B44" i="106"/>
  <c r="B43" i="106"/>
  <c r="B42" i="106"/>
  <c r="B41" i="106"/>
  <c r="B50" i="106"/>
  <c r="F159" i="34"/>
  <c r="B7769" i="106"/>
  <c r="D7769" i="106"/>
  <c r="B7768" i="106"/>
  <c r="B7766" i="106"/>
  <c r="D7766" i="106"/>
  <c r="B7765" i="106"/>
  <c r="B7764" i="106"/>
  <c r="D7764" i="106"/>
  <c r="J85" i="28"/>
  <c r="B7758" i="106"/>
  <c r="D7758" i="106"/>
  <c r="J88" i="28"/>
  <c r="K6" i="29"/>
  <c r="B7763" i="106"/>
  <c r="D7763" i="106"/>
  <c r="B7762" i="106"/>
  <c r="D7762" i="106"/>
  <c r="K12" i="12"/>
  <c r="K23" i="12"/>
  <c r="J12" i="12"/>
  <c r="J21" i="12"/>
  <c r="J23" i="12"/>
  <c r="B7729" i="106"/>
  <c r="D7729" i="106"/>
  <c r="B7734" i="106"/>
  <c r="B7726" i="106"/>
  <c r="D7726" i="106"/>
  <c r="F158" i="34"/>
  <c r="B30" i="36"/>
  <c r="B33" i="36"/>
  <c r="B43" i="36"/>
  <c r="B56" i="36"/>
  <c r="B66" i="36"/>
  <c r="B70" i="36"/>
  <c r="B74" i="36"/>
  <c r="D73" i="36"/>
  <c r="C188" i="5"/>
  <c r="B4395" i="106"/>
  <c r="D4395" i="106"/>
  <c r="C198" i="5"/>
  <c r="B5246" i="106"/>
  <c r="D5246" i="106"/>
  <c r="C204" i="5"/>
  <c r="C209" i="5"/>
  <c r="B4411" i="106"/>
  <c r="D4411" i="106"/>
  <c r="C217" i="5"/>
  <c r="C221" i="5"/>
  <c r="B5304" i="106"/>
  <c r="D5304" i="106"/>
  <c r="C252" i="5"/>
  <c r="B7761" i="106"/>
  <c r="D7761" i="106"/>
  <c r="L127" i="29"/>
  <c r="L129" i="29"/>
  <c r="L139" i="29"/>
  <c r="L149" i="29"/>
  <c r="I7" i="145"/>
  <c r="I6" i="145"/>
  <c r="D82" i="36"/>
  <c r="D78" i="36"/>
  <c r="K75" i="29"/>
  <c r="C14" i="4"/>
  <c r="B2558" i="106"/>
  <c r="D2558" i="106"/>
  <c r="K130" i="29"/>
  <c r="K185" i="29"/>
  <c r="F62" i="34"/>
  <c r="K122" i="29"/>
  <c r="F15" i="145"/>
  <c r="F19" i="145"/>
  <c r="K67" i="29"/>
  <c r="G33" i="108"/>
  <c r="K64" i="29"/>
  <c r="K59" i="29"/>
  <c r="E15" i="145"/>
  <c r="K56" i="29"/>
  <c r="E14" i="145"/>
  <c r="G14" i="145"/>
  <c r="K51" i="29"/>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D78" i="106"/>
  <c r="D79" i="106"/>
  <c r="D80" i="106"/>
  <c r="D81" i="106"/>
  <c r="D82" i="106"/>
  <c r="D83" i="106"/>
  <c r="D84" i="106"/>
  <c r="D85" i="106"/>
  <c r="B86" i="106"/>
  <c r="D86" i="106"/>
  <c r="D87" i="106"/>
  <c r="B88" i="106"/>
  <c r="D88" i="106"/>
  <c r="D89" i="106"/>
  <c r="D90" i="106"/>
  <c r="C34" i="3"/>
  <c r="B91" i="106"/>
  <c r="D91"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H92" i="29"/>
  <c r="K92" i="29"/>
  <c r="B2089" i="106"/>
  <c r="D2089" i="106"/>
  <c r="H100" i="29"/>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B1124" i="106"/>
  <c r="D1124" i="106"/>
  <c r="B1126" i="106"/>
  <c r="D1126" i="106"/>
  <c r="K60" i="29"/>
  <c r="K61" i="29"/>
  <c r="B1128" i="106"/>
  <c r="D1128" i="106"/>
  <c r="K62" i="29"/>
  <c r="B1129" i="106"/>
  <c r="D1129" i="106"/>
  <c r="K63" i="29"/>
  <c r="B1130" i="106"/>
  <c r="D1130" i="106"/>
  <c r="D1132" i="106"/>
  <c r="K68" i="29"/>
  <c r="G34" i="108"/>
  <c r="K69" i="29"/>
  <c r="B1136" i="106"/>
  <c r="D1136" i="106"/>
  <c r="K70" i="29"/>
  <c r="B1137" i="106"/>
  <c r="D1137" i="106"/>
  <c r="D1138" i="106"/>
  <c r="K71" i="29"/>
  <c r="B1139" i="106"/>
  <c r="D1139" i="106"/>
  <c r="D1140" i="106"/>
  <c r="K73" i="29"/>
  <c r="B1142" i="106"/>
  <c r="D1142" i="106"/>
  <c r="K78" i="29"/>
  <c r="K79" i="29"/>
  <c r="B2974" i="106"/>
  <c r="D2974" i="106"/>
  <c r="K80" i="29"/>
  <c r="K81" i="29"/>
  <c r="B2976" i="106"/>
  <c r="D2976" i="106"/>
  <c r="K82" i="29"/>
  <c r="K83" i="29"/>
  <c r="B2978" i="106"/>
  <c r="D2978" i="106"/>
  <c r="K93" i="29"/>
  <c r="K94" i="29"/>
  <c r="B6999" i="106"/>
  <c r="D6999" i="106"/>
  <c r="K95" i="29"/>
  <c r="K96" i="29"/>
  <c r="K97" i="29"/>
  <c r="K98" i="29"/>
  <c r="K99" i="29"/>
  <c r="K101" i="29"/>
  <c r="B7015" i="106"/>
  <c r="D7015" i="106"/>
  <c r="K105" i="29"/>
  <c r="K106" i="29"/>
  <c r="B1147" i="106"/>
  <c r="D1147" i="106"/>
  <c r="D1148" i="106"/>
  <c r="K109" i="29"/>
  <c r="B1149" i="106"/>
  <c r="D1149" i="106"/>
  <c r="D1150" i="106"/>
  <c r="K107" i="29"/>
  <c r="B2795" i="106"/>
  <c r="D2795" i="106"/>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K123" i="29"/>
  <c r="K124" i="29"/>
  <c r="B1276" i="106"/>
  <c r="D1276" i="106"/>
  <c r="K126" i="29"/>
  <c r="B1277" i="106"/>
  <c r="D1277" i="106"/>
  <c r="D1278" i="106"/>
  <c r="K125" i="29"/>
  <c r="B3488" i="106"/>
  <c r="D3488" i="106"/>
  <c r="K128" i="29"/>
  <c r="B1280" i="106"/>
  <c r="D1280" i="106"/>
  <c r="K120" i="29"/>
  <c r="K134" i="29"/>
  <c r="K135" i="29"/>
  <c r="B2987" i="106"/>
  <c r="D2987" i="106"/>
  <c r="K136" i="29"/>
  <c r="B2988" i="106"/>
  <c r="D2988" i="106"/>
  <c r="K138" i="29"/>
  <c r="B2094" i="106"/>
  <c r="D2094" i="106"/>
  <c r="K142" i="29"/>
  <c r="K143" i="29"/>
  <c r="B1284" i="106"/>
  <c r="D1284" i="106"/>
  <c r="K146" i="29"/>
  <c r="B1285" i="106"/>
  <c r="D1285" i="106"/>
  <c r="D1286" i="106"/>
  <c r="K144" i="29"/>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K163" i="29"/>
  <c r="B1324" i="106"/>
  <c r="D1324" i="106"/>
  <c r="K164" i="29"/>
  <c r="B1325" i="106"/>
  <c r="D1325" i="106"/>
  <c r="K169" i="29"/>
  <c r="B1326" i="106"/>
  <c r="D1326" i="106"/>
  <c r="K167" i="29"/>
  <c r="B1327" i="106"/>
  <c r="D1327" i="106"/>
  <c r="K165" i="29"/>
  <c r="B2818" i="106"/>
  <c r="D2818" i="106"/>
  <c r="K166" i="29"/>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K188" i="29"/>
  <c r="B3007" i="106"/>
  <c r="D3007" i="106"/>
  <c r="K189" i="29"/>
  <c r="B3008" i="106"/>
  <c r="D3008" i="106"/>
  <c r="K190" i="29"/>
  <c r="K191" i="29"/>
  <c r="B3010" i="106"/>
  <c r="D3010" i="106"/>
  <c r="K192" i="29"/>
  <c r="K193" i="29"/>
  <c r="B3012" i="106"/>
  <c r="D3012" i="106"/>
  <c r="K195" i="29"/>
  <c r="B2839" i="106"/>
  <c r="D2839" i="106"/>
  <c r="K199" i="29"/>
  <c r="B1383" i="106"/>
  <c r="D1383" i="106"/>
  <c r="K200" i="29"/>
  <c r="B1384" i="106"/>
  <c r="D1384" i="106"/>
  <c r="K203" i="29"/>
  <c r="B1385" i="106"/>
  <c r="D1385" i="106"/>
  <c r="D1386" i="106"/>
  <c r="K201" i="29"/>
  <c r="B2841" i="106"/>
  <c r="D2841" i="106"/>
  <c r="K202" i="29"/>
  <c r="K205" i="29"/>
  <c r="B7068" i="106"/>
  <c r="D7068" i="106"/>
  <c r="K206" i="29"/>
  <c r="B4211" i="106"/>
  <c r="D4211" i="106"/>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K217" i="29"/>
  <c r="B3391" i="106"/>
  <c r="D3391" i="106"/>
  <c r="K218" i="29"/>
  <c r="K219" i="29"/>
  <c r="B3065" i="106"/>
  <c r="D3065" i="106"/>
  <c r="K220" i="29"/>
  <c r="B7078" i="106"/>
  <c r="D7078" i="106"/>
  <c r="K226" i="29"/>
  <c r="B7080" i="106"/>
  <c r="D7080" i="106"/>
  <c r="K228" i="29"/>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K248" i="29"/>
  <c r="B7082" i="106"/>
  <c r="D7082" i="106"/>
  <c r="K249" i="29"/>
  <c r="B7084" i="106"/>
  <c r="D7084" i="106"/>
  <c r="K250" i="29"/>
  <c r="B7086" i="106"/>
  <c r="D7086" i="106"/>
  <c r="K251" i="29"/>
  <c r="K252" i="29"/>
  <c r="B7090" i="106"/>
  <c r="D7090" i="106"/>
  <c r="K253" i="29"/>
  <c r="K254" i="29"/>
  <c r="B7094" i="106"/>
  <c r="D7094" i="106"/>
  <c r="K255" i="29"/>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K291" i="29"/>
  <c r="B2846" i="106"/>
  <c r="D2846" i="106"/>
  <c r="D1516" i="106"/>
  <c r="K283" i="29"/>
  <c r="K284" i="29"/>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B7107" i="106"/>
  <c r="D7107" i="106"/>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c r="B2812" i="106"/>
  <c r="D2812" i="106"/>
  <c r="B2813" i="106"/>
  <c r="D2813" i="106"/>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B2840" i="106"/>
  <c r="D2840" i="106"/>
  <c r="B2843" i="106"/>
  <c r="D2843" i="106"/>
  <c r="B2844" i="106"/>
  <c r="D2844" i="106"/>
  <c r="D2845"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5" i="106"/>
  <c r="D2975" i="106"/>
  <c r="B2977" i="106"/>
  <c r="D2977"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E39" i="4"/>
  <c r="B6287" i="106"/>
  <c r="D6287" i="106"/>
  <c r="E40" i="4"/>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B7239" i="106"/>
  <c r="D7239" i="106"/>
  <c r="D3677" i="106"/>
  <c r="K363" i="29"/>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6" i="106"/>
  <c r="D6286"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B6941"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6" i="106"/>
  <c r="D6996" i="106"/>
  <c r="B6997" i="106"/>
  <c r="D6997" i="106"/>
  <c r="B6998" i="106"/>
  <c r="D6998"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6" i="106"/>
  <c r="D7016" i="106"/>
  <c r="K111" i="29"/>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I129" i="29"/>
  <c r="B7037" i="106"/>
  <c r="D7037" i="106"/>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J210" i="29"/>
  <c r="B7072" i="106"/>
  <c r="D7072" i="106"/>
  <c r="B7073" i="106"/>
  <c r="D7073" i="106"/>
  <c r="B7074" i="106"/>
  <c r="D7074" i="106"/>
  <c r="B7075" i="106"/>
  <c r="D7075" i="106"/>
  <c r="B7076" i="106"/>
  <c r="D7076" i="106"/>
  <c r="B7077" i="106"/>
  <c r="D7077" i="106"/>
  <c r="B7079" i="106"/>
  <c r="D7079" i="106"/>
  <c r="B7081" i="106"/>
  <c r="D7081" i="106"/>
  <c r="B7083" i="106"/>
  <c r="D7083"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705" i="106"/>
  <c r="D7705" i="106"/>
  <c r="B7208" i="106"/>
  <c r="D7208" i="106"/>
  <c r="K337" i="29"/>
  <c r="B7209" i="106"/>
  <c r="D7209" i="106"/>
  <c r="B7210" i="106"/>
  <c r="D7210" i="106"/>
  <c r="K338" i="29"/>
  <c r="B7212" i="106"/>
  <c r="D7212" i="106"/>
  <c r="K339" i="29"/>
  <c r="B7213" i="106"/>
  <c r="D7213" i="106"/>
  <c r="H340" i="29"/>
  <c r="B7226" i="106"/>
  <c r="D7226" i="106"/>
  <c r="B7227" i="106"/>
  <c r="D7227" i="106"/>
  <c r="B7228" i="106"/>
  <c r="D7228" i="106"/>
  <c r="B7229" i="106"/>
  <c r="D7229" i="106"/>
  <c r="I350" i="29"/>
  <c r="J350" i="29"/>
  <c r="B7231" i="106"/>
  <c r="D7231" i="106"/>
  <c r="B7232" i="106"/>
  <c r="D7232" i="106"/>
  <c r="B7233" i="106"/>
  <c r="D7233" i="106"/>
  <c r="B7236" i="106"/>
  <c r="D7236" i="106"/>
  <c r="B7237" i="106"/>
  <c r="D7237" i="106"/>
  <c r="B7238" i="106"/>
  <c r="D7238" i="106"/>
  <c r="B7240" i="106"/>
  <c r="D7240" i="106"/>
  <c r="B7241" i="106"/>
  <c r="D7241"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B7728" i="106"/>
  <c r="D7728"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800" i="106"/>
  <c r="B6" i="36"/>
  <c r="B7" i="36"/>
  <c r="B9" i="36"/>
  <c r="B10" i="36"/>
  <c r="B11" i="36"/>
  <c r="B12" i="36"/>
  <c r="B13" i="36"/>
  <c r="D23" i="36"/>
  <c r="B9" i="106"/>
  <c r="D25" i="36"/>
  <c r="D26" i="36"/>
  <c r="D27" i="36"/>
  <c r="D28" i="36"/>
  <c r="D32" i="36"/>
  <c r="D34" i="36"/>
  <c r="D35" i="36"/>
  <c r="D36" i="36"/>
  <c r="D37" i="36"/>
  <c r="D38" i="36"/>
  <c r="D39" i="36"/>
  <c r="D40" i="36"/>
  <c r="D41" i="36"/>
  <c r="D42" i="36"/>
  <c r="D54" i="36"/>
  <c r="D68" i="36"/>
  <c r="D69" i="36"/>
  <c r="D71" i="36"/>
  <c r="D72" i="36"/>
  <c r="D79" i="36"/>
  <c r="B64" i="127"/>
  <c r="B65" i="127"/>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B2026" i="106"/>
  <c r="D2026" i="106"/>
  <c r="C16" i="11"/>
  <c r="B2013" i="106"/>
  <c r="D2013"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F19" i="7"/>
  <c r="B1807" i="106"/>
  <c r="D1807"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2" i="5"/>
  <c r="B5132" i="106"/>
  <c r="D5132" i="106"/>
  <c r="D122" i="5"/>
  <c r="B5367" i="106"/>
  <c r="D5367" i="106"/>
  <c r="E122" i="5"/>
  <c r="B5534" i="106"/>
  <c r="D5534" i="106"/>
  <c r="F122" i="5"/>
  <c r="B5599" i="106"/>
  <c r="D5599" i="106"/>
  <c r="F132" i="5"/>
  <c r="B5614" i="106"/>
  <c r="D5614" i="106"/>
  <c r="F155" i="5"/>
  <c r="G122" i="5"/>
  <c r="B5748" i="106"/>
  <c r="D5748" i="106"/>
  <c r="H122" i="5"/>
  <c r="B5893" i="106"/>
  <c r="D5893" i="106"/>
  <c r="J122" i="5"/>
  <c r="B6357" i="106"/>
  <c r="D6357" i="106"/>
  <c r="K122" i="5"/>
  <c r="B6006" i="106"/>
  <c r="D6006" i="106"/>
  <c r="C132" i="5"/>
  <c r="B5147" i="106"/>
  <c r="D5147" i="106"/>
  <c r="D132" i="5"/>
  <c r="B5369" i="106"/>
  <c r="D5369" i="106"/>
  <c r="C141" i="5"/>
  <c r="B5161" i="106"/>
  <c r="D5161" i="106"/>
  <c r="D141" i="5"/>
  <c r="B5383" i="106"/>
  <c r="D5383" i="106"/>
  <c r="G141" i="5"/>
  <c r="B5752" i="106"/>
  <c r="D5752" i="106"/>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B5260" i="106"/>
  <c r="D5260" i="106"/>
  <c r="D204" i="5"/>
  <c r="B5444" i="106"/>
  <c r="D5444" i="106"/>
  <c r="F204" i="5"/>
  <c r="B5677" i="106"/>
  <c r="D5677" i="106"/>
  <c r="G204" i="5"/>
  <c r="B5803" i="106"/>
  <c r="D5803" i="106"/>
  <c r="D209" i="5"/>
  <c r="B4412" i="106"/>
  <c r="D4412" i="106"/>
  <c r="F209" i="5"/>
  <c r="B4413" i="106"/>
  <c r="D4413" i="106"/>
  <c r="G209" i="5"/>
  <c r="B4414" i="106"/>
  <c r="D4414" i="106"/>
  <c r="B5286" i="106"/>
  <c r="D5286" i="106"/>
  <c r="D217" i="5"/>
  <c r="B5470" i="106"/>
  <c r="D5470" i="106"/>
  <c r="F217" i="5"/>
  <c r="B5703" i="106"/>
  <c r="D5703" i="106"/>
  <c r="G217" i="5"/>
  <c r="B5829" i="106"/>
  <c r="D5829" i="106"/>
  <c r="D221" i="5"/>
  <c r="B5488" i="106"/>
  <c r="D5488" i="106"/>
  <c r="G221" i="5"/>
  <c r="B5847" i="106"/>
  <c r="D5847" i="106"/>
  <c r="G252" i="5"/>
  <c r="B6837" i="106"/>
  <c r="D6837" i="106"/>
  <c r="B6833" i="106"/>
  <c r="D6833" i="106"/>
  <c r="D252" i="5"/>
  <c r="B6834" i="106"/>
  <c r="D6834" i="106"/>
  <c r="E252" i="5"/>
  <c r="F252" i="5"/>
  <c r="B6836" i="106"/>
  <c r="D6836" i="106"/>
  <c r="H252" i="5"/>
  <c r="H266" i="5"/>
  <c r="B4441" i="106"/>
  <c r="D4441" i="106"/>
  <c r="J252" i="5"/>
  <c r="J266" i="5"/>
  <c r="B7041" i="106"/>
  <c r="D7041" i="106"/>
  <c r="K252" i="5"/>
  <c r="K266" i="5"/>
  <c r="B4442" i="106"/>
  <c r="D4442" i="106"/>
  <c r="G14" i="4"/>
  <c r="B2609" i="106"/>
  <c r="D2609" i="106"/>
  <c r="D14" i="4"/>
  <c r="B2570" i="106"/>
  <c r="D2570" i="106"/>
  <c r="B2633" i="106"/>
  <c r="D2633" i="106"/>
  <c r="D7" i="118"/>
  <c r="D8" i="118"/>
  <c r="D9" i="118"/>
  <c r="H14" i="118"/>
  <c r="H19" i="118"/>
  <c r="H24" i="118"/>
  <c r="H28" i="118"/>
  <c r="H33" i="118"/>
  <c r="D22" i="37"/>
  <c r="J22" i="37"/>
  <c r="L22" i="37"/>
  <c r="D24" i="37"/>
  <c r="B4270" i="106"/>
  <c r="D4270" i="106"/>
  <c r="L367" i="29"/>
  <c r="H76" i="4"/>
  <c r="B3298" i="106"/>
  <c r="D3298" i="106"/>
  <c r="C342" i="29"/>
  <c r="B7216" i="106"/>
  <c r="D7216" i="106"/>
  <c r="C352" i="29"/>
  <c r="C129" i="29"/>
  <c r="H342" i="29"/>
  <c r="J129" i="29"/>
  <c r="B7038" i="106"/>
  <c r="D7038" i="106"/>
  <c r="B3647" i="106"/>
  <c r="D3647" i="106"/>
  <c r="K184" i="29"/>
  <c r="F13" i="4"/>
  <c r="B2596" i="106"/>
  <c r="D2596" i="106"/>
  <c r="G210" i="29"/>
  <c r="I210" i="29"/>
  <c r="B7071" i="106"/>
  <c r="D7071" i="106"/>
  <c r="F46" i="34"/>
  <c r="F36" i="34"/>
  <c r="E38" i="108"/>
  <c r="E26" i="108"/>
  <c r="J41" i="3"/>
  <c r="K76" i="4"/>
  <c r="B3586" i="106"/>
  <c r="D3586" i="106"/>
  <c r="J77" i="4"/>
  <c r="B6262" i="106"/>
  <c r="D6262" i="106"/>
  <c r="L5" i="11"/>
  <c r="B2056" i="106"/>
  <c r="D2056" i="106"/>
  <c r="J352" i="29"/>
  <c r="J367" i="29"/>
  <c r="B7245" i="106"/>
  <c r="D7245" i="106"/>
  <c r="B6995" i="106"/>
  <c r="D6995" i="106"/>
  <c r="D6103" i="106"/>
  <c r="H365" i="29"/>
  <c r="B7242" i="106"/>
  <c r="D7242" i="106"/>
  <c r="B1274" i="106"/>
  <c r="D1274" i="106"/>
  <c r="G15" i="145"/>
  <c r="F77" i="4"/>
  <c r="B3255" i="106"/>
  <c r="D3255" i="106"/>
  <c r="L13" i="11"/>
  <c r="B2060" i="106"/>
  <c r="D2060" i="106"/>
  <c r="E29" i="108"/>
  <c r="B2724" i="106"/>
  <c r="D2724" i="106"/>
  <c r="B77" i="106"/>
  <c r="D77" i="106"/>
  <c r="C39" i="3"/>
  <c r="C41" i="3"/>
  <c r="B93" i="106"/>
  <c r="D93" i="106"/>
  <c r="B1308" i="106"/>
  <c r="D1308" i="106"/>
  <c r="E174" i="29"/>
  <c r="B1309" i="106"/>
  <c r="D1309" i="106"/>
  <c r="D17" i="7"/>
  <c r="B4104" i="106"/>
  <c r="D4104" i="106"/>
  <c r="D9" i="7"/>
  <c r="B1767" i="106"/>
  <c r="D1767" i="106"/>
  <c r="D11" i="37"/>
  <c r="H29" i="118"/>
  <c r="K28" i="118"/>
  <c r="O27" i="118"/>
  <c r="O29" i="118"/>
  <c r="N22" i="3"/>
  <c r="B283" i="106"/>
  <c r="D283" i="106"/>
  <c r="F14" i="4"/>
  <c r="B2597" i="106"/>
  <c r="D2597" i="106"/>
  <c r="L342" i="29"/>
  <c r="B7727" i="106"/>
  <c r="D7727" i="106"/>
  <c r="F49" i="34"/>
  <c r="F44" i="34"/>
  <c r="G38" i="108"/>
  <c r="D37" i="108"/>
  <c r="D41" i="108"/>
  <c r="E43" i="108"/>
  <c r="E30" i="108"/>
  <c r="F37" i="108"/>
  <c r="F41" i="108"/>
  <c r="G43" i="108"/>
  <c r="E28" i="108"/>
  <c r="F26" i="108"/>
  <c r="D26" i="108"/>
  <c r="D31" i="36"/>
  <c r="B7235" i="106"/>
  <c r="D7235" i="106"/>
  <c r="B4087" i="106"/>
  <c r="D4087" i="106"/>
  <c r="K41" i="3"/>
  <c r="L15" i="11"/>
  <c r="B3459" i="106"/>
  <c r="D3459" i="106"/>
  <c r="B3254" i="106"/>
  <c r="D3254" i="106"/>
  <c r="I24" i="12"/>
  <c r="B3649" i="106"/>
  <c r="D3649" i="106"/>
  <c r="G367" i="29"/>
  <c r="D5" i="4"/>
  <c r="B3406" i="106"/>
  <c r="D3406" i="106"/>
  <c r="L312" i="29"/>
  <c r="I342" i="29"/>
  <c r="B7222" i="106"/>
  <c r="D7222" i="106"/>
  <c r="K350" i="29"/>
  <c r="F21" i="8"/>
  <c r="K24" i="12"/>
  <c r="B3621" i="106"/>
  <c r="D3621" i="106"/>
  <c r="C367" i="29"/>
  <c r="F41" i="34"/>
  <c r="F35" i="34"/>
  <c r="D3583" i="106"/>
  <c r="B3635" i="106"/>
  <c r="F66" i="34"/>
  <c r="F45" i="34"/>
  <c r="K285" i="29"/>
  <c r="B1410" i="106"/>
  <c r="D1410" i="106"/>
  <c r="B1329" i="106"/>
  <c r="D1329" i="106"/>
  <c r="F61" i="34"/>
  <c r="D12" i="7"/>
  <c r="B1769" i="106"/>
  <c r="D1769" i="106"/>
  <c r="B1746" i="106"/>
  <c r="D1746" i="106"/>
  <c r="F127" i="34"/>
  <c r="D13" i="7"/>
  <c r="B3726" i="106"/>
  <c r="D3726" i="106"/>
  <c r="I170" i="5"/>
  <c r="B4216" i="106"/>
  <c r="D4216" i="106"/>
  <c r="B5096" i="106"/>
  <c r="D5096" i="106"/>
  <c r="D4" i="7"/>
  <c r="B1760" i="106"/>
  <c r="D1760" i="106"/>
  <c r="F106" i="34"/>
  <c r="G5" i="4"/>
  <c r="B3409" i="106"/>
  <c r="D3409" i="106"/>
  <c r="F124" i="34"/>
  <c r="C109" i="5"/>
  <c r="B5121" i="106"/>
  <c r="D5121" i="106"/>
  <c r="G169" i="5"/>
  <c r="G170" i="5"/>
  <c r="D109" i="5"/>
  <c r="I267" i="5"/>
  <c r="B4396" i="106"/>
  <c r="D4396" i="106"/>
  <c r="G109" i="5"/>
  <c r="B5066" i="106"/>
  <c r="D5066" i="106"/>
  <c r="F111" i="34"/>
  <c r="C169" i="5"/>
  <c r="F123" i="34"/>
  <c r="D5" i="7"/>
  <c r="B1761" i="106"/>
  <c r="D1761" i="106"/>
  <c r="K170" i="5"/>
  <c r="K6" i="4"/>
  <c r="B3570" i="106"/>
  <c r="D3570" i="106"/>
  <c r="J267" i="5"/>
  <c r="B7054" i="106"/>
  <c r="D7054" i="106"/>
  <c r="D15" i="7"/>
  <c r="B1772" i="106"/>
  <c r="D1772" i="106"/>
  <c r="K267" i="5"/>
  <c r="B6022" i="106"/>
  <c r="D6022" i="106"/>
  <c r="F126" i="34"/>
  <c r="H170" i="5"/>
  <c r="D11" i="7"/>
  <c r="B1768" i="106"/>
  <c r="D1768" i="106"/>
  <c r="H109" i="5"/>
  <c r="E109" i="5"/>
  <c r="E4" i="4"/>
  <c r="B2630" i="106"/>
  <c r="D2630" i="106"/>
  <c r="D7" i="7"/>
  <c r="B1763" i="106"/>
  <c r="D1763" i="106"/>
  <c r="F132" i="34"/>
  <c r="F169" i="5"/>
  <c r="B5644" i="106"/>
  <c r="D5644" i="106"/>
  <c r="H295" i="29"/>
  <c r="B1454" i="106"/>
  <c r="D1454" i="106"/>
  <c r="B4156" i="106"/>
  <c r="D4156" i="106"/>
  <c r="H172" i="29"/>
  <c r="H174" i="29"/>
  <c r="B2823" i="106"/>
  <c r="D2823" i="106"/>
  <c r="J90" i="28"/>
  <c r="H352" i="29"/>
  <c r="B3656" i="106"/>
  <c r="D3656" i="106"/>
  <c r="B3724" i="106"/>
  <c r="D3724" i="106"/>
  <c r="K168" i="29"/>
  <c r="K172" i="29"/>
  <c r="K174" i="29"/>
  <c r="F10" i="34"/>
  <c r="E102" i="29"/>
  <c r="B2790" i="106"/>
  <c r="D2790" i="106"/>
  <c r="J342" i="29"/>
  <c r="B7223" i="106"/>
  <c r="D7223" i="106"/>
  <c r="G342" i="29"/>
  <c r="B7220" i="106"/>
  <c r="D7220" i="106"/>
  <c r="K137" i="29"/>
  <c r="K84" i="29"/>
  <c r="B2088" i="106"/>
  <c r="D2088" i="106"/>
  <c r="B79" i="36"/>
  <c r="B77" i="36"/>
  <c r="D18" i="7"/>
  <c r="B4105" i="106"/>
  <c r="D4105" i="106"/>
  <c r="F105" i="34"/>
  <c r="F107" i="34"/>
  <c r="F109" i="5"/>
  <c r="J109" i="5"/>
  <c r="J170" i="5"/>
  <c r="F95" i="34"/>
  <c r="F125" i="34"/>
  <c r="D14" i="7"/>
  <c r="B1770" i="106"/>
  <c r="D1770" i="106"/>
  <c r="N23" i="3"/>
  <c r="B284" i="106"/>
  <c r="D284" i="106"/>
  <c r="F5" i="4"/>
  <c r="B3408" i="106"/>
  <c r="D3408" i="106"/>
  <c r="C5" i="4"/>
  <c r="B3405" i="106"/>
  <c r="D3405" i="106"/>
  <c r="B6840" i="106"/>
  <c r="D6840" i="106"/>
  <c r="B6839" i="106"/>
  <c r="D6839" i="106"/>
  <c r="B6838" i="106"/>
  <c r="D6838" i="106"/>
  <c r="D169" i="5"/>
  <c r="B5412" i="106"/>
  <c r="D5412" i="106"/>
  <c r="B5618" i="106"/>
  <c r="D5618" i="106"/>
  <c r="K109" i="5"/>
  <c r="F16" i="11"/>
  <c r="B2031" i="106"/>
  <c r="D2031" i="106"/>
  <c r="F48" i="34"/>
  <c r="F40" i="34"/>
  <c r="B7200" i="106"/>
  <c r="D7200" i="106"/>
  <c r="D342" i="29"/>
  <c r="B7217" i="106"/>
  <c r="D7217" i="106"/>
  <c r="B7144" i="106"/>
  <c r="D7144" i="106"/>
  <c r="K330" i="29"/>
  <c r="B6901" i="106"/>
  <c r="D6901" i="106"/>
  <c r="F51" i="34"/>
  <c r="B6885" i="106"/>
  <c r="D6885" i="106"/>
  <c r="F43" i="34"/>
  <c r="B7211" i="106"/>
  <c r="D7211" i="106"/>
  <c r="K340" i="29"/>
  <c r="K342" i="29"/>
  <c r="F13" i="34"/>
  <c r="B6893" i="106"/>
  <c r="D6893" i="106"/>
  <c r="F47" i="34"/>
  <c r="B6877" i="106"/>
  <c r="D6877" i="106"/>
  <c r="F39" i="34"/>
  <c r="B6216" i="106"/>
  <c r="D6216" i="106"/>
  <c r="D51" i="36"/>
  <c r="B3703" i="106"/>
  <c r="D3703" i="106"/>
  <c r="K362" i="29"/>
  <c r="B3676" i="106"/>
  <c r="D3676" i="106"/>
  <c r="B3650" i="106"/>
  <c r="D3650" i="106"/>
  <c r="D352" i="29"/>
  <c r="D367" i="29"/>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B1239" i="106"/>
  <c r="D1239" i="106"/>
  <c r="E129" i="29"/>
  <c r="B1146" i="106"/>
  <c r="D1146" i="106"/>
  <c r="K110" i="29"/>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3447" i="106"/>
  <c r="D3447" i="106"/>
  <c r="B19" i="7"/>
  <c r="B1759" i="106"/>
  <c r="D1759" i="106"/>
  <c r="D8" i="7"/>
  <c r="B1764" i="106"/>
  <c r="D1764" i="106"/>
  <c r="B4435" i="106"/>
  <c r="D4435" i="106"/>
  <c r="I7" i="4"/>
  <c r="B4444" i="106"/>
  <c r="D4444" i="106"/>
  <c r="F266" i="5"/>
  <c r="B5713" i="106"/>
  <c r="D5713" i="106"/>
  <c r="B4397" i="106"/>
  <c r="D4397" i="106"/>
  <c r="B4950" i="106"/>
  <c r="D4950" i="106"/>
  <c r="H267" i="5"/>
  <c r="H7" i="4"/>
  <c r="B2657" i="106"/>
  <c r="D2657" i="106"/>
  <c r="L210" i="29"/>
  <c r="L102" i="29"/>
  <c r="B1121" i="106"/>
  <c r="D1121" i="106"/>
  <c r="K53" i="29"/>
  <c r="E12" i="145"/>
  <c r="B731" i="106"/>
  <c r="D731" i="106"/>
  <c r="C74" i="29"/>
  <c r="B755" i="106"/>
  <c r="D755" i="106"/>
  <c r="B1116" i="106"/>
  <c r="D1116" i="106"/>
  <c r="K47" i="29"/>
  <c r="F157" i="34"/>
  <c r="B7600" i="106"/>
  <c r="L6" i="11"/>
  <c r="B7605" i="106"/>
  <c r="A7250" i="106"/>
  <c r="A7251" i="106"/>
  <c r="A7252" i="106"/>
  <c r="A7253" i="106"/>
  <c r="A7254" i="106"/>
  <c r="A7255" i="106"/>
  <c r="A7256" i="106"/>
  <c r="A7257" i="106"/>
  <c r="D7249" i="106"/>
  <c r="E266" i="5"/>
  <c r="B6835" i="106"/>
  <c r="D6835" i="106"/>
  <c r="G266" i="5"/>
  <c r="B4398" i="106"/>
  <c r="D4398" i="106"/>
  <c r="B5537" i="106"/>
  <c r="D5537" i="106"/>
  <c r="E170" i="5"/>
  <c r="I109" i="5"/>
  <c r="B5527" i="106"/>
  <c r="D5527" i="106"/>
  <c r="L279" i="29"/>
  <c r="L295" i="29"/>
  <c r="L74" i="29"/>
  <c r="K33" i="29"/>
  <c r="B720" i="106"/>
  <c r="D720" i="106"/>
  <c r="B7618" i="106"/>
  <c r="L14" i="11"/>
  <c r="B7623" i="106"/>
  <c r="B7230" i="106"/>
  <c r="D7230" i="106"/>
  <c r="I352" i="29"/>
  <c r="I367" i="29"/>
  <c r="B7215" i="106"/>
  <c r="D7215" i="106"/>
  <c r="J16" i="4"/>
  <c r="B6226" i="106"/>
  <c r="D6226" i="106"/>
  <c r="B7202" i="106"/>
  <c r="D7202" i="106"/>
  <c r="F342" i="29"/>
  <c r="B7219" i="106"/>
  <c r="D7219" i="106"/>
  <c r="B7503" i="106"/>
  <c r="B7531" i="106"/>
  <c r="D7251" i="106"/>
  <c r="B7214" i="106"/>
  <c r="D7214" i="106"/>
  <c r="B7221" i="106"/>
  <c r="D7221" i="106"/>
  <c r="B7201" i="106"/>
  <c r="D7201" i="106"/>
  <c r="E342" i="29"/>
  <c r="B7218" i="106"/>
  <c r="D7218" i="106"/>
  <c r="B6917" i="106"/>
  <c r="D6917" i="106"/>
  <c r="J74" i="29"/>
  <c r="D266" i="5"/>
  <c r="B5501" i="106"/>
  <c r="D5501" i="106"/>
  <c r="D7256" i="106"/>
  <c r="D7248" i="106"/>
  <c r="D7247" i="106"/>
  <c r="D7246" i="106"/>
  <c r="J312" i="29"/>
  <c r="B7117" i="106"/>
  <c r="D7117" i="106"/>
  <c r="I312" i="29"/>
  <c r="B7116" i="106"/>
  <c r="D7116" i="106"/>
  <c r="I151" i="29"/>
  <c r="F59" i="34"/>
  <c r="B6916" i="106"/>
  <c r="D6916" i="106"/>
  <c r="I74" i="29"/>
  <c r="I49" i="8"/>
  <c r="B3633" i="106"/>
  <c r="D3633" i="106"/>
  <c r="E352" i="29"/>
  <c r="E367" i="29"/>
  <c r="B3629" i="106"/>
  <c r="D3629" i="106"/>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381" i="106"/>
  <c r="D1381" i="106"/>
  <c r="B1318" i="106"/>
  <c r="D1318" i="106"/>
  <c r="B1127" i="106"/>
  <c r="D1127" i="106"/>
  <c r="K65" i="29"/>
  <c r="B1133" i="106"/>
  <c r="D1133" i="106"/>
  <c r="B1123" i="106"/>
  <c r="D1123" i="106"/>
  <c r="K57" i="29"/>
  <c r="K365" i="29"/>
  <c r="B3640" i="106"/>
  <c r="D3640" i="106"/>
  <c r="F352" i="29"/>
  <c r="F367" i="29"/>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1328" i="106"/>
  <c r="D13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66" i="106"/>
  <c r="D1266" i="106"/>
  <c r="H151" i="29"/>
  <c r="B1273" i="106"/>
  <c r="D1273"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J19" i="145"/>
  <c r="L151" i="29"/>
  <c r="C266" i="5"/>
  <c r="J24" i="12"/>
  <c r="B7730" i="106"/>
  <c r="D7730" i="106"/>
  <c r="B7270" i="106"/>
  <c r="D7254" i="106"/>
  <c r="L114" i="29"/>
  <c r="J151" i="29"/>
  <c r="B7052" i="106"/>
  <c r="D7052" i="106"/>
  <c r="D7250" i="106"/>
  <c r="B5778" i="106"/>
  <c r="D5778" i="106"/>
  <c r="G6" i="4"/>
  <c r="B2604" i="106"/>
  <c r="D2604" i="106"/>
  <c r="B5770" i="106"/>
  <c r="D5770" i="106"/>
  <c r="L16" i="11"/>
  <c r="B2061" i="106"/>
  <c r="D2061" i="106"/>
  <c r="B1365" i="106"/>
  <c r="D1365" i="106"/>
  <c r="F65" i="34"/>
  <c r="C114" i="29"/>
  <c r="B757" i="106"/>
  <c r="D757" i="106"/>
  <c r="D76" i="36"/>
  <c r="B92" i="106"/>
  <c r="D92" i="106"/>
  <c r="D44" i="36"/>
  <c r="I26" i="12"/>
  <c r="B7741" i="106"/>
  <c r="D7741" i="106"/>
  <c r="B1996" i="106"/>
  <c r="D1996" i="106"/>
  <c r="B1317" i="106"/>
  <c r="D1317" i="106"/>
  <c r="D7255" i="106"/>
  <c r="D7253" i="106"/>
  <c r="D7252" i="106"/>
  <c r="F174" i="34"/>
  <c r="B3568" i="106"/>
  <c r="D3568" i="106"/>
  <c r="D52" i="36"/>
  <c r="B7733" i="106"/>
  <c r="D7733" i="106"/>
  <c r="K26" i="12"/>
  <c r="B7743" i="106"/>
  <c r="D7743" i="106"/>
  <c r="B1879" i="106"/>
  <c r="D1879" i="106"/>
  <c r="H22" i="37"/>
  <c r="B3628" i="106"/>
  <c r="D3628" i="106"/>
  <c r="F73" i="34"/>
  <c r="G15" i="4"/>
  <c r="B6032" i="106"/>
  <c r="D6032" i="106"/>
  <c r="B3670" i="106"/>
  <c r="D3670" i="106"/>
  <c r="K352" i="29"/>
  <c r="K367" i="29"/>
  <c r="H367" i="29"/>
  <c r="B3660" i="106"/>
  <c r="D3660" i="106"/>
  <c r="B5914" i="106"/>
  <c r="D5914" i="106"/>
  <c r="I6" i="4"/>
  <c r="B5011" i="106"/>
  <c r="D5011" i="106"/>
  <c r="K7" i="4"/>
  <c r="B3718" i="106"/>
  <c r="D3718" i="106"/>
  <c r="C4" i="4"/>
  <c r="B2551" i="106"/>
  <c r="D2551" i="106"/>
  <c r="F170" i="5"/>
  <c r="F267" i="5"/>
  <c r="F7" i="4"/>
  <c r="B2594" i="106"/>
  <c r="D2594" i="106"/>
  <c r="D267" i="5"/>
  <c r="D7" i="4"/>
  <c r="D19" i="7"/>
  <c r="B1775" i="106"/>
  <c r="D1775" i="106"/>
  <c r="H268" i="5"/>
  <c r="B6024" i="106"/>
  <c r="D6024" i="106"/>
  <c r="G4" i="4"/>
  <c r="B2603" i="106"/>
  <c r="D2603" i="106"/>
  <c r="J7" i="4"/>
  <c r="B6222" i="106"/>
  <c r="D6222" i="106"/>
  <c r="B6014" i="106"/>
  <c r="D6014" i="106"/>
  <c r="B6025" i="106"/>
  <c r="D6025" i="106"/>
  <c r="H4" i="4"/>
  <c r="B5356" i="106"/>
  <c r="D5356" i="106"/>
  <c r="D4" i="4"/>
  <c r="B2564" i="106"/>
  <c r="D2564" i="106"/>
  <c r="B5906" i="106"/>
  <c r="D5906" i="106"/>
  <c r="H6" i="4"/>
  <c r="B2656" i="106"/>
  <c r="D2656" i="106"/>
  <c r="B5214" i="106"/>
  <c r="D5214" i="106"/>
  <c r="C170" i="5"/>
  <c r="B7760" i="106"/>
  <c r="D7760" i="106"/>
  <c r="D24" i="36"/>
  <c r="K102" i="29"/>
  <c r="F53"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0"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C267"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B1145" i="106"/>
  <c r="D1145"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B1983" i="106"/>
  <c r="D1983" i="106"/>
  <c r="H26" i="12"/>
  <c r="B7740" i="106"/>
  <c r="D7740" i="106"/>
  <c r="B3274" i="106"/>
  <c r="D3274" i="106"/>
  <c r="E77" i="4"/>
  <c r="B3277" i="106"/>
  <c r="D3277" i="106"/>
  <c r="B6977" i="106"/>
  <c r="D6977" i="106"/>
  <c r="I114" i="29"/>
  <c r="B7051" i="106"/>
  <c r="D7051" i="106"/>
  <c r="B6026" i="106"/>
  <c r="D6026" i="106"/>
  <c r="I4" i="4"/>
  <c r="I268" i="5"/>
  <c r="B5946" i="106"/>
  <c r="D5946" i="106"/>
  <c r="G267" i="5"/>
  <c r="B5863" i="106"/>
  <c r="D5863" i="106"/>
  <c r="B7747" i="106"/>
  <c r="D7747" i="106"/>
  <c r="E267"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K279" i="29"/>
  <c r="B1481" i="106"/>
  <c r="D1481" i="106"/>
  <c r="B2102" i="106"/>
  <c r="D2102" i="106"/>
  <c r="H15" i="4"/>
  <c r="B2660" i="106"/>
  <c r="D2660" i="106"/>
  <c r="B3636" i="106"/>
  <c r="D3636" i="106"/>
  <c r="D3635" i="106"/>
  <c r="B4171" i="106"/>
  <c r="D4171" i="106"/>
  <c r="N36" i="3"/>
  <c r="J114" i="29"/>
  <c r="B7021" i="106"/>
  <c r="D7021" i="106"/>
  <c r="B6978" i="106"/>
  <c r="D6978" i="106"/>
  <c r="B7224" i="106"/>
  <c r="D7224" i="106"/>
  <c r="B7244" i="106"/>
  <c r="D7244" i="106"/>
  <c r="B7234" i="106"/>
  <c r="D7234" i="106"/>
  <c r="B1108" i="106"/>
  <c r="D1108" i="106"/>
  <c r="E19" i="108"/>
  <c r="C12" i="4"/>
  <c r="G19" i="108"/>
  <c r="B5544" i="106"/>
  <c r="D5544" i="106"/>
  <c r="E6" i="4"/>
  <c r="G22" i="108"/>
  <c r="B1119" i="106"/>
  <c r="D1119" i="106"/>
  <c r="E22" i="108"/>
  <c r="G12" i="145"/>
  <c r="G19" i="145"/>
  <c r="J20" i="145"/>
  <c r="E19" i="145"/>
  <c r="B5915" i="106"/>
  <c r="D5915" i="106"/>
  <c r="B7298" i="106"/>
  <c r="B7299" i="106"/>
  <c r="F24" i="37"/>
  <c r="D268" i="5"/>
  <c r="J17" i="4"/>
  <c r="K13" i="4"/>
  <c r="B3572" i="106"/>
  <c r="D3572" i="106"/>
  <c r="B3672" i="106"/>
  <c r="D3672" i="106"/>
  <c r="F268" i="5"/>
  <c r="B5720" i="106"/>
  <c r="D5720" i="106"/>
  <c r="B5507" i="106"/>
  <c r="D5507" i="106"/>
  <c r="B5719" i="106"/>
  <c r="D5719" i="106"/>
  <c r="F6" i="4"/>
  <c r="B2593" i="106"/>
  <c r="D2593" i="106"/>
  <c r="B5653" i="106"/>
  <c r="D5653" i="106"/>
  <c r="B2655" i="106"/>
  <c r="D2655" i="106"/>
  <c r="H8" i="4"/>
  <c r="F8" i="4"/>
  <c r="F10" i="4"/>
  <c r="B4125" i="106"/>
  <c r="D4125" i="106"/>
  <c r="B5223" i="106"/>
  <c r="D5223" i="106"/>
  <c r="C6" i="4"/>
  <c r="B2553" i="106"/>
  <c r="D2553" i="106"/>
  <c r="J8" i="4"/>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68" i="5"/>
  <c r="K151" i="29"/>
  <c r="B1281" i="106"/>
  <c r="D1281" i="106"/>
  <c r="D13" i="4"/>
  <c r="B2634" i="106"/>
  <c r="D2634" i="106"/>
  <c r="E17" i="4"/>
  <c r="B1332" i="106"/>
  <c r="D1332" i="106"/>
  <c r="B1259" i="106"/>
  <c r="D1259" i="106"/>
  <c r="B989" i="106"/>
  <c r="D989" i="106"/>
  <c r="F54" i="34"/>
  <c r="C268" i="5"/>
  <c r="B5326" i="106"/>
  <c r="D5326" i="106"/>
  <c r="C7" i="4"/>
  <c r="H37" i="37"/>
  <c r="B285" i="106"/>
  <c r="D285" i="106"/>
  <c r="N37" i="3"/>
  <c r="B3678" i="106"/>
  <c r="D3678" i="106"/>
  <c r="K368" i="29"/>
  <c r="B3681" i="106"/>
  <c r="D3681" i="106"/>
  <c r="B1510" i="106"/>
  <c r="D1510" i="106"/>
  <c r="K295" i="29"/>
  <c r="F12" i="34"/>
  <c r="G13" i="4"/>
  <c r="K17" i="4"/>
  <c r="B3574" i="106"/>
  <c r="D3574" i="106"/>
  <c r="B1282" i="106"/>
  <c r="D1282" i="106"/>
  <c r="D15" i="4"/>
  <c r="B2571" i="106"/>
  <c r="D2571" i="106"/>
  <c r="J19" i="4"/>
  <c r="B6229" i="106"/>
  <c r="D6229" i="106"/>
  <c r="B6227" i="106"/>
  <c r="D6227" i="106"/>
  <c r="B5869" i="106"/>
  <c r="D5869" i="106"/>
  <c r="G268"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J20" i="4"/>
  <c r="J10" i="4"/>
  <c r="B6225" i="106"/>
  <c r="D6225" i="106"/>
  <c r="B6223" i="106"/>
  <c r="D6223" i="106"/>
  <c r="B5508" i="106"/>
  <c r="D5508" i="106"/>
  <c r="B2567" i="106"/>
  <c r="D2567" i="106"/>
  <c r="D8" i="146"/>
  <c r="F76" i="34"/>
  <c r="B2595" i="106"/>
  <c r="D2595" i="106"/>
  <c r="D8" i="4"/>
  <c r="C8" i="146"/>
  <c r="D10" i="171"/>
  <c r="D19" i="171"/>
  <c r="D32" i="171"/>
  <c r="D49" i="171"/>
  <c r="B2658" i="106"/>
  <c r="D2658" i="106"/>
  <c r="H10" i="4"/>
  <c r="B4127" i="106"/>
  <c r="D4127" i="106"/>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B6230" i="106"/>
  <c r="D6230" i="106"/>
  <c r="J78" i="4"/>
  <c r="D10" i="4"/>
  <c r="B4123" i="106"/>
  <c r="D4123" i="106"/>
  <c r="B2568" i="106"/>
  <c r="D2568" i="106"/>
  <c r="H13" i="118"/>
  <c r="D20" i="4"/>
  <c r="B2574" i="106"/>
  <c r="D2574" i="106"/>
  <c r="F14" i="34"/>
  <c r="F77" i="34"/>
  <c r="F175" i="34"/>
  <c r="H18" i="118"/>
  <c r="C10" i="4"/>
  <c r="B4122" i="106"/>
  <c r="D4122" i="106"/>
  <c r="B8" i="146"/>
  <c r="F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D78" i="4"/>
  <c r="B3588" i="106"/>
  <c r="D3588" i="106"/>
  <c r="K81" i="4"/>
  <c r="F78" i="4"/>
  <c r="B2601" i="106"/>
  <c r="D2601" i="106"/>
  <c r="B3320" i="106"/>
  <c r="D3320" i="106"/>
  <c r="I81" i="4"/>
  <c r="K17" i="118"/>
  <c r="B3300" i="106"/>
  <c r="D3300" i="106"/>
  <c r="H81" i="4"/>
  <c r="B7631" i="106"/>
  <c r="F176" i="34"/>
  <c r="F177" i="34"/>
  <c r="F179"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B3278" i="106"/>
  <c r="D3278" i="106"/>
  <c r="E81" i="4"/>
  <c r="B3233" i="106"/>
  <c r="D3233" i="106"/>
  <c r="C81" i="4"/>
  <c r="A7263" i="106"/>
  <c r="D7262" i="106"/>
  <c r="B1700" i="106"/>
  <c r="D1700" i="106"/>
  <c r="H82" i="4"/>
  <c r="D62" i="36"/>
  <c r="O16"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11" i="118"/>
  <c r="O13" i="118"/>
  <c r="J20"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K20" i="118"/>
  <c r="O17" i="118"/>
  <c r="O20" i="118"/>
  <c r="O35" i="118"/>
  <c r="O37" i="118"/>
  <c r="D29" i="3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1" i="176" l="1"/>
  <c r="A1" i="173"/>
  <c r="A1" i="170"/>
  <c r="B1" i="175"/>
  <c r="B2" i="175"/>
  <c r="A2" i="173"/>
  <c r="A2" i="170"/>
  <c r="G143" i="181"/>
  <c r="G40" i="108" s="1"/>
  <c r="G41" i="108" s="1"/>
  <c r="G44" i="108" s="1"/>
  <c r="G45" i="108" s="1"/>
  <c r="F143" i="181"/>
  <c r="B7798" i="106" s="1"/>
  <c r="D7798" i="106" s="1"/>
  <c r="B7797" i="106"/>
  <c r="D7797" i="106" s="1"/>
  <c r="B7799" i="106"/>
  <c r="D7799" i="106" s="1"/>
  <c r="E143" i="181"/>
  <c r="E40" i="108"/>
  <c r="E41" i="108" s="1"/>
  <c r="E44" i="108" s="1"/>
  <c r="E45" i="10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<sst xmlns="http://schemas.openxmlformats.org/spreadsheetml/2006/main" count="5152" uniqueCount="2110">
  <si>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</si>
  <si>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</si>
  <si>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</si>
  <si>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</si>
  <si>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</si>
  <si>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</si>
  <si>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</si>
  <si>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</si>
  <si>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</si>
  <si>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</si>
  <si>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</si>
  <si>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</si>
  <si>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</si>
  <si>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</si>
  <si>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</si>
  <si>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</si>
  <si>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</si>
  <si>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</si>
  <si>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</si>
  <si>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</si>
  <si>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</si>
  <si>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</si>
  <si>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</si>
  <si>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</si>
  <si>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</si>
  <si>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</si>
  <si>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</si>
  <si>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</si>
  <si>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</si>
  <si>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</si>
  <si>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</si>
  <si>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</si>
  <si>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</si>
  <si>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</si>
  <si>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</si>
  <si>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</si>
  <si>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</si>
  <si>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</si>
  <si>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</si>
  <si>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</si>
  <si>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</si>
  <si>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</si>
  <si>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</si>
  <si>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</si>
  <si>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</si>
  <si>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</si>
  <si>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</si>
  <si>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</si>
  <si>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</si>
  <si>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</si>
  <si>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</si>
  <si>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</si>
  <si>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</si>
  <si>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</si>
  <si>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</si>
  <si>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</si>
  <si>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</si>
  <si>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</si>
  <si>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</si>
  <si>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</si>
  <si>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</si>
  <si>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</si>
  <si>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</si>
  <si>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</si>
  <si>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</si>
  <si>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</si>
  <si>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</si>
  <si>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</si>
  <si>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</si>
  <si>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</si>
  <si>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</si>
  <si>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</si>
  <si>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</si>
  <si>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</si>
  <si>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</si>
  <si>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</si>
  <si>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</si>
  <si>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</si>
  <si>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</si>
  <si>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</si>
  <si>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</si>
  <si>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</si>
  <si>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</si>
  <si>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</si>
  <si>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</si>
  <si>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</si>
  <si>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</si>
  <si>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</si>
  <si>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</si>
  <si>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</si>
  <si>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</si>
  <si>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</si>
  <si>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</si>
  <si>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</si>
  <si>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</si>
  <si>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</si>
  <si>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</si>
  <si>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</si>
  <si>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</si>
  <si>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</si>
  <si>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</si>
  <si>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</si>
  <si>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</si>
  <si>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</si>
  <si>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</si>
  <si>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</si>
  <si>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</si>
  <si>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</si>
  <si>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</si>
  <si>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</si>
  <si>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</si>
  <si>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</si>
  <si>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</si>
  <si>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</si>
  <si>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</si>
  <si>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</si>
  <si>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</si>
  <si>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</si>
  <si>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</si>
  <si>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</si>
  <si>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</si>
  <si>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</si>
  <si>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</si>
  <si>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</si>
  <si>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</si>
  <si>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</si>
  <si>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</si>
  <si>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</si>
  <si>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</si>
  <si>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</si>
  <si>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</si>
  <si>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</si>
  <si>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</si>
  <si>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</si>
  <si>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</si>
  <si>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</si>
  <si>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</si>
  <si>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</si>
  <si>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</si>
  <si>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</si>
  <si>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</si>
  <si>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</si>
  <si>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</si>
  <si>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</si>
  <si>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</si>
  <si>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</si>
  <si>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</si>
  <si>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</si>
  <si>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</si>
  <si>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</si>
  <si>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</si>
  <si>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</si>
  <si>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</si>
  <si>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</si>
  <si>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</si>
  <si>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</si>
  <si>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</si>
  <si>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</si>
  <si>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</si>
  <si>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</si>
  <si>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</si>
  <si>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</si>
  <si>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</si>
  <si>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</si>
  <si>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</si>
  <si>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</si>
  <si>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</si>
  <si>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</si>
  <si>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</si>
  <si>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</si>
  <si>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</si>
  <si>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</si>
  <si>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</si>
  <si>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</si>
  <si>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</si>
  <si>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</si>
  <si>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</si>
  <si>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</si>
  <si>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</si>
  <si>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</si>
  <si>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</si>
  <si>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</si>
  <si>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</si>
  <si>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</si>
  <si>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</si>
  <si>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</si>
  <si>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</si>
  <si>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</si>
  <si>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</si>
  <si>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</si>
  <si>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</si>
  <si>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</si>
  <si>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</si>
  <si>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</si>
  <si>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</si>
  <si>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</si>
  <si>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</si>
  <si>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</si>
  <si>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</si>
  <si>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</si>
  <si>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</si>
  <si>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</si>
  <si>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</si>
  <si>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</si>
  <si>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</si>
  <si>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</si>
  <si>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</si>
  <si>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</si>
  <si>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</si>
  <si>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</si>
  <si>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</si>
  <si>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</si>
  <si>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</si>
  <si>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</si>
  <si>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</si>
  <si>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</si>
  <si>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</si>
  <si>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</si>
  <si>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</si>
  <si>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</si>
  <si>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</si>
  <si>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</si>
  <si>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</si>
  <si>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</si>
  <si>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</si>
  <si>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</si>
  <si>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</si>
  <si>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</si>
  <si>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</si>
  <si>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</si>
  <si>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</si>
  <si>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</si>
  <si>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</si>
  <si>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</si>
  <si>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</si>
  <si>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</si>
  <si>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</si>
  <si>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</si>
  <si>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</si>
  <si>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</si>
  <si>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</si>
  <si>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</si>
  <si>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</si>
  <si>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</si>
  <si>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</si>
  <si>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</si>
  <si>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</si>
  <si>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</si>
  <si>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</si>
  <si>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</si>
  <si>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</si>
  <si>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</si>
  <si>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</si>
  <si>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</si>
  <si>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</si>
  <si>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</si>
  <si>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</si>
  <si>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</si>
  <si>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</si>
  <si>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</si>
  <si>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</si>
  <si>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</si>
  <si>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</si>
  <si>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</si>
  <si>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</si>
  <si>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</si>
  <si>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</si>
  <si>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</si>
  <si>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</si>
  <si>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</si>
  <si>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</si>
  <si>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</si>
  <si>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</si>
  <si>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</si>
  <si>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</si>
  <si>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</si>
  <si>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</si>
  <si>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</si>
  <si>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</si>
  <si>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</si>
  <si>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</si>
  <si>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</si>
  <si>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</si>
  <si>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</si>
  <si>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</si>
  <si>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</si>
  <si>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</si>
  <si>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</si>
  <si>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</si>
  <si>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</si>
  <si>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</si>
  <si>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</si>
  <si>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</si>
  <si>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</si>
  <si>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</si>
  <si>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</si>
  <si>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</si>
  <si>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</si>
  <si>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</si>
  <si>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</si>
  <si>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</si>
  <si>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</si>
  <si>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</si>
  <si>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</si>
  <si>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</si>
  <si>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</si>
  <si>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</si>
  <si>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</si>
  <si>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</si>
  <si>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</si>
  <si>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</si>
  <si>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</si>
  <si>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</si>
  <si>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</si>
  <si>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</si>
  <si>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</si>
  <si>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</si>
  <si>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</si>
  <si>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</si>
  <si>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</si>
  <si>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</si>
  <si>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</si>
  <si>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</si>
  <si>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</si>
  <si>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</si>
  <si>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</si>
  <si>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</si>
  <si>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</si>
  <si>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</si>
  <si>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</si>
  <si>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</si>
  <si>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</si>
  <si>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</si>
  <si>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</si>
  <si>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</si>
  <si>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</si>
  <si>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</si>
  <si>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</si>
  <si>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</si>
  <si>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</si>
  <si>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</si>
  <si>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</si>
  <si>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</si>
  <si>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</si>
  <si>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</si>
  <si>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</si>
  <si>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</si>
  <si>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</si>
  <si>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</si>
  <si>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</si>
  <si>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</si>
  <si>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</si>
  <si>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</si>
  <si>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</si>
  <si>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</si>
  <si>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</si>
  <si>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</si>
  <si>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</si>
  <si>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</si>
  <si>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</si>
  <si>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</si>
  <si>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</si>
  <si>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</si>
  <si>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</si>
  <si>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</si>
  <si>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</si>
  <si>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</si>
  <si>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</si>
  <si>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</si>
  <si>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</si>
  <si>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</si>
  <si>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</si>
  <si>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</si>
  <si>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</si>
  <si>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</si>
  <si>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</si>
  <si>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</si>
  <si>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</si>
  <si>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</si>
  <si>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</si>
  <si>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</si>
  <si>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</si>
  <si>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</si>
  <si>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</si>
  <si>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</si>
  <si>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</si>
  <si>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</si>
  <si>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</si>
  <si>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</si>
  <si>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</si>
  <si>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</si>
  <si>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</si>
  <si>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</si>
  <si>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</si>
  <si>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</si>
  <si>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</si>
  <si>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</si>
  <si>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</si>
  <si>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</si>
  <si>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</si>
  <si>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</si>
  <si>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</si>
  <si>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</si>
  <si>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</si>
  <si>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</si>
  <si>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</si>
  <si>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</si>
  <si>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</si>
  <si>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</si>
  <si>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</si>
  <si>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</si>
  <si>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</si>
  <si>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</si>
  <si>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</si>
  <si>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</si>
  <si>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</si>
  <si>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</si>
  <si>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</si>
  <si>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</si>
  <si>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</si>
  <si>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</si>
  <si>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</si>
  <si>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</si>
  <si>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</si>
  <si>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</si>
  <si>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</si>
  <si>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</si>
  <si>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</si>
  <si>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</si>
  <si>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</si>
  <si>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</si>
  <si>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</si>
  <si>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</si>
  <si>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</si>
  <si>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</si>
  <si>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</si>
  <si>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</si>
  <si>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</si>
  <si>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</si>
  <si>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</si>
  <si>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</si>
  <si>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</si>
  <si>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</si>
  <si>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</si>
  <si>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</si>
  <si>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</si>
  <si>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</si>
  <si>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</si>
  <si>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</si>
  <si>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</si>
  <si>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</si>
  <si>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</si>
  <si>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</si>
  <si>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</si>
  <si>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</si>
  <si>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</si>
  <si>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</si>
  <si>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</si>
  <si>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</si>
  <si>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</si>
  <si>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</si>
  <si>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</si>
  <si>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</si>
  <si>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</si>
  <si>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</si>
  <si>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</si>
  <si>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</si>
  <si>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</si>
  <si>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</si>
  <si>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</si>
  <si>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</si>
  <si>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</si>
  <si>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</si>
  <si>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</si>
  <si>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</si>
  <si>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</si>
  <si>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</si>
  <si>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</si>
  <si>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</si>
  <si>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</si>
  <si>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</si>
  <si>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</si>
  <si>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</si>
  <si>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</si>
  <si>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</si>
  <si>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</si>
  <si>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</si>
  <si>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</si>
  <si>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</si>
  <si>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</si>
  <si>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</si>
  <si>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</si>
  <si>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</si>
  <si>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</si>
  <si>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</si>
  <si>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</si>
  <si>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</si>
  <si>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</si>
  <si>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</si>
  <si>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</si>
  <si>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</si>
  <si>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</si>
  <si>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</si>
  <si>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</si>
  <si>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</si>
  <si>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</si>
  <si>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</si>
  <si>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</si>
  <si>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</si>
  <si>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</si>
  <si>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</si>
  <si>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</si>
  <si>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</si>
  <si>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</si>
  <si>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</si>
  <si>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</si>
  <si>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</si>
  <si>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</si>
  <si>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</si>
  <si>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</si>
  <si>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</si>
  <si>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</si>
  <si>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</si>
  <si>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</si>
  <si>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</si>
  <si>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</si>
  <si>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</si>
  <si>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</si>
  <si>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</si>
  <si>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</si>
  <si>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</si>
  <si>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</si>
  <si>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</si>
  <si>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</si>
  <si>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</si>
  <si>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</si>
  <si>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</si>
  <si>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</si>
  <si>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</si>
  <si>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</si>
  <si>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</si>
  <si>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</si>
  <si>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</si>
  <si>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</si>
  <si>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</si>
  <si>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</si>
  <si>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</si>
  <si>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</si>
  <si>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</si>
  <si>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</si>
  <si>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</si>
  <si>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</si>
  <si>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</si>
  <si>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</si>
  <si>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</si>
  <si>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</si>
  <si>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</si>
  <si>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</si>
  <si>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</si>
  <si>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</si>
  <si>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</si>
  <si>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</si>
  <si>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</si>
  <si>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</si>
  <si>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</si>
  <si>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</si>
  <si>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</si>
  <si>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</si>
  <si>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</si>
  <si>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</si>
  <si>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</si>
  <si>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</si>
  <si>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</si>
  <si>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</si>
  <si>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</si>
  <si>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</si>
  <si>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</si>
  <si>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</si>
  <si>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</si>
  <si>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</si>
  <si>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</si>
  <si>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</si>
  <si>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</si>
  <si>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</si>
  <si>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</si>
  <si>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</si>
  <si>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</si>
  <si>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</si>
  <si>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</si>
  <si>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</si>
  <si>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</si>
  <si>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</si>
  <si>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</si>
  <si>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</si>
  <si>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</si>
  <si>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</si>
  <si>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</si>
  <si>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</si>
  <si>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</si>
  <si>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</si>
  <si>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</si>
  <si>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</si>
  <si>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</si>
  <si>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</si>
  <si>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</si>
  <si>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</si>
  <si>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</si>
  <si>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</si>
  <si>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</si>
  <si>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</si>
  <si>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</si>
  <si>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</si>
  <si>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</si>
  <si>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</si>
  <si>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</si>
  <si>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</si>
  <si>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</si>
  <si>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</si>
  <si>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</si>
  <si>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</si>
  <si>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</si>
  <si>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</si>
  <si>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</si>
  <si>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</si>
  <si>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</si>
  <si>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</si>
  <si>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</si>
  <si>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</si>
  <si>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</si>
  <si>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</si>
  <si>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</si>
  <si>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</si>
  <si>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</si>
  <si>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</si>
  <si>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</si>
  <si>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</si>
  <si>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</si>
  <si>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</si>
  <si>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</si>
  <si>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</si>
  <si>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</si>
  <si>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</si>
  <si>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</si>
  <si>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</si>
  <si>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</si>
  <si>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</si>
  <si>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</si>
  <si>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</si>
  <si>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</si>
  <si>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</si>
  <si>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</si>
  <si>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</si>
  <si>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</si>
  <si>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</si>
  <si>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</si>
  <si>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</si>
  <si>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</si>
  <si>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</si>
  <si>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</si>
  <si>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</si>
  <si>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</si>
  <si>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</si>
  <si>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</si>
  <si>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</si>
  <si>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</si>
  <si>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</si>
  <si>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</si>
  <si>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</si>
  <si>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</si>
  <si>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</si>
  <si>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</si>
  <si>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</si>
  <si>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</si>
  <si>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</si>
  <si>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</si>
  <si>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</si>
  <si>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</si>
  <si>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</si>
  <si>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</si>
  <si>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</si>
  <si>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</si>
  <si>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</si>
  <si>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</si>
  <si>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</si>
  <si>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</si>
  <si>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</si>
  <si>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</si>
  <si>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</si>
  <si>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</si>
  <si>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</si>
  <si>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</si>
  <si>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</si>
  <si>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</si>
  <si>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</si>
  <si>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</si>
  <si>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</si>
  <si>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</si>
  <si>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</si>
  <si>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</si>
  <si>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</si>
  <si>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</si>
  <si>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</si>
  <si>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</si>
  <si>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</si>
  <si>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</si>
  <si>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</si>
  <si>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</si>
  <si>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</si>
  <si>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</si>
  <si>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</si>
  <si>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</si>
  <si>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</si>
  <si>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</si>
  <si>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</si>
  <si>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</si>
  <si>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</si>
  <si>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</si>
  <si>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</si>
  <si>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</si>
  <si>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</si>
  <si>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</si>
  <si>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</si>
  <si>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</si>
  <si>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</si>
  <si>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</si>
  <si>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</si>
  <si>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</si>
  <si>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</si>
  <si>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</si>
  <si>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</si>
  <si>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</si>
  <si>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</si>
  <si>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</si>
  <si>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</si>
  <si>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</si>
  <si>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</si>
  <si>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</si>
  <si>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</si>
  <si>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</si>
  <si>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</si>
  <si>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</si>
  <si>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</si>
  <si>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</si>
  <si>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</si>
  <si>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</si>
  <si>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</si>
  <si>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</si>
  <si>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</si>
  <si>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</si>
  <si>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</si>
  <si>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</si>
  <si>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</si>
  <si>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</si>
  <si>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</si>
  <si>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</si>
  <si>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</si>
  <si>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</si>
  <si>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</si>
  <si>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</si>
  <si>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</si>
  <si>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</si>
  <si>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</si>
  <si>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</si>
  <si>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</si>
  <si>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</si>
  <si>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</si>
  <si>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</si>
  <si>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</si>
  <si>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</si>
  <si>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</si>
  <si>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</si>
  <si>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</si>
  <si>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</si>
  <si>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</si>
  <si>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</si>
  <si>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</si>
  <si>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</si>
  <si>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</si>
  <si>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</si>
  <si>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</si>
  <si>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</si>
  <si>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</si>
  <si>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</si>
  <si>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</si>
  <si>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</si>
  <si>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</si>
  <si>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</si>
  <si>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</si>
  <si>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</si>
  <si>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</si>
  <si>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</si>
  <si>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</si>
  <si>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</si>
  <si>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</si>
  <si>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</si>
  <si>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</si>
  <si>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</si>
  <si>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</si>
  <si>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</si>
  <si>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</si>
  <si>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</si>
  <si>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</si>
  <si>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</si>
  <si>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</si>
  <si>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</si>
  <si>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</si>
  <si>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</si>
  <si>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</si>
  <si>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</si>
  <si>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</si>
  <si>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</si>
  <si>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</si>
  <si>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</si>
  <si>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</si>
  <si>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</si>
  <si>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</si>
  <si>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</si>
  <si>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</si>
  <si>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</si>
  <si>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</si>
  <si>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</si>
  <si>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</si>
  <si>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</si>
  <si>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</si>
  <si>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</si>
  <si>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</si>
  <si>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</si>
  <si>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</si>
  <si>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</si>
  <si>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</si>
  <si>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</si>
  <si>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</si>
  <si>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</si>
  <si>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</si>
  <si>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</si>
  <si>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</si>
  <si>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</si>
  <si>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</si>
  <si>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</si>
  <si>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</si>
  <si>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</si>
  <si>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</si>
  <si>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</si>
  <si>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</si>
  <si>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</si>
  <si>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</si>
  <si>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</si>
  <si>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</si>
  <si>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</si>
  <si>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</si>
  <si>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</si>
  <si>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</si>
  <si>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</si>
  <si>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</si>
  <si>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</si>
  <si>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</si>
  <si>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</si>
  <si>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</si>
  <si>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</si>
  <si>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</si>
  <si>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</si>
  <si>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</si>
  <si>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</si>
  <si>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</si>
  <si>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</si>
  <si>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</si>
  <si>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</si>
  <si>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</si>
  <si>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</si>
  <si>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</si>
  <si>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</si>
  <si>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</si>
  <si>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</si>
  <si>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</si>
  <si>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</si>
  <si>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</si>
  <si>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</si>
  <si>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</si>
  <si>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</si>
  <si>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</si>
  <si>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</si>
  <si>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</si>
  <si>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</si>
  <si>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</si>
  <si>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</si>
  <si>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</si>
  <si>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</si>
  <si>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</si>
  <si>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</si>
  <si>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</si>
  <si>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</si>
  <si>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</si>
  <si>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</si>
  <si>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</si>
  <si>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</si>
  <si>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</si>
  <si>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</si>
  <si>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</si>
  <si>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</si>
  <si>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</si>
  <si>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</si>
  <si>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</si>
  <si>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</si>
  <si>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</si>
  <si>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</si>
  <si>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</si>
  <si>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</si>
  <si>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</si>
  <si>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</si>
  <si>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</si>
  <si>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</si>
  <si>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</si>
  <si>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</si>
  <si>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</si>
  <si>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</si>
  <si>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</si>
  <si>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</si>
  <si>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</si>
  <si>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</si>
  <si>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</si>
  <si>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</si>
  <si>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</si>
  <si>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</si>
  <si>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</si>
  <si>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</si>
  <si>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</si>
  <si>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</si>
  <si>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</si>
  <si>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</si>
  <si>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</si>
  <si>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</si>
  <si>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</si>
  <si>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</si>
  <si>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</si>
  <si>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</si>
  <si>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</si>
  <si>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</si>
  <si>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</si>
  <si>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</si>
  <si>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</si>
  <si>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</si>
  <si>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</si>
  <si>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</si>
  <si>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</si>
  <si>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</si>
  <si>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</si>
  <si>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</si>
  <si>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</si>
  <si>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</si>
  <si>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</si>
  <si>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</si>
  <si>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</si>
  <si>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</si>
  <si>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</si>
  <si>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</si>
  <si>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</si>
  <si>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</si>
  <si>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</si>
  <si>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</si>
  <si>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</si>
  <si>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</si>
  <si>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</si>
  <si>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</si>
  <si>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</si>
  <si>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</si>
  <si>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</si>
  <si>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</si>
  <si>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</si>
  <si>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</si>
  <si>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</si>
  <si>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</si>
  <si>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</si>
  <si>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</si>
  <si>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</si>
  <si>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</si>
  <si>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</si>
  <si>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</si>
  <si>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</si>
  <si>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</si>
  <si>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</si>
  <si>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</si>
  <si>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</si>
  <si>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</si>
  <si>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</si>
  <si>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</si>
  <si>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</si>
  <si>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</si>
  <si>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</si>
  <si>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</si>
  <si>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</si>
  <si>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</si>
  <si>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</si>
  <si>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</si>
  <si>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</si>
  <si>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</si>
  <si>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</si>
  <si>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</si>
  <si>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</si>
  <si>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</si>
  <si>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</si>
  <si>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</si>
  <si>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</si>
  <si>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</si>
  <si>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</si>
  <si>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</si>
  <si>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</si>
  <si>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</si>
  <si>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</si>
  <si>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</si>
  <si>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</si>
  <si>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</si>
  <si>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</si>
  <si>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</si>
  <si>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</si>
  <si>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</si>
  <si>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</si>
  <si>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</si>
  <si>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</si>
  <si>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</si>
  <si>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</si>
  <si>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</si>
  <si>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</si>
  <si>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</si>
  <si>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</si>
  <si>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</si>
  <si>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</si>
  <si>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</si>
  <si>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</si>
  <si>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</si>
  <si>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</si>
  <si>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</si>
  <si>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</si>
  <si>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</si>
  <si>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</si>
  <si>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</si>
  <si>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</si>
  <si>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</si>
  <si>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</si>
  <si>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</si>
  <si>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</si>
  <si>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</si>
  <si>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</si>
  <si>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</si>
  <si>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</si>
  <si>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</si>
  <si>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</si>
  <si>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</si>
  <si>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</si>
  <si>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</si>
  <si>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</si>
  <si>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</si>
  <si>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</si>
  <si>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</si>
  <si>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</si>
  <si>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</si>
  <si>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</si>
  <si>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</si>
  <si>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</si>
  <si>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</si>
  <si>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</si>
  <si>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</si>
  <si>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</si>
  <si>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</si>
  <si>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</si>
  <si>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</si>
  <si>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</si>
  <si>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</si>
  <si>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</si>
  <si>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</si>
  <si>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</si>
  <si>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</si>
  <si>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</si>
  <si>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</si>
  <si>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</si>
  <si>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</si>
  <si>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</si>
  <si>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</si>
  <si>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</si>
  <si>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</si>
  <si>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</si>
  <si>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</si>
  <si>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</si>
  <si>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</si>
  <si>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</si>
  <si>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</si>
  <si>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</si>
  <si>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</si>
  <si>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</si>
  <si>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</si>
  <si>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</si>
  <si>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</si>
  <si>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</si>
  <si>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</si>
  <si>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</si>
  <si>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</si>
  <si>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</si>
  <si>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</si>
  <si>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</si>
  <si>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</si>
  <si>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</si>
  <si>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</si>
  <si>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</si>
  <si>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</si>
  <si>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</si>
  <si>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</si>
  <si>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</si>
  <si>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</si>
  <si>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</si>
  <si>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</si>
  <si>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</si>
  <si>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</si>
  <si>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</si>
  <si>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</si>
  <si>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</si>
  <si>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</si>
  <si>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</si>
  <si>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</si>
  <si>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</si>
  <si>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</si>
  <si>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</si>
  <si>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</si>
  <si>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</si>
  <si>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</si>
  <si>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</si>
  <si>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</si>
  <si>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</si>
  <si>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</si>
  <si>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</si>
  <si>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</si>
  <si>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</si>
  <si>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</si>
  <si>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</si>
  <si>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</si>
  <si>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</si>
  <si>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</si>
  <si>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</si>
  <si>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</si>
  <si>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</si>
  <si>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</si>
  <si>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</si>
  <si>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</si>
  <si>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</si>
  <si>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</si>
  <si>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</si>
  <si>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</si>
  <si>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</si>
  <si>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</si>
  <si>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</si>
  <si>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</si>
  <si>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</si>
  <si>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</si>
  <si>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</si>
  <si>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</si>
  <si>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</si>
  <si>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</si>
  <si>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</si>
  <si>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</si>
  <si>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</si>
  <si>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</si>
  <si>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</si>
  <si>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</si>
  <si>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</si>
  <si>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</si>
  <si>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</si>
  <si>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</si>
  <si>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</si>
  <si>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</si>
  <si>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</si>
  <si>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</si>
  <si>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</si>
  <si>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</si>
  <si>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</si>
  <si>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</si>
  <si>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</si>
  <si>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</si>
  <si>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</si>
  <si>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</si>
  <si>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</si>
  <si>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</si>
  <si>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</si>
  <si>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</si>
  <si>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</si>
  <si>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</si>
  <si>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</si>
  <si>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</si>
  <si>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</si>
  <si>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</si>
  <si>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</si>
  <si>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</si>
  <si>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</si>
  <si>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</si>
  <si>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</si>
  <si>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</si>
  <si>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</si>
  <si>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</si>
  <si>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</si>
  <si>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</si>
  <si>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</si>
  <si>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</si>
  <si>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</si>
  <si>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</si>
  <si>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</si>
  <si>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</si>
  <si>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</si>
  <si>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</si>
  <si>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</si>
  <si>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</si>
  <si>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</si>
  <si>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</si>
  <si>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</si>
  <si>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</si>
  <si>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</si>
  <si>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</si>
  <si>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</si>
  <si>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</si>
  <si>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</si>
  <si>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</si>
  <si>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</si>
  <si>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</si>
  <si>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</si>
  <si>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</si>
  <si>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</si>
  <si>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</si>
  <si>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</si>
  <si>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</si>
  <si>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</si>
  <si>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</si>
  <si>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</si>
  <si>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</si>
  <si>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</si>
  <si>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</si>
  <si>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</si>
  <si>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</si>
  <si>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</si>
  <si>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</si>
  <si>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</si>
  <si>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</si>
  <si>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</si>
  <si>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</si>
  <si>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</si>
  <si>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</si>
  <si>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</si>
  <si>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</si>
  <si>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</si>
  <si>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</si>
  <si>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</si>
  <si>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</si>
  <si>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</si>
  <si>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</si>
  <si>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</si>
  <si>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</si>
  <si>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</si>
  <si>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</si>
  <si>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</si>
  <si>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</si>
  <si>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</si>
  <si>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</si>
  <si>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</si>
  <si>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</si>
  <si>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</si>
  <si>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</si>
  <si>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</si>
  <si>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</si>
  <si>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</si>
  <si>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</si>
  <si>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</si>
  <si>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</si>
  <si>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</si>
  <si>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</si>
  <si>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</si>
  <si>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</si>
  <si>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</si>
  <si>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</si>
  <si>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</si>
  <si>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</si>
  <si>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</si>
  <si>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</si>
  <si>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</si>
  <si>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</si>
  <si>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</si>
  <si>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</si>
  <si>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</si>
  <si>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</si>
  <si>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</si>
  <si>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</si>
  <si>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</si>
  <si>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</si>
  <si>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</si>
  <si>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</si>
  <si>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</si>
  <si>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</si>
  <si>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</si>
  <si>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</si>
  <si>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</si>
  <si>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</si>
  <si>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</si>
  <si>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</si>
  <si>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</si>
  <si>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</si>
  <si>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</si>
  <si>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</si>
  <si>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</si>
  <si>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</si>
  <si>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</si>
  <si>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</si>
  <si>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</si>
  <si>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</si>
  <si>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</si>
  <si>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</si>
  <si>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</si>
  <si>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</si>
  <si>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</si>
  <si>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</si>
  <si>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</si>
  <si>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</si>
  <si>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</si>
  <si>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</si>
  <si>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</si>
  <si>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</si>
  <si>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</si>
  <si>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</si>
  <si>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</si>
  <si>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</si>
  <si>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</si>
  <si>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</si>
  <si>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</si>
  <si>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</si>
  <si>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</si>
  <si>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</si>
  <si>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</si>
  <si>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</si>
  <si>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</si>
  <si>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</si>
  <si>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</si>
  <si>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</si>
  <si>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</si>
  <si>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</si>
  <si>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</si>
  <si>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</si>
  <si>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</si>
  <si>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</si>
  <si>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</si>
  <si>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</si>
  <si>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</si>
  <si>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</si>
  <si>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</si>
  <si>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</si>
  <si>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</si>
  <si>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</si>
  <si>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</si>
  <si>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</si>
  <si>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</si>
  <si>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</si>
  <si>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</si>
  <si>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</si>
  <si>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</si>
  <si>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</si>
  <si>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</si>
  <si>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</si>
  <si>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</si>
  <si>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</si>
  <si>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</si>
  <si>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</si>
  <si>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</si>
  <si>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</si>
  <si>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</si>
  <si>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</si>
  <si>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</si>
  <si>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</si>
  <si>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</si>
  <si>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</si>
  <si>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</si>
  <si>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</si>
  <si>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</si>
  <si>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</si>
  <si>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</si>
  <si>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</si>
  <si>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</si>
  <si>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</si>
  <si>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</si>
  <si>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</si>
  <si>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</si>
  <si>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</si>
  <si>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</si>
  <si>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</si>
  <si>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</si>
  <si>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</si>
  <si>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</si>
  <si>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</si>
  <si>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</si>
  <si>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</si>
  <si>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</si>
  <si>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</si>
  <si>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</si>
  <si>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</si>
  <si>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</si>
  <si>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</si>
  <si>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</si>
  <si>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</si>
  <si>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</si>
  <si>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</si>
  <si>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</si>
  <si>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</si>
  <si>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</si>
  <si>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</si>
  <si>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</si>
  <si>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</si>
  <si>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</si>
  <si>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</si>
  <si>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</si>
  <si>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</si>
  <si>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</si>
  <si>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</si>
  <si>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</si>
  <si>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</si>
  <si>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</si>
  <si>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</si>
  <si>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</si>
  <si>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</si>
  <si>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</si>
  <si>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</si>
  <si>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</si>
  <si>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</si>
  <si>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</si>
  <si>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</si>
  <si>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</si>
  <si>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</si>
  <si>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</si>
  <si>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</si>
  <si>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</si>
  <si>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</si>
  <si>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</si>
  <si>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</si>
  <si>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</si>
  <si>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</si>
  <si>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</si>
  <si>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</si>
  <si>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</si>
  <si>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</si>
  <si>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</si>
  <si>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</si>
  <si>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</si>
  <si>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</si>
  <si>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</si>
  <si>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</si>
  <si>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</si>
  <si>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</si>
  <si>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</si>
  <si>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</si>
  <si>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</si>
  <si>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</si>
  <si>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</si>
  <si>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</si>
  <si>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</si>
  <si>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</si>
  <si>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</si>
  <si>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</si>
  <si>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</si>
  <si>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</si>
  <si>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</si>
  <si>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</si>
  <si>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</si>
  <si>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</si>
  <si>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</si>
  <si>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</si>
  <si>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</si>
  <si>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</si>
  <si>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</si>
  <si>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</si>
  <si>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</si>
  <si>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</si>
  <si>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</si>
  <si>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</si>
  <si>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</si>
  <si>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</si>
  <si>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</si>
  <si>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</si>
  <si>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</si>
  <si>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</si>
  <si>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</si>
  <si>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</si>
  <si>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</si>
  <si>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</si>
  <si>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</si>
  <si>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</si>
  <si>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</si>
  <si>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</si>
  <si>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</si>
  <si>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</si>
  <si>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</si>
  <si>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</si>
  <si>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</si>
  <si>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</si>
  <si>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</si>
  <si>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</si>
  <si>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</si>
  <si>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</si>
  <si>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</si>
  <si>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</si>
  <si>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</si>
  <si>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</si>
  <si>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</si>
  <si>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</si>
  <si>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</si>
  <si>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</si>
  <si>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</si>
  <si>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</si>
  <si>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</si>
  <si>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</si>
  <si>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</si>
  <si>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</si>
  <si>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</si>
  <si>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</si>
  <si>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</si>
  <si>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</si>
  <si>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</si>
  <si>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</si>
  <si>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</si>
  <si>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</si>
  <si>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</si>
  <si>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</si>
  <si>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</si>
  <si>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</si>
  <si>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</si>
  <si>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</si>
  <si>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</si>
  <si>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</si>
  <si>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</si>
  <si>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</si>
  <si>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</si>
  <si>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</si>
  <si>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</si>
  <si>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</si>
  <si>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</si>
  <si>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</si>
  <si>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</si>
  <si>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</si>
  <si>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</si>
  <si>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</si>
  <si>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</si>
  <si>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</si>
  <si>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</si>
  <si>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</si>
  <si>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</si>
  <si>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</si>
  <si>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</si>
  <si>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</si>
  <si>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</si>
  <si>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</si>
  <si>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</si>
  <si>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</si>
  <si>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</si>
  <si>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</si>
  <si>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</si>
  <si>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</si>
  <si>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</si>
  <si>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</si>
  <si>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</si>
  <si>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</si>
  <si>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</si>
  <si>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</si>
  <si>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</si>
  <si>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</si>
  <si>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</si>
  <si>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</si>
  <si>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</si>
  <si>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</si>
  <si>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</si>
  <si>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</si>
  <si>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</si>
  <si>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</si>
  <si>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</si>
  <si>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</si>
  <si>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</si>
  <si>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</si>
  <si>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</si>
  <si>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</si>
  <si>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</si>
  <si>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</si>
  <si>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</si>
  <si>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</si>
  <si>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</si>
  <si>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</si>
  <si>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</si>
  <si>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</si>
  <si>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</si>
  <si>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</si>
  <si>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</si>
  <si>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</si>
  <si>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</si>
  <si>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</si>
  <si>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</si>
  <si>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</si>
  <si>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</si>
  <si>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</si>
  <si>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</si>
  <si>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</si>
  <si>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</si>
  <si>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</si>
  <si>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</si>
  <si>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</si>
  <si>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</si>
  <si>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</si>
  <si>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</si>
  <si>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</si>
  <si>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</si>
  <si>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</si>
  <si>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</si>
  <si>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</si>
  <si>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</si>
  <si>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</si>
  <si>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</si>
  <si>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</si>
  <si>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</si>
  <si>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</si>
  <si>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</si>
  <si>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</si>
  <si>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</si>
  <si>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</si>
  <si>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</si>
  <si>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</si>
  <si>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</si>
  <si>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</si>
  <si>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</si>
  <si>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</si>
  <si>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</si>
  <si>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</si>
  <si>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</si>
  <si>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</si>
  <si>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</si>
  <si>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</si>
  <si>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</si>
  <si>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</si>
  <si>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</si>
  <si>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</si>
  <si>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</si>
  <si>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</si>
  <si>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</si>
  <si>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</si>
  <si>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</si>
  <si>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</si>
  <si>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</si>
  <si>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</si>
  <si>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</si>
  <si>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</si>
  <si>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</si>
  <si>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</si>
  <si>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</si>
  <si>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</si>
  <si>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</si>
  <si>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</si>
  <si>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</si>
  <si>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</si>
  <si>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</si>
  <si>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</si>
  <si>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</si>
  <si>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</si>
  <si>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</si>
  <si>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</si>
  <si>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</si>
  <si>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</si>
  <si>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</si>
  <si>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</si>
  <si>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</si>
  <si>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</si>
  <si>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</si>
  <si>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</si>
  <si>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</si>
  <si>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</si>
  <si>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</si>
  <si>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</si>
  <si>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</si>
  <si>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</si>
  <si>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</si>
  <si>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</si>
  <si>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</si>
  <si>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</si>
  <si>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</si>
  <si>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</si>
  <si>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</si>
  <si>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</si>
  <si>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</si>
  <si>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</si>
  <si>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</si>
  <si>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</si>
  <si>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</si>
  <si>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</si>
  <si>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</si>
  <si>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</si>
  <si>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</si>
  <si>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</si>
  <si>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</si>
  <si>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</si>
  <si>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</si>
  <si>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</si>
  <si>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</si>
  <si>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</si>
  <si>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</si>
  <si>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</si>
  <si>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</si>
  <si>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</si>
  <si>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</si>
  <si>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</si>
  <si>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</si>
  <si>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</si>
  <si>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</si>
  <si>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</si>
  <si>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</si>
  <si>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</si>
  <si>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</si>
  <si>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</si>
  <si>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</si>
  <si>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</si>
  <si>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</si>
  <si>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</si>
  <si>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</si>
  <si>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</si>
  <si>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</si>
  <si>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</si>
  <si>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</si>
  <si>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</si>
  <si>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</si>
  <si>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</si>
  <si>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</si>
  <si>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</si>
  <si>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</si>
  <si>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</si>
  <si>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</si>
  <si>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</si>
  <si>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</si>
  <si>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</si>
  <si>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</si>
  <si>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</si>
  <si>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</si>
  <si>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</si>
  <si>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</si>
  <si>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</si>
  <si>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</si>
  <si>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</si>
  <si>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</si>
  <si>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</si>
  <si>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</si>
  <si>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</si>
  <si>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</si>
  <si>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</si>
  <si>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</si>
  <si>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</si>
  <si>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</si>
  <si>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</si>
  <si>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</si>
  <si>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</si>
  <si>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</si>
  <si>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</si>
  <si>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</si>
  <si>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</si>
  <si>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</si>
  <si>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</si>
  <si>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</si>
  <si>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</si>
  <si>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</si>
  <si>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</si>
  <si>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</si>
  <si>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</si>
  <si>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</si>
  <si>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</si>
  <si>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</si>
  <si>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</si>
  <si>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</si>
  <si>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</si>
  <si>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</si>
  <si>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</si>
  <si>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</si>
  <si>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</si>
  <si>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</si>
  <si>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</si>
  <si>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</si>
  <si>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</si>
  <si>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</si>
  <si>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</si>
  <si>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</si>
  <si>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</si>
  <si>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</si>
  <si>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</si>
  <si>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</si>
  <si>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</si>
  <si>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</si>
  <si>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</si>
  <si>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</si>
  <si>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</si>
  <si>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</si>
  <si>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</si>
  <si>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</si>
  <si>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</si>
  <si>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</si>
  <si>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</si>
  <si>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</si>
  <si>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</si>
  <si>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</si>
  <si>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</si>
  <si>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</si>
  <si>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</si>
  <si>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</si>
  <si>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</si>
  <si>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</si>
  <si>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</si>
  <si>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</si>
  <si>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</si>
  <si>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</si>
  <si>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</si>
  <si>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</si>
  <si>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</si>
  <si>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</si>
  <si>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</si>
  <si>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</si>
  <si>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</si>
  <si>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</si>
  <si>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</si>
  <si>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</si>
  <si>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</si>
  <si>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</si>
  <si>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</si>
  <si>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</si>
  <si>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</si>
  <si>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</si>
  <si>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</si>
  <si>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</si>
  <si>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</si>
  <si>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</si>
  <si>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</si>
  <si>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</si>
  <si>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</si>
  <si>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</si>
  <si>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</si>
  <si>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</si>
  <si>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</si>
  <si>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</si>
  <si>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</si>
  <si>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</si>
  <si>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</si>
  <si>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</si>
  <si>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</si>
  <si>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</si>
  <si>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</si>
  <si>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</si>
  <si>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</si>
  <si>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</si>
  <si>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</si>
  <si>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</si>
  <si>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</si>
  <si>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</si>
  <si>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</si>
  <si>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</si>
  <si>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</si>
  <si>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</si>
  <si>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</si>
  <si>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</si>
  <si>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</si>
  <si>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</si>
  <si>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</si>
  <si>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</si>
  <si>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</si>
  <si>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</si>
  <si>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</si>
  <si>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</si>
  <si>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</si>
  <si>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</si>
  <si>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</si>
  <si>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</si>
  <si>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</si>
  <si>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</si>
  <si>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</si>
  <si>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</si>
  <si>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</si>
  <si>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</si>
  <si>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</si>
  <si>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</si>
  <si>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</si>
  <si>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</si>
  <si>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</si>
  <si>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</si>
  <si>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</si>
  <si>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</si>
  <si>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</si>
  <si>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</si>
  <si>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</si>
  <si>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</si>
  <si>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</si>
  <si>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</si>
  <si>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</si>
  <si>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</si>
  <si>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</si>
  <si>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</si>
  <si>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</si>
  <si>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</si>
  <si>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</si>
  <si>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</si>
  <si>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</si>
  <si>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</si>
  <si>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</si>
  <si>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</si>
  <si>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</si>
  <si>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</si>
  <si>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</si>
  <si>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</si>
  <si>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</si>
  <si>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</si>
  <si>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</si>
  <si>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</si>
  <si>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</si>
  <si>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</si>
  <si>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</si>
  <si>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</si>
  <si>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</si>
  <si>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</si>
  <si>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</si>
  <si>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</si>
  <si>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</si>
  <si>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</si>
  <si>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</si>
  <si>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</si>
  <si>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</si>
  <si>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</si>
  <si>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</si>
  <si>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</si>
  <si>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</si>
  <si>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</si>
  <si>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</si>
  <si>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</si>
  <si>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</si>
  <si>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</si>
  <si>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</si>
  <si>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</si>
  <si>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</si>
  <si>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</si>
  <si>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</si>
  <si>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</si>
  <si>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</si>
  <si>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</si>
  <si>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</si>
  <si>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</si>
  <si>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</si>
  <si>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</si>
  <si>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</si>
  <si>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</si>
  <si>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</si>
  <si>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</si>
  <si>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</si>
  <si>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</si>
  <si>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</si>
  <si>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</si>
  <si>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</si>
  <si>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</si>
  <si>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</si>
  <si>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</si>
  <si>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</si>
  <si>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</si>
  <si>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</si>
  <si>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</si>
  <si>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</si>
  <si>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</si>
  <si>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</si>
  <si>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</si>
  <si>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</si>
  <si>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</si>
  <si>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</si>
  <si>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</si>
  <si>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</si>
  <si>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</si>
  <si>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</si>
  <si>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</si>
  <si>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</si>
  <si>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</si>
  <si>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</si>
  <si>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</si>
  <si>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</si>
  <si>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</si>
  <si>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</si>
  <si>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</si>
  <si>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</si>
  <si>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</si>
  <si>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</si>
  <si>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</si>
  <si>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</si>
  <si>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</si>
  <si>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</si>
  <si>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</si>
  <si>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</si>
  <si>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</si>
  <si>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</si>
  <si>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</si>
  <si>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</si>
  <si>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</si>
  <si>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</si>
  <si>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</si>
  <si>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</si>
  <si>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</si>
  <si>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</si>
  <si>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</si>
  <si>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</si>
  <si>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</si>
  <si>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</si>
  <si>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</si>
  <si>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</si>
  <si>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</si>
  <si>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</si>
  <si>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</si>
  <si>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</si>
  <si>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</si>
  <si>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</si>
  <si>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</si>
  <si>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</si>
  <si>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</si>
  <si>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</si>
  <si>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</si>
  <si>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</si>
  <si>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</si>
  <si>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</si>
  <si>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</si>
  <si>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</si>
  <si>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</si>
  <si>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</si>
  <si>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</si>
  <si>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</si>
  <si>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</si>
  <si>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</si>
  <si>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</si>
  <si>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</si>
  <si>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</si>
  <si>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</si>
  <si>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</si>
  <si>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</si>
  <si>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</si>
  <si>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</si>
  <si>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</si>
  <si>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</si>
  <si>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</si>
  <si>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</si>
  <si>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</si>
  <si>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</si>
  <si>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</si>
  <si>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</si>
  <si>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</si>
  <si>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</si>
  <si>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</si>
  <si>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</si>
  <si>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</si>
  <si>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</si>
  <si>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</si>
  <si>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</si>
  <si>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</si>
  <si>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</si>
  <si>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</si>
  <si>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</si>
  <si>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</si>
  <si>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</si>
  <si>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</si>
  <si>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</si>
  <si>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</si>
  <si>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</si>
  <si>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</si>
  <si>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</si>
  <si>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</si>
  <si>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Rock Island</t>
  </si>
  <si>
    <t>1275 Avenue of the Cities</t>
  </si>
  <si>
    <t>East Moline</t>
  </si>
  <si>
    <t>jmorrow@uths.net</t>
  </si>
  <si>
    <t>x</t>
  </si>
  <si>
    <t>Dr. Jay Morrow</t>
  </si>
  <si>
    <t>309-752-1622</t>
  </si>
  <si>
    <t>309-752-1615</t>
  </si>
  <si>
    <t>Bohnsack &amp; Frommelt, LLP</t>
  </si>
  <si>
    <t>Sarah Bohnsack</t>
  </si>
  <si>
    <t>1500 River Dr. Suite 200</t>
  </si>
  <si>
    <t>Moline</t>
  </si>
  <si>
    <t>IL</t>
  </si>
  <si>
    <t>563-343-9595</t>
  </si>
  <si>
    <t>066.004397</t>
  </si>
  <si>
    <t>sarah@governmentalservice.com</t>
  </si>
  <si>
    <t>Unmodified</t>
  </si>
  <si>
    <t>None</t>
  </si>
  <si>
    <t>Quad- City CTF Consortium (QCC TEC)</t>
  </si>
  <si>
    <t>UTHS District 30</t>
  </si>
  <si>
    <t>ACC Participating Districts</t>
  </si>
  <si>
    <t>QCC TEC, UTHS District 30</t>
  </si>
  <si>
    <t>QCC TEC</t>
  </si>
  <si>
    <t>Change in beginning fund balance of $65,075 is a result of the change from cash basis to accrual</t>
  </si>
  <si>
    <t>Bohnsack &amp; Frommelt LLP</t>
  </si>
  <si>
    <r>
      <t xml:space="preserve">The following amounts were expended in the form of non-cash assistance by United Township Area Career Center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</si>
  <si>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United Township Area Career Center provided federal awards to subrecipients as follows:</t>
  </si>
  <si>
    <t>The accompanying Schedule of Expenditures of Federal Awards includes the federal grant activity of United Township Area Career Center and is presented on the GAAP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</si>
  <si>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N/A</t>
  </si>
  <si>
    <t>Ed - Instruction - Other</t>
  </si>
  <si>
    <t>Ed-Support Services-General Admin-Purchased Service</t>
  </si>
  <si>
    <t>Ed - Instruction - Purchased Service</t>
  </si>
  <si>
    <t>10-2300-300</t>
  </si>
  <si>
    <t>10-1000-300</t>
  </si>
  <si>
    <t>United Township High School</t>
  </si>
  <si>
    <t>LA' James International College</t>
  </si>
  <si>
    <t>New Style Hair Academy</t>
  </si>
  <si>
    <t>Ray's Barber College Inc.</t>
  </si>
  <si>
    <t>Bohnsack &amp; Frommelt</t>
  </si>
  <si>
    <t>Advanced Business Solutions</t>
  </si>
  <si>
    <t>Illinois Public Risk Fund</t>
  </si>
  <si>
    <t>Midamerican Energy Company</t>
  </si>
  <si>
    <t>Ramza Insurance Group, Inc</t>
  </si>
  <si>
    <t>Ed - Support Services</t>
  </si>
  <si>
    <t>10-2550-300</t>
  </si>
  <si>
    <t>Audit Check Tab Cell D24 - There are no late payments.</t>
  </si>
  <si>
    <t>Audit Check Tab Cell D78 - There are no on behalf payments.</t>
  </si>
  <si>
    <t>United Twp Area Career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</si>
</sst>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199159</xdr:colOff>
          <xdr:row>2</xdr:row>
          <xdr:rowOff>60614</xdr:rowOff>
        </xdr:from>
        <xdr:to>
          <xdr:col>1</xdr:col>
          <xdr:colOff>1091046</xdr:colOff>
          <xdr:row>6</xdr:row>
          <xdr:rowOff>58016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1255569</xdr:colOff>
          <xdr:row>2</xdr:row>
          <xdr:rowOff>69273</xdr:rowOff>
        </xdr:from>
        <xdr:to>
          <xdr:col>1</xdr:col>
          <xdr:colOff>2147456</xdr:colOff>
          <xdr:row>6</xdr:row>
          <xdr:rowOff>66675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2337954</xdr:colOff>
          <xdr:row>2</xdr:row>
          <xdr:rowOff>77932</xdr:rowOff>
        </xdr:from>
        <xdr:to>
          <xdr:col>1</xdr:col>
          <xdr:colOff>3229840</xdr:colOff>
          <xdr:row>6</xdr:row>
          <xdr:rowOff>75334</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70C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6" t="s">
        <v>405</v>
      </c>
      <c r="J1" s="2017"/>
      <c r="K1" s="2017"/>
      <c r="L1" s="2017"/>
      <c r="M1" s="2017"/>
      <c r="N1" s="2017"/>
      <c r="O1" s="2017"/>
      <c r="P1" s="2017"/>
      <c r="Q1" s="2017"/>
      <c r="R1" s="2017"/>
      <c r="S1" s="2017"/>
    </row>
    <row r="2" spans="1:28" ht="12" customHeight="1" x14ac:dyDescent="0.2">
      <c r="A2" s="47" t="s">
        <v>1988</v>
      </c>
      <c r="D2" s="48"/>
      <c r="I2" s="2018" t="s">
        <v>979</v>
      </c>
      <c r="J2" s="2017"/>
      <c r="K2" s="2017"/>
      <c r="L2" s="2017"/>
      <c r="M2" s="2017"/>
      <c r="N2" s="2017"/>
      <c r="O2" s="2017"/>
      <c r="P2" s="2017"/>
      <c r="Q2" s="2017"/>
      <c r="R2" s="2017"/>
      <c r="S2" s="2017"/>
    </row>
    <row r="3" spans="1:28" ht="12" customHeight="1" x14ac:dyDescent="0.2">
      <c r="A3" s="155" t="s">
        <v>1940</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c r="C5" s="26" t="s">
        <v>910</v>
      </c>
      <c r="D5" s="84"/>
      <c r="E5" s="84"/>
      <c r="H5" s="38"/>
      <c r="I5" s="2025" t="s">
        <v>680</v>
      </c>
      <c r="J5" s="1969"/>
      <c r="K5" s="1969"/>
      <c r="L5" s="1969"/>
      <c r="M5" s="1969"/>
      <c r="N5" s="1969"/>
      <c r="O5" s="1969"/>
      <c r="P5" s="1969"/>
      <c r="Q5" s="1969"/>
      <c r="R5" s="1969"/>
      <c r="S5" s="1969"/>
    </row>
    <row r="6" spans="1:28" ht="14.1" customHeight="1" x14ac:dyDescent="0.2">
      <c r="B6" s="104" t="s">
        <v>2061</v>
      </c>
      <c r="C6" s="26" t="s">
        <v>911</v>
      </c>
      <c r="D6" s="84"/>
      <c r="E6" s="84"/>
      <c r="I6" s="2024" t="s">
        <v>883</v>
      </c>
      <c r="J6" s="1969"/>
      <c r="K6" s="1969"/>
      <c r="L6" s="1969"/>
      <c r="M6" s="1969"/>
      <c r="N6" s="1969"/>
      <c r="O6" s="1969"/>
      <c r="P6" s="1969"/>
      <c r="Q6" s="1969"/>
      <c r="R6" s="1969"/>
      <c r="S6" s="1969"/>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t="s">
        <v>2066</v>
      </c>
      <c r="P12" s="100" t="s">
        <v>202</v>
      </c>
      <c r="Q12" s="74"/>
      <c r="R12" s="30"/>
      <c r="S12" s="30"/>
      <c r="T12" s="85" t="s">
        <v>265</v>
      </c>
      <c r="U12" s="51"/>
      <c r="V12" s="51"/>
      <c r="W12" s="51"/>
      <c r="X12" s="51"/>
      <c r="Y12" s="45"/>
      <c r="Z12" s="45"/>
      <c r="AA12" s="46"/>
    </row>
    <row r="13" spans="1:28" ht="13.5" customHeight="1" x14ac:dyDescent="0.2">
      <c r="A13" s="1985">
        <v>49081030041</v>
      </c>
      <c r="B13" s="1986"/>
      <c r="C13" s="1986"/>
      <c r="D13" s="1986"/>
      <c r="E13" s="1986"/>
      <c r="F13" s="1986"/>
      <c r="G13" s="1986"/>
      <c r="H13" s="1987"/>
      <c r="I13" s="31"/>
      <c r="J13" s="30"/>
      <c r="K13" s="28"/>
      <c r="L13" s="30"/>
      <c r="M13" s="30"/>
      <c r="N13" s="30"/>
      <c r="O13" s="30"/>
      <c r="P13" s="30"/>
      <c r="Q13" s="30"/>
      <c r="R13" s="30"/>
      <c r="S13" s="30"/>
      <c r="T13" s="1990" t="s">
        <v>2070</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2062</v>
      </c>
      <c r="B15" s="1988"/>
      <c r="C15" s="1988"/>
      <c r="D15" s="1988"/>
      <c r="E15" s="1988"/>
      <c r="F15" s="1988"/>
      <c r="G15" s="1988"/>
      <c r="H15" s="1989"/>
      <c r="T15" s="1951" t="s">
        <v>2071</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3" t="s">
        <v>2109</v>
      </c>
      <c r="B17" s="2014"/>
      <c r="C17" s="2014"/>
      <c r="D17" s="2014"/>
      <c r="E17" s="2014"/>
      <c r="F17" s="2014"/>
      <c r="G17" s="2014"/>
      <c r="H17" s="2015"/>
      <c r="T17" s="2000" t="s">
        <v>2072</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2063</v>
      </c>
      <c r="B19" s="1984"/>
      <c r="C19" s="1984"/>
      <c r="D19" s="1984"/>
      <c r="E19" s="1984"/>
      <c r="F19" s="1984"/>
      <c r="G19" s="1984"/>
      <c r="H19" s="1982"/>
      <c r="I19" s="30"/>
      <c r="J19" s="99"/>
      <c r="K19" s="40"/>
      <c r="L19" s="38"/>
      <c r="M19" s="112" t="s">
        <v>315</v>
      </c>
      <c r="P19" s="27"/>
      <c r="Q19" s="27"/>
      <c r="R19" s="27"/>
      <c r="S19" s="31"/>
      <c r="T19" s="1983" t="s">
        <v>2073</v>
      </c>
      <c r="U19" s="1981"/>
      <c r="V19" s="1981"/>
      <c r="W19" s="1982"/>
      <c r="X19" s="1998" t="s">
        <v>2074</v>
      </c>
      <c r="Y19" s="1999"/>
      <c r="Z19" s="1996">
        <v>61265</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2064</v>
      </c>
      <c r="B21" s="1981"/>
      <c r="C21" s="1981"/>
      <c r="D21" s="1981"/>
      <c r="E21" s="1981"/>
      <c r="F21" s="1981"/>
      <c r="G21" s="1981"/>
      <c r="H21" s="1982"/>
      <c r="I21" s="2006" t="s">
        <v>678</v>
      </c>
      <c r="J21" s="1969"/>
      <c r="K21" s="1969"/>
      <c r="L21" s="1969"/>
      <c r="M21" s="1969"/>
      <c r="N21" s="1969"/>
      <c r="O21" s="1969"/>
      <c r="P21" s="1969"/>
      <c r="Q21" s="1969"/>
      <c r="R21" s="1969"/>
      <c r="S21" s="1970"/>
      <c r="T21" s="1948" t="s">
        <v>2075</v>
      </c>
      <c r="U21" s="1949"/>
      <c r="V21" s="1949"/>
      <c r="W21" s="1949"/>
      <c r="X21" s="1962"/>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2065</v>
      </c>
      <c r="B23" s="2004"/>
      <c r="C23" s="2004"/>
      <c r="D23" s="2004"/>
      <c r="E23" s="2004"/>
      <c r="F23" s="2004"/>
      <c r="G23" s="2004"/>
      <c r="H23" s="2005"/>
      <c r="T23" s="1943" t="s">
        <v>2076</v>
      </c>
      <c r="U23" s="1944"/>
      <c r="V23" s="1944"/>
      <c r="W23" s="1944"/>
      <c r="X23" s="1959">
        <v>44530</v>
      </c>
      <c r="Y23" s="1960"/>
      <c r="Z23" s="1960"/>
      <c r="AA23" s="1961"/>
    </row>
    <row r="24" spans="1:27" ht="14.1" customHeight="1" x14ac:dyDescent="0.2">
      <c r="A24" s="88" t="s">
        <v>677</v>
      </c>
      <c r="B24" s="49"/>
      <c r="C24" s="49"/>
      <c r="D24" s="49"/>
      <c r="E24" s="49"/>
      <c r="F24" s="49"/>
      <c r="G24" s="49"/>
      <c r="H24" s="61"/>
      <c r="J24" s="2046" t="str">
        <f>IF(B5="x",IF(AUDITCHECK!D29="AFR form Incomplete.","",IF(AUDITCHECK!D29="Deficit reduction plan is required.","School District must complete a deficit reduction plan in the 2019-2020 Budget",)),"")</f>
        <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0">
        <v>61244</v>
      </c>
      <c r="B25" s="1981"/>
      <c r="C25" s="1981"/>
      <c r="D25" s="1981"/>
      <c r="E25" s="1981"/>
      <c r="F25" s="1981"/>
      <c r="G25" s="1981"/>
      <c r="H25" s="1982"/>
      <c r="I25" s="113"/>
      <c r="J25" s="2048"/>
      <c r="K25" s="2048"/>
      <c r="L25" s="2048"/>
      <c r="M25" s="2048"/>
      <c r="N25" s="2048"/>
      <c r="O25" s="2048"/>
      <c r="P25" s="2048"/>
      <c r="Q25" s="2048"/>
      <c r="R25" s="2048"/>
      <c r="S25" s="2049"/>
      <c r="T25" s="1940" t="s">
        <v>2077</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2066</v>
      </c>
      <c r="F29" s="141" t="s">
        <v>1316</v>
      </c>
      <c r="G29" s="114"/>
      <c r="I29" s="54"/>
      <c r="J29" s="102"/>
      <c r="K29" s="28" t="s">
        <v>576</v>
      </c>
      <c r="L29" s="148" t="s">
        <v>2066</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3" t="s">
        <v>2067</v>
      </c>
      <c r="B38" s="2014"/>
      <c r="C38" s="2014"/>
      <c r="D38" s="2014"/>
      <c r="E38" s="2014"/>
      <c r="F38" s="1981"/>
      <c r="G38" s="1981"/>
      <c r="H38" s="1982"/>
      <c r="I38" s="2033"/>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2065</v>
      </c>
      <c r="B40" s="2041"/>
      <c r="C40" s="2042"/>
      <c r="D40" s="2042"/>
      <c r="E40" s="2042"/>
      <c r="F40" s="2043"/>
      <c r="G40" s="2043"/>
      <c r="H40" s="2044"/>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2068</v>
      </c>
      <c r="B42" s="2031"/>
      <c r="C42" s="2032"/>
      <c r="D42" s="2045" t="s">
        <v>2069</v>
      </c>
      <c r="E42" s="2031"/>
      <c r="F42" s="2031"/>
      <c r="G42" s="2031"/>
      <c r="H42" s="2032"/>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70C0"/>
  </sheetPr>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1799</v>
      </c>
      <c r="B2" s="1528" t="s">
        <v>1946</v>
      </c>
      <c r="C2" s="714" t="s">
        <v>1947</v>
      </c>
      <c r="D2" s="714" t="s">
        <v>1948</v>
      </c>
      <c r="E2" s="714" t="s">
        <v>1949</v>
      </c>
      <c r="F2" s="714" t="s">
        <v>1950</v>
      </c>
    </row>
    <row r="3" spans="1:6" ht="12" customHeight="1" x14ac:dyDescent="0.2">
      <c r="A3" s="2184"/>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1799</v>
      </c>
      <c r="B2" s="2199"/>
      <c r="C2" s="1884" t="s">
        <v>1951</v>
      </c>
      <c r="D2" s="723" t="s">
        <v>1952</v>
      </c>
      <c r="E2" s="723" t="s">
        <v>1953</v>
      </c>
      <c r="F2" s="1884" t="s">
        <v>1954</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70C0"/>
    <pageSetUpPr fitToPage="1"/>
  </sheetPr>
  <dimension ref="A1:K48"/>
  <sheetViews>
    <sheetView showGridLines="0" defaultGridColor="0" topLeftCell="A22"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1809</v>
      </c>
      <c r="K2" s="762" t="s">
        <v>138</v>
      </c>
    </row>
    <row r="3" spans="1:11" x14ac:dyDescent="0.2">
      <c r="A3" s="2220" t="s">
        <v>1959</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1" t="s">
        <v>1810</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0</v>
      </c>
      <c r="I12" s="1758">
        <f>SUM(I5:I11)</f>
        <v>0</v>
      </c>
      <c r="J12" s="1758">
        <f>SUM(J5:J11)</f>
        <v>0</v>
      </c>
      <c r="K12" s="1758">
        <f>SUM(K5:K11)</f>
        <v>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c r="I14" s="771"/>
      <c r="J14" s="773"/>
      <c r="K14" s="765"/>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1806</v>
      </c>
      <c r="B19" s="2249"/>
      <c r="C19" s="2249"/>
      <c r="D19" s="2249"/>
      <c r="E19" s="2250"/>
      <c r="F19" s="789" t="s">
        <v>933</v>
      </c>
      <c r="G19" s="782"/>
      <c r="H19" s="782"/>
      <c r="I19" s="782"/>
      <c r="J19" s="765"/>
      <c r="K19" s="795"/>
    </row>
    <row r="20" spans="1:11" x14ac:dyDescent="0.2">
      <c r="A20" s="2228" t="s">
        <v>1811</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1812</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0</v>
      </c>
      <c r="I23" s="1758">
        <f>SUM(I14:I16,I21,I22)</f>
        <v>0</v>
      </c>
      <c r="J23" s="1758">
        <f>SUM(J14:J16,J21,J22)</f>
        <v>0</v>
      </c>
      <c r="K23" s="1758">
        <f>SUM(K14:K16,K21,K22)</f>
        <v>0</v>
      </c>
    </row>
    <row r="24" spans="1:11" ht="14.25" thickTop="1" thickBot="1" x14ac:dyDescent="0.25">
      <c r="A24" s="2235" t="s">
        <v>1960</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70C0"/>
  </sheetPr>
  <dimension ref="A1:N27"/>
  <sheetViews>
    <sheetView showGridLines="0" defaultGridColor="0" topLeftCell="A2" colorId="8" zoomScale="110" zoomScaleNormal="110" workbookViewId="0">
      <selection activeCell="L19" sqref="L1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1905</v>
      </c>
      <c r="B1" s="2254"/>
      <c r="C1" s="2255"/>
      <c r="D1" s="826"/>
      <c r="E1" s="827"/>
      <c r="F1" s="827"/>
      <c r="G1" s="828"/>
      <c r="H1" s="829"/>
      <c r="I1" s="830"/>
      <c r="J1" s="2251"/>
      <c r="K1" s="2252"/>
      <c r="L1" s="2252"/>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52126</v>
      </c>
      <c r="D8" s="844"/>
      <c r="E8" s="844"/>
      <c r="F8" s="1760">
        <f>(C8+D8)-E8</f>
        <v>52126</v>
      </c>
      <c r="G8" s="843">
        <v>50</v>
      </c>
      <c r="H8" s="765">
        <v>19638</v>
      </c>
      <c r="I8" s="765">
        <v>1043</v>
      </c>
      <c r="J8" s="765"/>
      <c r="K8" s="1769">
        <f>(H8+I8)-J8</f>
        <v>20681</v>
      </c>
      <c r="L8" s="1769">
        <f>F8-K8</f>
        <v>31445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221362</v>
      </c>
      <c r="D12" s="844">
        <v>0</v>
      </c>
      <c r="E12" s="844"/>
      <c r="F12" s="1760">
        <f>(C12+D12)-E12</f>
        <v>221362</v>
      </c>
      <c r="G12" s="843">
        <v>10</v>
      </c>
      <c r="H12" s="765">
        <v>174884</v>
      </c>
      <c r="I12" s="765">
        <v>8262</v>
      </c>
      <c r="J12" s="765"/>
      <c r="K12" s="1769">
        <f>(H12+I12)-J12</f>
        <v>183146</v>
      </c>
      <c r="L12" s="1769">
        <f>F12-K12</f>
        <v>38216</v>
      </c>
    </row>
    <row r="13" spans="1:14" ht="14.25" thickTop="1" thickBot="1" x14ac:dyDescent="0.25">
      <c r="A13" s="848" t="s">
        <v>1122</v>
      </c>
      <c r="B13" s="840">
        <v>252</v>
      </c>
      <c r="C13" s="844">
        <v>80676</v>
      </c>
      <c r="D13" s="844">
        <v>0</v>
      </c>
      <c r="E13" s="844">
        <v>5327</v>
      </c>
      <c r="F13" s="1760">
        <f>(C13+D13)-E13</f>
        <v>75349</v>
      </c>
      <c r="G13" s="843">
        <v>5</v>
      </c>
      <c r="H13" s="765">
        <v>45195</v>
      </c>
      <c r="I13" s="765">
        <v>2741</v>
      </c>
      <c r="J13" s="765">
        <v>5327</v>
      </c>
      <c r="K13" s="1769">
        <f>(H13+I13)-J13</f>
        <v>42609</v>
      </c>
      <c r="L13" s="1769">
        <f>F13-K13</f>
        <v>32740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354164</v>
      </c>
      <c r="D16" s="1760">
        <f>SUM(D3,D5:D6,D8:D10,D12:D15)</f>
        <v>0</v>
      </c>
      <c r="E16" s="1760">
        <f>SUM(E3,E5:E6,E8:E10,E12:E15)</f>
        <v>5327</v>
      </c>
      <c r="F16" s="1760">
        <f>SUM(F3,F5:F6,F8:F10,F12:F15)</f>
        <v>348837</v>
      </c>
      <c r="G16" s="843"/>
      <c r="H16" s="1760">
        <f>SUM(H3,H6,H8:H10,H12:H14,)</f>
        <v>239717</v>
      </c>
      <c r="I16" s="1760">
        <f>SUM(I3,I6,I8:I10,I12:I14,)</f>
        <v>12046</v>
      </c>
      <c r="J16" s="1760">
        <f>SUM(J3,J6,J8:J10,J12:J14,)</f>
        <v>5327</v>
      </c>
      <c r="K16" s="1760">
        <f>(H16+I16)-J16</f>
        <v>246436</v>
      </c>
      <c r="L16" s="1760">
        <f>F16-K16</f>
        <v>102401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12046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70C0"/>
  </sheetPr>
  <dimension ref="A1:H202"/>
  <sheetViews>
    <sheetView showGridLines="0" defaultGridColor="0" colorId="8" zoomScale="110" zoomScaleNormal="110" workbookViewId="0">
      <pane ySplit="5" topLeftCell="A57"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1970</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1152495</v>
      </c>
      <c r="G8" s="865"/>
    </row>
    <row r="9" spans="1:7" x14ac:dyDescent="0.2">
      <c r="A9" s="869" t="s">
        <v>460</v>
      </c>
      <c r="B9" s="870" t="s">
        <v>1873</v>
      </c>
      <c r="C9" s="871"/>
      <c r="D9" s="869" t="s">
        <v>501</v>
      </c>
      <c r="E9" s="868"/>
      <c r="F9" s="1909">
        <f>'Expenditures 15-22'!K151</f>
        <v>0</v>
      </c>
      <c r="G9" s="872"/>
    </row>
    <row r="10" spans="1:7" x14ac:dyDescent="0.2">
      <c r="A10" s="869" t="s">
        <v>499</v>
      </c>
      <c r="B10" s="870" t="s">
        <v>1874</v>
      </c>
      <c r="C10" s="871"/>
      <c r="D10" s="869" t="s">
        <v>501</v>
      </c>
      <c r="E10" s="868"/>
      <c r="F10" s="1909">
        <f>'Expenditures 15-22'!K174</f>
        <v>0</v>
      </c>
      <c r="G10" s="872"/>
    </row>
    <row r="11" spans="1:7" x14ac:dyDescent="0.2">
      <c r="A11" s="869" t="s">
        <v>461</v>
      </c>
      <c r="B11" s="870" t="s">
        <v>1875</v>
      </c>
      <c r="C11" s="871"/>
      <c r="D11" s="869" t="s">
        <v>501</v>
      </c>
      <c r="E11" s="868"/>
      <c r="F11" s="1909">
        <f>'Expenditures 15-22'!K210</f>
        <v>64766</v>
      </c>
      <c r="G11" s="872"/>
    </row>
    <row r="12" spans="1:7" x14ac:dyDescent="0.2">
      <c r="A12" s="869" t="s">
        <v>462</v>
      </c>
      <c r="B12" s="870" t="s">
        <v>1876</v>
      </c>
      <c r="C12" s="871"/>
      <c r="D12" s="869" t="s">
        <v>501</v>
      </c>
      <c r="E12" s="868"/>
      <c r="F12" s="1909">
        <f>'Expenditures 15-22'!K295</f>
        <v>0</v>
      </c>
      <c r="G12" s="872"/>
    </row>
    <row r="13" spans="1:7" x14ac:dyDescent="0.2">
      <c r="A13" s="869" t="s">
        <v>106</v>
      </c>
      <c r="B13" s="870" t="s">
        <v>1877</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1217261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19047</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10939</v>
      </c>
      <c r="G53" s="865"/>
    </row>
    <row r="54" spans="1:7" x14ac:dyDescent="0.2">
      <c r="A54" s="869" t="s">
        <v>459</v>
      </c>
      <c r="B54" s="869" t="s">
        <v>1476</v>
      </c>
      <c r="C54" s="889" t="s">
        <v>982</v>
      </c>
      <c r="D54" s="885" t="s">
        <v>1095</v>
      </c>
      <c r="E54" s="868"/>
      <c r="F54" s="1913">
        <f>'Expenditures 15-22'!G114</f>
        <v>3851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33837</v>
      </c>
      <c r="G76" s="865"/>
    </row>
    <row r="77" spans="1:8" s="893" customFormat="1" ht="12" customHeight="1" thickTop="1" thickBot="1" x14ac:dyDescent="0.25">
      <c r="A77" s="1779"/>
      <c r="B77" s="1776"/>
      <c r="C77" s="1772"/>
      <c r="D77" s="1777" t="s">
        <v>1896</v>
      </c>
      <c r="E77" s="1774"/>
      <c r="F77" s="1780">
        <f>(F14-F76)</f>
        <v>1183424</v>
      </c>
      <c r="G77" s="869"/>
    </row>
    <row r="78" spans="1:8" s="893" customFormat="1" ht="12" customHeight="1" thickTop="1" x14ac:dyDescent="0.2">
      <c r="A78" s="1781"/>
      <c r="B78" s="1776"/>
      <c r="C78" s="1772"/>
      <c r="D78" s="1777" t="s">
        <v>2057</v>
      </c>
      <c r="E78" s="1774"/>
      <c r="F78" s="898">
        <v>0</v>
      </c>
      <c r="G78" s="899"/>
      <c r="H78" s="869"/>
    </row>
    <row r="79" spans="1:8" s="893" customFormat="1" ht="12" customHeight="1" thickBot="1" x14ac:dyDescent="0.25">
      <c r="A79" s="1782"/>
      <c r="B79" s="1776"/>
      <c r="C79" s="1772"/>
      <c r="D79" s="1777" t="s">
        <v>1897</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18987</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412</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1998</v>
      </c>
      <c r="C105" s="913">
        <v>3100</v>
      </c>
      <c r="D105" s="919" t="str">
        <f>'Revenues 9-14'!A132</f>
        <v>Total Special Education</v>
      </c>
      <c r="E105" s="906"/>
      <c r="F105" s="1789">
        <f>SUM('Revenues 9-14'!C132:D132,'Revenues 9-14'!F132)</f>
        <v>0</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287907</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0</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0</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45719</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0</v>
      </c>
      <c r="G125" s="930"/>
    </row>
    <row r="126" spans="1:7" x14ac:dyDescent="0.2">
      <c r="A126" s="927" t="s">
        <v>668</v>
      </c>
      <c r="B126" s="927" t="s">
        <v>2019</v>
      </c>
      <c r="C126" s="932">
        <v>4300</v>
      </c>
      <c r="D126" s="933" t="str">
        <f>'Revenues 9-14'!A204</f>
        <v>Total Title I</v>
      </c>
      <c r="E126" s="906"/>
      <c r="F126" s="1789">
        <f>SUM('Revenues 9-14'!C204,'Revenues 9-14'!D204,'Revenues 9-14'!F204,'Revenues 9-14'!G204)</f>
        <v>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353025</v>
      </c>
    </row>
    <row r="175" spans="1:7" ht="12" customHeight="1" x14ac:dyDescent="0.2">
      <c r="A175" s="1770"/>
      <c r="B175" s="1784"/>
      <c r="C175" s="1785"/>
      <c r="D175" s="1786" t="s">
        <v>2052</v>
      </c>
      <c r="E175" s="1787"/>
      <c r="F175" s="1789">
        <f>'PCTC-OEPP 27-28'!F77-F174</f>
        <v>830399</v>
      </c>
    </row>
    <row r="176" spans="1:7" ht="12" customHeight="1" x14ac:dyDescent="0.2">
      <c r="A176" s="1770"/>
      <c r="B176" s="1784"/>
      <c r="C176" s="1785"/>
      <c r="D176" s="1786" t="s">
        <v>1814</v>
      </c>
      <c r="E176" s="1787"/>
      <c r="F176" s="1789">
        <f>'Cap Outlay Deprec 26'!I18</f>
        <v>12046</v>
      </c>
    </row>
    <row r="177" spans="1:7" ht="12" customHeight="1" x14ac:dyDescent="0.2">
      <c r="A177" s="1770"/>
      <c r="B177" s="1784"/>
      <c r="C177" s="1785"/>
      <c r="D177" s="1786" t="s">
        <v>2053</v>
      </c>
      <c r="E177" s="1787"/>
      <c r="F177" s="1789">
        <f>F175+F176</f>
        <v>842445</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2054</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H143"/>
  <sheetViews>
    <sheetView showGridLines="0" topLeftCell="A13" zoomScaleNormal="100" workbookViewId="0">
      <selection activeCell="C32" sqref="C32"/>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1815</v>
      </c>
      <c r="B4" s="2271"/>
      <c r="C4" s="2271"/>
      <c r="D4" s="2271"/>
      <c r="E4" s="2271"/>
      <c r="F4" s="2271"/>
      <c r="G4" s="2272"/>
    </row>
    <row r="5" spans="1:7" x14ac:dyDescent="0.25">
      <c r="A5" s="2273"/>
      <c r="B5" s="2274"/>
      <c r="C5" s="2274"/>
      <c r="D5" s="2274"/>
      <c r="E5" s="2274"/>
      <c r="F5" s="2274"/>
      <c r="G5" s="2275"/>
    </row>
    <row r="6" spans="1:7" ht="18.75" x14ac:dyDescent="0.25">
      <c r="A6" s="1534" t="s">
        <v>1816</v>
      </c>
      <c r="B6" s="1535"/>
      <c r="C6" s="1535"/>
      <c r="D6" s="1535"/>
      <c r="E6" s="1535"/>
      <c r="F6" s="1535"/>
      <c r="G6" s="1536"/>
    </row>
    <row r="7" spans="1:7" ht="30.75" customHeight="1" x14ac:dyDescent="0.25">
      <c r="A7" s="2276" t="s">
        <v>1928</v>
      </c>
      <c r="B7" s="2277"/>
      <c r="C7" s="2277"/>
      <c r="D7" s="2277"/>
      <c r="E7" s="2277"/>
      <c r="F7" s="2277"/>
      <c r="G7" s="2278"/>
    </row>
    <row r="8" spans="1:7" ht="15.75" customHeight="1" x14ac:dyDescent="0.25">
      <c r="A8" s="2279" t="s">
        <v>1903</v>
      </c>
      <c r="B8" s="2280"/>
      <c r="C8" s="2280"/>
      <c r="D8" s="2280"/>
      <c r="E8" s="2280"/>
      <c r="F8" s="2280"/>
      <c r="G8" s="2281"/>
    </row>
    <row r="9" spans="1:7" ht="35.25" customHeight="1" x14ac:dyDescent="0.25">
      <c r="A9" s="2276" t="s">
        <v>2060</v>
      </c>
      <c r="B9" s="2277"/>
      <c r="C9" s="2277"/>
      <c r="D9" s="2277"/>
      <c r="E9" s="2277"/>
      <c r="F9" s="2277"/>
      <c r="G9" s="2278"/>
    </row>
    <row r="10" spans="1:7" ht="15" customHeight="1" x14ac:dyDescent="0.25">
      <c r="A10" s="1537" t="s">
        <v>1817</v>
      </c>
      <c r="B10" s="1538"/>
      <c r="C10" s="1538"/>
      <c r="D10" s="1538"/>
      <c r="E10" s="1538"/>
      <c r="F10" s="1538"/>
      <c r="G10" s="1539"/>
    </row>
    <row r="11" spans="1:7" ht="17.25" customHeight="1" x14ac:dyDescent="0.25">
      <c r="A11" s="2276" t="s">
        <v>1930</v>
      </c>
      <c r="B11" s="2277"/>
      <c r="C11" s="2277"/>
      <c r="D11" s="2277"/>
      <c r="E11" s="2277"/>
      <c r="F11" s="2277"/>
      <c r="G11" s="2278"/>
    </row>
    <row r="12" spans="1:7" ht="15" customHeight="1" x14ac:dyDescent="0.25">
      <c r="A12" s="1537" t="s">
        <v>1822</v>
      </c>
      <c r="B12" s="1538"/>
      <c r="C12" s="1538"/>
      <c r="D12" s="1538"/>
      <c r="E12" s="1538"/>
      <c r="F12" s="1538"/>
      <c r="G12" s="1539"/>
    </row>
    <row r="13" spans="1:7" ht="32.25" customHeight="1" x14ac:dyDescent="0.25">
      <c r="A13" s="2267" t="s">
        <v>1971</v>
      </c>
      <c r="B13" s="2268"/>
      <c r="C13" s="2268"/>
      <c r="D13" s="2268"/>
      <c r="E13" s="2268"/>
      <c r="F13" s="2268"/>
      <c r="G13" s="2269"/>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648"/>
      <c r="B17" s="1649"/>
      <c r="C17" s="1650"/>
      <c r="D17" s="1651"/>
      <c r="E17" s="1651"/>
      <c r="F17" s="1651"/>
      <c r="G17" s="1652"/>
    </row>
    <row r="18" spans="1:8" x14ac:dyDescent="0.25">
      <c r="A18" s="2487" t="s">
        <v>2105</v>
      </c>
      <c r="B18" s="2488" t="s">
        <v>2106</v>
      </c>
      <c r="C18" s="2489" t="s">
        <v>2096</v>
      </c>
      <c r="D18" s="1844">
        <v>63644</v>
      </c>
      <c r="E18" s="1540">
        <f t="shared" ref="E18:E143" si="0">IF(D18&lt;=25000,D18,IF(D18&gt;25000,25000,0))</f>
        <v>25000</v>
      </c>
      <c r="F18" s="1932">
        <f t="shared" ref="F18:F82" si="1">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18,0)</f>
        <v>25000</v>
      </c>
      <c r="G18" s="1793">
        <f>IF(F18=0,0,D18-F18)</f>
        <v>38644</v>
      </c>
      <c r="H18" s="1647"/>
    </row>
    <row r="19" spans="1:8" x14ac:dyDescent="0.25">
      <c r="A19" s="2487" t="s">
        <v>2105</v>
      </c>
      <c r="B19" s="2488" t="s">
        <v>2106</v>
      </c>
      <c r="C19" s="2489" t="s">
        <v>2096</v>
      </c>
      <c r="D19" s="1844">
        <v>89352</v>
      </c>
      <c r="E19" s="1540"/>
      <c r="F19" s="1932"/>
      <c r="G19" s="1793"/>
      <c r="H19" s="1647"/>
    </row>
    <row r="20" spans="1:8" x14ac:dyDescent="0.25">
      <c r="A20" s="1937" t="s">
        <v>2091</v>
      </c>
      <c r="B20" s="1938" t="s">
        <v>1821</v>
      </c>
      <c r="C20" s="1939" t="s">
        <v>2097</v>
      </c>
      <c r="D20" s="1844">
        <v>23575</v>
      </c>
      <c r="E20" s="1540">
        <f t="shared" ref="E20:E142" si="2">IF(D20&lt;=25000,D20,IF(D20&gt;25000,25000,0))</f>
        <v>23575</v>
      </c>
      <c r="F20" s="1932">
        <f t="shared" si="1"/>
        <v>23575</v>
      </c>
      <c r="G20" s="1793">
        <f t="shared" ref="G20:G142" si="3">IF(F20=0,0,D20-F20)</f>
        <v>0</v>
      </c>
    </row>
    <row r="21" spans="1:8" x14ac:dyDescent="0.25">
      <c r="A21" s="1937" t="s">
        <v>2091</v>
      </c>
      <c r="B21" s="1938" t="s">
        <v>1821</v>
      </c>
      <c r="C21" s="1939" t="s">
        <v>2098</v>
      </c>
      <c r="D21" s="1844">
        <v>8645</v>
      </c>
      <c r="E21" s="1540">
        <f t="shared" si="2"/>
        <v>8645</v>
      </c>
      <c r="F21" s="1932">
        <f t="shared" si="1"/>
        <v>8645</v>
      </c>
      <c r="G21" s="1793">
        <f t="shared" si="3"/>
        <v>0</v>
      </c>
    </row>
    <row r="22" spans="1:8" x14ac:dyDescent="0.25">
      <c r="A22" s="1937" t="s">
        <v>2091</v>
      </c>
      <c r="B22" s="1938" t="s">
        <v>1821</v>
      </c>
      <c r="C22" s="1939" t="s">
        <v>2099</v>
      </c>
      <c r="D22" s="1844">
        <v>13300</v>
      </c>
      <c r="E22" s="1540">
        <f t="shared" si="2"/>
        <v>13300</v>
      </c>
      <c r="F22" s="1932">
        <f t="shared" si="1"/>
        <v>13300</v>
      </c>
      <c r="G22" s="1793">
        <f t="shared" si="3"/>
        <v>0</v>
      </c>
    </row>
    <row r="23" spans="1:8" x14ac:dyDescent="0.25">
      <c r="A23" s="1937" t="s">
        <v>2092</v>
      </c>
      <c r="B23" s="1938" t="s">
        <v>2094</v>
      </c>
      <c r="C23" s="1939" t="s">
        <v>2100</v>
      </c>
      <c r="D23" s="1844">
        <v>3850</v>
      </c>
      <c r="E23" s="1540">
        <f t="shared" si="2"/>
        <v>3850</v>
      </c>
      <c r="F23" s="1932">
        <f t="shared" si="1"/>
        <v>3850</v>
      </c>
      <c r="G23" s="1793">
        <f t="shared" si="3"/>
        <v>0</v>
      </c>
    </row>
    <row r="24" spans="1:8" x14ac:dyDescent="0.25">
      <c r="A24" s="1937" t="s">
        <v>2092</v>
      </c>
      <c r="B24" s="1938" t="s">
        <v>2094</v>
      </c>
      <c r="C24" s="1939" t="s">
        <v>2096</v>
      </c>
      <c r="D24" s="1844">
        <v>11096</v>
      </c>
      <c r="E24" s="1540">
        <f t="shared" si="2"/>
        <v>11096</v>
      </c>
      <c r="F24" s="1932">
        <f t="shared" si="1"/>
        <v>11096</v>
      </c>
      <c r="G24" s="1793">
        <f t="shared" si="3"/>
        <v>0</v>
      </c>
    </row>
    <row r="25" spans="1:8" x14ac:dyDescent="0.25">
      <c r="A25" s="1937" t="s">
        <v>2093</v>
      </c>
      <c r="B25" s="1938" t="s">
        <v>2095</v>
      </c>
      <c r="C25" s="1939" t="s">
        <v>2101</v>
      </c>
      <c r="D25" s="1844">
        <v>2283</v>
      </c>
      <c r="E25" s="1540">
        <f t="shared" si="2"/>
        <v>2283</v>
      </c>
      <c r="F25" s="1932">
        <f t="shared" si="1"/>
        <v>2283</v>
      </c>
      <c r="G25" s="1793">
        <f t="shared" si="3"/>
        <v>0</v>
      </c>
    </row>
    <row r="26" spans="1:8" x14ac:dyDescent="0.25">
      <c r="A26" s="1937" t="s">
        <v>2093</v>
      </c>
      <c r="B26" s="1938" t="s">
        <v>2095</v>
      </c>
      <c r="C26" s="1939" t="s">
        <v>2102</v>
      </c>
      <c r="D26" s="1844">
        <v>12917</v>
      </c>
      <c r="E26" s="1540">
        <f t="shared" si="2"/>
        <v>12917</v>
      </c>
      <c r="F26" s="1932">
        <f t="shared" si="1"/>
        <v>12917</v>
      </c>
      <c r="G26" s="1793">
        <f t="shared" si="3"/>
        <v>0</v>
      </c>
    </row>
    <row r="27" spans="1:8" x14ac:dyDescent="0.25">
      <c r="A27" s="1937" t="s">
        <v>2093</v>
      </c>
      <c r="B27" s="1938" t="s">
        <v>2095</v>
      </c>
      <c r="C27" s="1939" t="s">
        <v>2103</v>
      </c>
      <c r="D27" s="1844">
        <v>233</v>
      </c>
      <c r="E27" s="1540">
        <f t="shared" si="2"/>
        <v>233</v>
      </c>
      <c r="F27" s="1932">
        <f t="shared" si="1"/>
        <v>233</v>
      </c>
      <c r="G27" s="1793">
        <f t="shared" si="3"/>
        <v>0</v>
      </c>
    </row>
    <row r="28" spans="1:8" x14ac:dyDescent="0.25">
      <c r="A28" s="1937" t="s">
        <v>2093</v>
      </c>
      <c r="B28" s="1938" t="s">
        <v>2095</v>
      </c>
      <c r="C28" s="1939" t="s">
        <v>2104</v>
      </c>
      <c r="D28" s="1844">
        <v>11569</v>
      </c>
      <c r="E28" s="1540">
        <f t="shared" si="2"/>
        <v>11569</v>
      </c>
      <c r="F28" s="1932">
        <f t="shared" si="1"/>
        <v>11569</v>
      </c>
      <c r="G28" s="1793">
        <f t="shared" si="3"/>
        <v>0</v>
      </c>
    </row>
    <row r="29" spans="1:8" x14ac:dyDescent="0.25">
      <c r="A29" s="1937" t="s">
        <v>2093</v>
      </c>
      <c r="B29" s="1938" t="s">
        <v>2095</v>
      </c>
      <c r="C29" s="1939" t="s">
        <v>2096</v>
      </c>
      <c r="D29" s="1844">
        <v>20792</v>
      </c>
      <c r="E29" s="1540">
        <f t="shared" si="2"/>
        <v>20792</v>
      </c>
      <c r="F29" s="1932">
        <f t="shared" si="1"/>
        <v>20792</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4"/>
      <c r="C38" s="1654"/>
      <c r="D38" s="1844"/>
      <c r="E38" s="1540">
        <f t="shared" si="2"/>
        <v>0</v>
      </c>
      <c r="F38" s="1932">
        <f t="shared" si="1"/>
        <v>0</v>
      </c>
      <c r="G38" s="1793">
        <f t="shared" si="3"/>
        <v>0</v>
      </c>
    </row>
    <row r="39" spans="1:7" x14ac:dyDescent="0.25">
      <c r="A39" s="1653"/>
      <c r="B39" s="1934"/>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935"/>
      <c r="C46" s="1654"/>
      <c r="D46" s="1844"/>
      <c r="E46" s="1540">
        <f t="shared" si="2"/>
        <v>0</v>
      </c>
      <c r="F46" s="1932">
        <f t="shared" si="1"/>
        <v>0</v>
      </c>
      <c r="G46" s="1793">
        <f t="shared" si="3"/>
        <v>0</v>
      </c>
    </row>
    <row r="47" spans="1:7" x14ac:dyDescent="0.25">
      <c r="A47" s="1653"/>
      <c r="B47" s="1935"/>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3"/>
      <c r="B64" s="1667"/>
      <c r="C64" s="1654"/>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5"/>
      <c r="B66" s="1667"/>
      <c r="C66" s="1656"/>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si="2"/>
        <v>0</v>
      </c>
      <c r="F73" s="1932">
        <f t="shared" si="1"/>
        <v>0</v>
      </c>
      <c r="G73" s="1793">
        <f t="shared" si="3"/>
        <v>0</v>
      </c>
    </row>
    <row r="74" spans="1:7" x14ac:dyDescent="0.25">
      <c r="A74" s="1653"/>
      <c r="B74" s="1667"/>
      <c r="C74" s="1654"/>
      <c r="D74" s="1844"/>
      <c r="E74" s="1540">
        <f t="shared" si="2"/>
        <v>0</v>
      </c>
      <c r="F74" s="1932">
        <f t="shared" si="1"/>
        <v>0</v>
      </c>
      <c r="G74" s="1793">
        <f t="shared" si="3"/>
        <v>0</v>
      </c>
    </row>
    <row r="75" spans="1:7" x14ac:dyDescent="0.25">
      <c r="A75" s="1653"/>
      <c r="B75" s="1667"/>
      <c r="C75" s="1654"/>
      <c r="D75" s="1844"/>
      <c r="E75" s="1540">
        <f t="shared" ref="E75:E86" si="4">IF(D75&lt;=25000,D75,IF(D75&gt;25000,25000,0))</f>
        <v>0</v>
      </c>
      <c r="F75" s="1932">
        <f t="shared" si="1"/>
        <v>0</v>
      </c>
      <c r="G75" s="1793">
        <f t="shared" ref="G75:G86" si="5">IF(F75=0,0,D75-F75)</f>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si="1"/>
        <v>0</v>
      </c>
      <c r="G81" s="1793">
        <f t="shared" si="5"/>
        <v>0</v>
      </c>
    </row>
    <row r="82" spans="1:7" x14ac:dyDescent="0.25">
      <c r="A82" s="1653"/>
      <c r="B82" s="1667"/>
      <c r="C82" s="1654"/>
      <c r="D82" s="1844"/>
      <c r="E82" s="1540">
        <f t="shared" si="4"/>
        <v>0</v>
      </c>
      <c r="F82" s="1932">
        <f t="shared" si="1"/>
        <v>0</v>
      </c>
      <c r="G82" s="1793">
        <f t="shared" si="5"/>
        <v>0</v>
      </c>
    </row>
    <row r="83" spans="1:7" x14ac:dyDescent="0.25">
      <c r="A83" s="1653"/>
      <c r="B83" s="1667"/>
      <c r="C83" s="1654"/>
      <c r="D83" s="1844"/>
      <c r="E83" s="1540">
        <f t="shared" si="4"/>
        <v>0</v>
      </c>
      <c r="F83" s="1932">
        <f t="shared" ref="F83:F142" si="6">IF(OR(B83="10-1000-100",B83="10-1000-200",B83="10-1000-300",B83="10-1000-400",B83="10-1000-600",B83="10-1000-800",B83="50-1000-200",B83="10-2100-100",B83="10-2100-200",B83="10-2100-300",B83="10-2100-400",B83="10-2100-600",B83="10-2100-800",B83="20-2100-100",B83="20-2100-200",B83="20-2100-300",B83="20-2100-400",B83="20-2100-600",B83="20-2100-800",B83="40-2100-100",B83="40-2100-200",B83="40-2100-300",B83="40-2100-400",B83="40-2100-600",B83="40-2100-800",B83="50-2100-200",B83="10-2200-100",B83="10-2200-200",B83="10-2200-300",B83="10-2200-400",B83="10-2200-600",B83="10-2200-800",B83="50-2200-200",B83="10-2300-100",B83="10-2300-200",B83="10-2300-300",B83="10-2300-400",B83="10-2300-600",B83="10-2300-800",B83="50-2300-200",B83="80-2300-100",B83="80-2300-200",B83="80-2300-300",B83="80-2300-400",B83="80-2300-600",B83="80-2300-800",B83="10-2400-100",B83="10-2400-200",B83="10-2400-300",B83="10-2400-400",B83="10-2400-600",B83="10-2400-800",B83="50-2400-200",B83="10-2510-100",B83="10-2510-200",B83="10-2510-300",B83="10-2510-400",B83="10-2510-600",B83="10-2510-800",B83="20-2510-100",B83="20-2510-200",B83="20-2510-300",B83="20-2510-400",B83="20-2510-600",B83="20-2510-800",B83="50-2510-200",B83="10-2520-100",B83="10-2520-200",B83="10-2520-300",B83="10-2520-400",B83="10-2520-600",B83="10-2520-800",B83="50-2520-200",B83="10-2540-100",B83="10-2540-200",B83="10-2540-300",B83="10-2540-400",B83="10-2540-600",B83="10-2540-800",B83="20-2540-100",B83="20-2540-200",B83="20-2540-300",B83="20-2540-400",B83="20-2540-600",B83="20-2540-800",B83="50-2540-200",B83="10-2550-100",B83="10-2550-200",B83="10-2550-300",B83="10-2550-400",B83="10-2550-600",B83="10-2550-800",B83="20-2550-100",B83="20-2550-200",B83="20-2550-300",B83="20-2550-400",B83="20-2550-600",B83="20-2550-800",B83="40-2550-100",B83="40-2550-200",B83="40-2550-300",B83="40-2550-400",B83="40-2550-600",B83="40-2550-800",B83="50-2550-200",B83="10-2560-100",B83="10-2560-200",B83="10-2560-300",B83="10-2560-400",B83="10-2560-600",B83="10-2560-800",B83="50-2560-200",B83="10-2570-100",B83="10-2570-200",B83="10-2570-300",B83="10-2570-400",B83="10-2570-600",B83="10-2570-800",B83="50-2570-200",B83="10-2610-100",B83="10-2610-200",B83="10-2610-300",B83="10-2610-400",B83="10-2610-600",B83="10-2610-800",B83="50-2610-200",B83="10-2620-100",B83="10-2620-200",B83="10-2620-300",B83="10-2620-400",B83="10-2620-600",B83="10-2620-800",B83="50-2620-200",B83="10-2630-100",B83="10-2630-200",B83="10-2630-300",B83="10-2630-400",B83="10-2630-600",B83="10-2630-800",B83="50-2630-200",B83="10-2640-100",B83="10-2640-200",B83="10-2640-300",B83="10-2640-400",B83="10-2640-600",B83="10-2640-800",B83="50-2640-200",B83="10-2660-100",B83="10-2660-200",B83="10-2660-300",B83="10-2660-400",B83="10-2660-600",B83="10-2660-800",B83="50-2660-200",B83="10-2900-100",B83="10-2900-200",B83="10-2900-300",B83="10-2900-400",B83="10-2900-600",B83="10-2900-800",B83="20-2900-100",B83="20-2900-200",B83="20-2900-300",B83="20-2900-400",B83="20-2900-600",B83="20-2900-800",B83="40-2900-100",B83="40-2900-200",B83="40-2900-300",B83="40-2900-400",B83="40-2900-600",B83="40-2900-800",B83="50-2900-200",B83="10-3000-100",B83="10-3000-200",B83="10-3000-300",B83="10-3000-400",B83="10-3000-600",B83="10-3000-800",B83="20-3000-100",B83="20-3000-200",B83="20-3000-300",B83="20-3000-400",B83="20-3000-600",B83="20-3000-800",B83="40-3000-100",B83="40-3000-200",B83="40-3000-300",B83="40-3000-400",B83="40-3000-600",B83="40-3000-800",B83="50-3000-200"),E83,0)</f>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4"/>
        <v>0</v>
      </c>
      <c r="F85" s="1932">
        <f t="shared" si="6"/>
        <v>0</v>
      </c>
      <c r="G85" s="1793">
        <f t="shared" si="5"/>
        <v>0</v>
      </c>
    </row>
    <row r="86" spans="1:7" x14ac:dyDescent="0.25">
      <c r="A86" s="1653"/>
      <c r="B86" s="1667"/>
      <c r="C86" s="1654"/>
      <c r="D86" s="1844"/>
      <c r="E86" s="1540">
        <f t="shared" si="4"/>
        <v>0</v>
      </c>
      <c r="F86" s="1932">
        <f t="shared" si="6"/>
        <v>0</v>
      </c>
      <c r="G86" s="1793">
        <f t="shared" si="5"/>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si="2"/>
        <v>0</v>
      </c>
      <c r="F93" s="1932">
        <f t="shared" si="6"/>
        <v>0</v>
      </c>
      <c r="G93" s="1793">
        <f t="shared" si="3"/>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 si="7">IF(D95&lt;=25000,D95,IF(D95&gt;25000,25000,0))</f>
        <v>0</v>
      </c>
      <c r="F95" s="1932">
        <f t="shared" si="6"/>
        <v>0</v>
      </c>
      <c r="G95" s="1793">
        <f t="shared" ref="G95" si="8">IF(F95=0,0,D95-F95)</f>
        <v>0</v>
      </c>
    </row>
    <row r="96" spans="1:7" x14ac:dyDescent="0.25">
      <c r="A96" s="1653"/>
      <c r="B96" s="1667"/>
      <c r="C96" s="1654"/>
      <c r="D96" s="1844"/>
      <c r="E96" s="1540">
        <f t="shared" si="2"/>
        <v>0</v>
      </c>
      <c r="F96" s="1932">
        <f t="shared" si="6"/>
        <v>0</v>
      </c>
      <c r="G96" s="1793">
        <f t="shared" si="3"/>
        <v>0</v>
      </c>
    </row>
    <row r="97" spans="1:7" x14ac:dyDescent="0.25">
      <c r="A97" s="1653"/>
      <c r="B97" s="1667"/>
      <c r="C97" s="1654"/>
      <c r="D97" s="1844"/>
      <c r="E97" s="1540">
        <f t="shared" ref="E97:E100" si="9">IF(D97&lt;=25000,D97,IF(D97&gt;25000,25000,0))</f>
        <v>0</v>
      </c>
      <c r="F97" s="1932">
        <f t="shared" si="6"/>
        <v>0</v>
      </c>
      <c r="G97" s="1793">
        <f t="shared" ref="G97:G100" si="10">IF(F97=0,0,D97-F97)</f>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si="9"/>
        <v>0</v>
      </c>
      <c r="F99" s="1932">
        <f t="shared" si="6"/>
        <v>0</v>
      </c>
      <c r="G99" s="1793">
        <f t="shared" si="10"/>
        <v>0</v>
      </c>
    </row>
    <row r="100" spans="1:7" x14ac:dyDescent="0.25">
      <c r="A100" s="1653"/>
      <c r="B100" s="1667"/>
      <c r="C100" s="1654"/>
      <c r="D100" s="1844"/>
      <c r="E100" s="1540">
        <f t="shared" si="9"/>
        <v>0</v>
      </c>
      <c r="F100" s="1932">
        <f t="shared" si="6"/>
        <v>0</v>
      </c>
      <c r="G100" s="1793">
        <f t="shared" si="10"/>
        <v>0</v>
      </c>
    </row>
    <row r="101" spans="1:7" x14ac:dyDescent="0.25">
      <c r="A101" s="1653"/>
      <c r="B101" s="1667"/>
      <c r="C101" s="1654"/>
      <c r="D101" s="1844"/>
      <c r="E101" s="1540">
        <f t="shared" ref="E101" si="11">IF(D101&lt;=25000,D101,IF(D101&gt;25000,25000,0))</f>
        <v>0</v>
      </c>
      <c r="F101" s="1932">
        <f t="shared" si="6"/>
        <v>0</v>
      </c>
      <c r="G101" s="1793">
        <f t="shared" ref="G101" si="12">IF(F101=0,0,D101-F101)</f>
        <v>0</v>
      </c>
    </row>
    <row r="102" spans="1:7" x14ac:dyDescent="0.25">
      <c r="A102" s="1653"/>
      <c r="B102" s="1667"/>
      <c r="C102" s="1654"/>
      <c r="D102" s="1844"/>
      <c r="E102" s="1540">
        <f t="shared" ref="E102:E114" si="13">IF(D102&lt;=25000,D102,IF(D102&gt;25000,25000,0))</f>
        <v>0</v>
      </c>
      <c r="F102" s="1932">
        <f t="shared" si="6"/>
        <v>0</v>
      </c>
      <c r="G102" s="1793">
        <f t="shared" ref="G102:G114" si="14">IF(F102=0,0,D102-F102)</f>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si="13"/>
        <v>0</v>
      </c>
      <c r="F113" s="1932">
        <f t="shared" si="6"/>
        <v>0</v>
      </c>
      <c r="G113" s="1793">
        <f t="shared" si="14"/>
        <v>0</v>
      </c>
    </row>
    <row r="114" spans="1:7" x14ac:dyDescent="0.25">
      <c r="A114" s="1653"/>
      <c r="B114" s="1667"/>
      <c r="C114" s="1654"/>
      <c r="D114" s="1844"/>
      <c r="E114" s="1540">
        <f t="shared" si="13"/>
        <v>0</v>
      </c>
      <c r="F114" s="1932">
        <f t="shared" si="6"/>
        <v>0</v>
      </c>
      <c r="G114" s="1793">
        <f t="shared" si="14"/>
        <v>0</v>
      </c>
    </row>
    <row r="115" spans="1:7" x14ac:dyDescent="0.25">
      <c r="A115" s="1653"/>
      <c r="B115" s="1667"/>
      <c r="C115" s="1654"/>
      <c r="D115" s="1844"/>
      <c r="E115" s="1540">
        <f t="shared" ref="E115:E127" si="15">IF(D115&lt;=25000,D115,IF(D115&gt;25000,25000,0))</f>
        <v>0</v>
      </c>
      <c r="F115" s="1932">
        <f t="shared" si="6"/>
        <v>0</v>
      </c>
      <c r="G115" s="1793">
        <f t="shared" ref="G115:G127" si="16">IF(F115=0,0,D115-F115)</f>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si="15"/>
        <v>0</v>
      </c>
      <c r="F126" s="1932">
        <f t="shared" si="6"/>
        <v>0</v>
      </c>
      <c r="G126" s="1793">
        <f t="shared" si="16"/>
        <v>0</v>
      </c>
    </row>
    <row r="127" spans="1:7" x14ac:dyDescent="0.25">
      <c r="A127" s="1653"/>
      <c r="B127" s="1667"/>
      <c r="C127" s="1654"/>
      <c r="D127" s="1844"/>
      <c r="E127" s="1540">
        <f t="shared" si="15"/>
        <v>0</v>
      </c>
      <c r="F127" s="1932">
        <f t="shared" si="6"/>
        <v>0</v>
      </c>
      <c r="G127" s="1793">
        <f t="shared" si="16"/>
        <v>0</v>
      </c>
    </row>
    <row r="128" spans="1:7" x14ac:dyDescent="0.25">
      <c r="A128" s="1653"/>
      <c r="B128" s="1667"/>
      <c r="C128" s="1654"/>
      <c r="D128" s="1844"/>
      <c r="E128" s="1540">
        <f t="shared" ref="E128:E136" si="17">IF(D128&lt;=25000,D128,IF(D128&gt;25000,25000,0))</f>
        <v>0</v>
      </c>
      <c r="F128" s="1932">
        <f t="shared" si="6"/>
        <v>0</v>
      </c>
      <c r="G128" s="1793">
        <f t="shared" ref="G128:G136" si="18">IF(F128=0,0,D128-F128)</f>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667"/>
      <c r="C131" s="1654"/>
      <c r="D131" s="1844"/>
      <c r="E131" s="1540">
        <f t="shared" si="17"/>
        <v>0</v>
      </c>
      <c r="F131" s="1932">
        <f t="shared" si="6"/>
        <v>0</v>
      </c>
      <c r="G131" s="1793">
        <f t="shared" si="18"/>
        <v>0</v>
      </c>
    </row>
    <row r="132" spans="1:7" x14ac:dyDescent="0.25">
      <c r="A132" s="1653"/>
      <c r="B132" s="1667"/>
      <c r="C132" s="1654"/>
      <c r="D132" s="1844"/>
      <c r="E132" s="1540">
        <f t="shared" si="17"/>
        <v>0</v>
      </c>
      <c r="F132" s="1932">
        <f t="shared" si="6"/>
        <v>0</v>
      </c>
      <c r="G132" s="1793">
        <f t="shared" si="18"/>
        <v>0</v>
      </c>
    </row>
    <row r="133" spans="1:7" x14ac:dyDescent="0.25">
      <c r="A133" s="1653"/>
      <c r="B133" s="1837"/>
      <c r="C133" s="1654"/>
      <c r="D133" s="1844"/>
      <c r="E133" s="1540">
        <f t="shared" si="17"/>
        <v>0</v>
      </c>
      <c r="F133" s="1932">
        <f t="shared" si="6"/>
        <v>0</v>
      </c>
      <c r="G133" s="1793">
        <f t="shared" si="18"/>
        <v>0</v>
      </c>
    </row>
    <row r="134" spans="1:7" x14ac:dyDescent="0.25">
      <c r="A134" s="1653"/>
      <c r="B134" s="1837"/>
      <c r="C134" s="1654"/>
      <c r="D134" s="1844"/>
      <c r="E134" s="1540">
        <f t="shared" si="17"/>
        <v>0</v>
      </c>
      <c r="F134" s="1932">
        <f t="shared" si="6"/>
        <v>0</v>
      </c>
      <c r="G134" s="1793">
        <f t="shared" si="18"/>
        <v>0</v>
      </c>
    </row>
    <row r="135" spans="1:7" x14ac:dyDescent="0.25">
      <c r="A135" s="1653"/>
      <c r="B135" s="1667"/>
      <c r="C135" s="1654"/>
      <c r="D135" s="1844"/>
      <c r="E135" s="1540">
        <f t="shared" si="17"/>
        <v>0</v>
      </c>
      <c r="F135" s="1932">
        <f t="shared" si="6"/>
        <v>0</v>
      </c>
      <c r="G135" s="1793">
        <f t="shared" si="18"/>
        <v>0</v>
      </c>
    </row>
    <row r="136" spans="1:7" x14ac:dyDescent="0.25">
      <c r="A136" s="1653"/>
      <c r="B136" s="1667"/>
      <c r="C136" s="1654"/>
      <c r="D136" s="1844"/>
      <c r="E136" s="1540">
        <f t="shared" si="17"/>
        <v>0</v>
      </c>
      <c r="F136" s="1932">
        <f t="shared" si="6"/>
        <v>0</v>
      </c>
      <c r="G136" s="1793">
        <f t="shared" si="18"/>
        <v>0</v>
      </c>
    </row>
    <row r="137" spans="1:7" x14ac:dyDescent="0.25">
      <c r="A137" s="1653"/>
      <c r="B137" s="1667"/>
      <c r="C137" s="1654"/>
      <c r="D137" s="1844"/>
      <c r="E137" s="1540">
        <f t="shared" ref="E137:E141" si="19">IF(D137&lt;=25000,D137,IF(D137&gt;25000,25000,0))</f>
        <v>0</v>
      </c>
      <c r="F137" s="1932">
        <f t="shared" si="6"/>
        <v>0</v>
      </c>
      <c r="G137" s="1793">
        <f t="shared" ref="G137:G141" si="20">IF(F137=0,0,D137-F137)</f>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7"/>
      <c r="C140" s="1654"/>
      <c r="D140" s="1844"/>
      <c r="E140" s="1540">
        <f t="shared" si="19"/>
        <v>0</v>
      </c>
      <c r="F140" s="1932">
        <f t="shared" si="6"/>
        <v>0</v>
      </c>
      <c r="G140" s="1793">
        <f t="shared" si="20"/>
        <v>0</v>
      </c>
    </row>
    <row r="141" spans="1:7" x14ac:dyDescent="0.25">
      <c r="A141" s="1653"/>
      <c r="B141" s="1667"/>
      <c r="C141" s="1654"/>
      <c r="D141" s="1844"/>
      <c r="E141" s="1540">
        <f t="shared" si="19"/>
        <v>0</v>
      </c>
      <c r="F141" s="1932">
        <f t="shared" si="6"/>
        <v>0</v>
      </c>
      <c r="G141" s="1793">
        <f t="shared" si="20"/>
        <v>0</v>
      </c>
    </row>
    <row r="142" spans="1:7" x14ac:dyDescent="0.25">
      <c r="A142" s="1653"/>
      <c r="B142" s="1666"/>
      <c r="C142" s="1654"/>
      <c r="D142" s="1844"/>
      <c r="E142" s="1540">
        <f t="shared" si="2"/>
        <v>0</v>
      </c>
      <c r="F142" s="1932">
        <f t="shared" si="6"/>
        <v>0</v>
      </c>
      <c r="G142" s="1793">
        <f t="shared" si="3"/>
        <v>0</v>
      </c>
    </row>
    <row r="143" spans="1:7" x14ac:dyDescent="0.25">
      <c r="A143" s="1796" t="s">
        <v>156</v>
      </c>
      <c r="B143" s="1797"/>
      <c r="C143" s="1798"/>
      <c r="D143" s="1794">
        <f>SUM(D18:D142)</f>
        <v>261256</v>
      </c>
      <c r="E143" s="1541">
        <f t="shared" si="0"/>
        <v>25000</v>
      </c>
      <c r="F143" s="1933">
        <f>SUM(F18:F142)</f>
        <v>133260</v>
      </c>
      <c r="G143" s="1795">
        <f>SUM(G18:G142)</f>
        <v>38644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70C0"/>
  </sheetPr>
  <dimension ref="A1:I46"/>
  <sheetViews>
    <sheetView showGridLines="0" defaultGridColor="0" topLeftCell="A22"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87" t="s">
        <v>1972</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916841</v>
      </c>
      <c r="F19" s="1799"/>
      <c r="G19" s="1801">
        <f>'Expenditures 15-22'!K33-SUM('Expenditures 15-22'!G33,'Expenditures 15-22'!I33)+'Expenditures 15-22'!D229</f>
        <v>916841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92046</v>
      </c>
      <c r="F23" s="1802"/>
      <c r="G23" s="1804">
        <f>'Expenditures 15-22'!K53-SUM('Expenditures 15-22'!G53,'Expenditures 15-22'!I53)+'Expenditures 15-22'!D257+'Expenditures 15-22'!K330-SUM('Expenditures 15-22'!G330,'Expenditures 15-22'!I330)</f>
        <v>92046</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128818</v>
      </c>
      <c r="F28" s="1806">
        <f>'Expenditures 15-22'!K61-SUM('Expenditures 15-22'!G61,'Expenditures 15-22'!I61)+'Expenditures 15-22'!K124-SUM('Expenditures 15-22'!G124,'Expenditures 15-22'!I124)+'Expenditures 15-22'!D266-E9</f>
        <v>128818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64766</v>
      </c>
      <c r="F29" s="1802"/>
      <c r="G29" s="1805">
        <f>'Expenditures 15-22'!K62-SUM('Expenditures 15-22'!G62,'Expenditures 15-22'!I62)+'Expenditures 15-22'!K125-SUM('Expenditures 15-22'!G125,'Expenditures 15-22'!I125)+'Expenditures 15-22'!K182-SUM('Expenditures 15-22'!G182,'Expenditures 15-22'!I182)+'Expenditures 15-22'!D267</f>
        <v>64766</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29'!G143</f>
        <v>-38644</v>
      </c>
      <c r="F40" s="1802"/>
      <c r="G40" s="1806">
        <f>-'Contracts Paid in CY 29'!G143</f>
        <v>-38644</v>
      </c>
    </row>
    <row r="41" spans="1:7" ht="12" customHeight="1" x14ac:dyDescent="0.2">
      <c r="A41" s="998" t="s">
        <v>156</v>
      </c>
      <c r="B41" s="999"/>
      <c r="C41" s="1000"/>
      <c r="D41" s="1806">
        <f>SUM(D19:D39)</f>
        <v>0</v>
      </c>
      <c r="E41" s="1806">
        <f>SUM(E19:E40)</f>
        <v>1163827</v>
      </c>
      <c r="F41" s="1806">
        <f>SUM(F19:F39)</f>
        <v>128818</v>
      </c>
      <c r="G41" s="1806">
        <f>SUM(G19:G40)</f>
        <v>1035009</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0</v>
      </c>
      <c r="F43" s="1807" t="s">
        <v>473</v>
      </c>
      <c r="G43" s="1808">
        <f>F41</f>
        <v>128818</v>
      </c>
    </row>
    <row r="44" spans="1:7" ht="12" customHeight="1" x14ac:dyDescent="0.2">
      <c r="A44" s="987"/>
      <c r="B44" s="162"/>
      <c r="C44" s="1001"/>
      <c r="D44" s="1807" t="s">
        <v>474</v>
      </c>
      <c r="E44" s="1808">
        <f>E41</f>
        <v>1163827</v>
      </c>
      <c r="F44" s="1807" t="s">
        <v>474</v>
      </c>
      <c r="G44" s="1808">
        <f>G41</f>
        <v>1035009</v>
      </c>
    </row>
    <row r="45" spans="1:7" ht="12" customHeight="1" x14ac:dyDescent="0.2">
      <c r="A45" s="987"/>
      <c r="B45" s="162"/>
      <c r="C45" s="162"/>
      <c r="D45" s="1809" t="s">
        <v>1006</v>
      </c>
      <c r="E45" s="1810">
        <f>(E43/E44)</f>
        <v>0</v>
      </c>
      <c r="F45" s="1809" t="s">
        <v>1006</v>
      </c>
      <c r="G45" s="1810">
        <f>(G43/G44)</f>
        <v>0.12446075348137069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70C0"/>
    <pageSetUpPr fitToPage="1"/>
  </sheetPr>
  <dimension ref="A1:L97"/>
  <sheetViews>
    <sheetView showGridLines="0" zoomScale="110" zoomScaleNormal="110" workbookViewId="0">
      <pane ySplit="4" topLeftCell="A13"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United Twp Area Career Ctr</v>
      </c>
      <c r="D6" s="2297"/>
      <c r="E6" s="2297"/>
      <c r="F6" s="1852"/>
    </row>
    <row r="7" spans="1:10" ht="11.25" customHeight="1" thickBot="1" x14ac:dyDescent="0.3">
      <c r="A7" s="1850"/>
      <c r="B7" s="1851"/>
      <c r="C7" s="2298">
        <f>COVER!A13</f>
        <v>49081030041</v>
      </c>
      <c r="D7" s="2298"/>
      <c r="E7" s="2298"/>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2066</v>
      </c>
      <c r="D11" s="1865" t="s">
        <v>2066</v>
      </c>
      <c r="E11" s="1866"/>
      <c r="F11" s="1867" t="s">
        <v>2080</v>
      </c>
      <c r="H11" s="1878">
        <f>IF(C11="X",5,0)</f>
        <v>5</v>
      </c>
      <c r="I11" s="1878">
        <f>IF(D11="X",5,0)</f>
        <v>5</v>
      </c>
      <c r="J11" s="1878">
        <f>IF(E11="X",5,0)</f>
        <v>0</v>
      </c>
    </row>
    <row r="12" spans="1:10" ht="12" customHeight="1" x14ac:dyDescent="0.2">
      <c r="A12" s="1863" t="s">
        <v>1384</v>
      </c>
      <c r="B12" s="1864"/>
      <c r="C12" s="1865" t="s">
        <v>2066</v>
      </c>
      <c r="D12" s="1865" t="s">
        <v>2066</v>
      </c>
      <c r="E12" s="1868"/>
      <c r="F12" s="1867" t="s">
        <v>2081</v>
      </c>
      <c r="H12" s="1878">
        <f t="shared" ref="H12:H33" si="0">IF(C12="X",5,0)</f>
        <v>5</v>
      </c>
      <c r="I12" s="1878">
        <f t="shared" ref="I12:I33" si="1">IF(D12="X",5,0)</f>
        <v>5</v>
      </c>
      <c r="J12" s="1878">
        <f t="shared" ref="J12:J33" si="2">IF(E12="X",5,0)</f>
        <v>0</v>
      </c>
    </row>
    <row r="13" spans="1:10" ht="12" customHeight="1" x14ac:dyDescent="0.2">
      <c r="A13" s="1863" t="s">
        <v>1385</v>
      </c>
      <c r="B13" s="1864"/>
      <c r="C13" s="1865" t="s">
        <v>2066</v>
      </c>
      <c r="D13" s="1865" t="s">
        <v>2066</v>
      </c>
      <c r="E13" s="1868"/>
      <c r="F13" s="1867" t="s">
        <v>2082</v>
      </c>
      <c r="H13" s="1878">
        <f t="shared" si="0"/>
        <v>5</v>
      </c>
      <c r="I13" s="1878">
        <f t="shared" si="1"/>
        <v>5</v>
      </c>
      <c r="J13" s="1878">
        <f t="shared" si="2"/>
        <v>0</v>
      </c>
    </row>
    <row r="14" spans="1:10" ht="12" customHeight="1" x14ac:dyDescent="0.2">
      <c r="A14" s="1863" t="s">
        <v>1386</v>
      </c>
      <c r="B14" s="1864"/>
      <c r="C14" s="1865" t="s">
        <v>2066</v>
      </c>
      <c r="D14" s="1865" t="s">
        <v>2066</v>
      </c>
      <c r="E14" s="1868"/>
      <c r="F14" s="1867" t="s">
        <v>2081</v>
      </c>
      <c r="H14" s="1878">
        <f t="shared" si="0"/>
        <v>5</v>
      </c>
      <c r="I14" s="1878">
        <f t="shared" si="1"/>
        <v>5</v>
      </c>
      <c r="J14" s="1878">
        <f t="shared" si="2"/>
        <v>0</v>
      </c>
    </row>
    <row r="15" spans="1:10" ht="12" customHeight="1" x14ac:dyDescent="0.2">
      <c r="A15" s="1863" t="s">
        <v>1387</v>
      </c>
      <c r="B15" s="1864"/>
      <c r="C15" s="1865" t="s">
        <v>2066</v>
      </c>
      <c r="D15" s="1865" t="s">
        <v>2066</v>
      </c>
      <c r="E15" s="1868"/>
      <c r="F15" s="1867" t="s">
        <v>2081</v>
      </c>
      <c r="H15" s="1878">
        <f t="shared" si="0"/>
        <v>5</v>
      </c>
      <c r="I15" s="1878">
        <f t="shared" si="1"/>
        <v>5</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t="s">
        <v>2066</v>
      </c>
      <c r="D17" s="1865" t="s">
        <v>2066</v>
      </c>
      <c r="E17" s="1868"/>
      <c r="F17" s="1867" t="s">
        <v>2083</v>
      </c>
      <c r="H17" s="1878">
        <f t="shared" si="0"/>
        <v>5</v>
      </c>
      <c r="I17" s="1878">
        <f t="shared" si="1"/>
        <v>5</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2066</v>
      </c>
      <c r="D19" s="1865" t="s">
        <v>2066</v>
      </c>
      <c r="E19" s="1868"/>
      <c r="F19" s="1867" t="s">
        <v>2081</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2066</v>
      </c>
      <c r="D21" s="1865" t="s">
        <v>2066</v>
      </c>
      <c r="E21" s="1868"/>
      <c r="F21" s="1867" t="s">
        <v>2081</v>
      </c>
      <c r="H21" s="1878">
        <f t="shared" si="0"/>
        <v>5</v>
      </c>
      <c r="I21" s="1878">
        <f t="shared" si="1"/>
        <v>5</v>
      </c>
      <c r="J21" s="1878">
        <f t="shared" si="2"/>
        <v>0</v>
      </c>
    </row>
    <row r="22" spans="1:12" ht="12" customHeight="1" x14ac:dyDescent="0.2">
      <c r="A22" s="1863" t="s">
        <v>1530</v>
      </c>
      <c r="B22" s="1864"/>
      <c r="C22" s="1865" t="s">
        <v>2066</v>
      </c>
      <c r="D22" s="1865" t="s">
        <v>2066</v>
      </c>
      <c r="E22" s="1868"/>
      <c r="F22" s="1867" t="s">
        <v>2081</v>
      </c>
      <c r="H22" s="1878">
        <f t="shared" si="0"/>
        <v>5</v>
      </c>
      <c r="I22" s="1878">
        <f t="shared" si="1"/>
        <v>5</v>
      </c>
      <c r="J22" s="1878">
        <f t="shared" si="2"/>
        <v>0</v>
      </c>
    </row>
    <row r="23" spans="1:12" ht="12" customHeight="1" x14ac:dyDescent="0.2">
      <c r="A23" s="1863" t="s">
        <v>1531</v>
      </c>
      <c r="B23" s="1864"/>
      <c r="C23" s="1865" t="s">
        <v>2066</v>
      </c>
      <c r="D23" s="1865" t="s">
        <v>2066</v>
      </c>
      <c r="E23" s="1868"/>
      <c r="F23" s="1867" t="s">
        <v>2081</v>
      </c>
      <c r="H23" s="1878">
        <f t="shared" si="0"/>
        <v>5</v>
      </c>
      <c r="I23" s="1878">
        <f t="shared" si="1"/>
        <v>5</v>
      </c>
      <c r="J23" s="1878">
        <f t="shared" si="2"/>
        <v>0</v>
      </c>
    </row>
    <row r="24" spans="1:12" ht="12" customHeight="1" x14ac:dyDescent="0.2">
      <c r="A24" s="1863" t="s">
        <v>1532</v>
      </c>
      <c r="B24" s="1864"/>
      <c r="C24" s="1865" t="s">
        <v>2066</v>
      </c>
      <c r="D24" s="1865" t="s">
        <v>2066</v>
      </c>
      <c r="E24" s="1868"/>
      <c r="F24" s="1867" t="s">
        <v>2084</v>
      </c>
      <c r="H24" s="1878">
        <f t="shared" si="0"/>
        <v>5</v>
      </c>
      <c r="I24" s="1878">
        <f t="shared" si="1"/>
        <v>5</v>
      </c>
      <c r="J24" s="1878">
        <f t="shared" si="2"/>
        <v>0</v>
      </c>
    </row>
    <row r="25" spans="1:12" ht="12" customHeight="1" x14ac:dyDescent="0.2">
      <c r="A25" s="1863" t="s">
        <v>1533</v>
      </c>
      <c r="B25" s="1864"/>
      <c r="C25" s="1865" t="s">
        <v>2066</v>
      </c>
      <c r="D25" s="1865" t="s">
        <v>2066</v>
      </c>
      <c r="E25" s="1868"/>
      <c r="F25" s="1867" t="s">
        <v>2081</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t="s">
        <v>2066</v>
      </c>
      <c r="D27" s="1865" t="s">
        <v>2066</v>
      </c>
      <c r="E27" s="1868"/>
      <c r="F27" s="1867" t="s">
        <v>2081</v>
      </c>
      <c r="H27" s="1878">
        <f t="shared" si="0"/>
        <v>5</v>
      </c>
      <c r="I27" s="1878">
        <f t="shared" si="1"/>
        <v>5</v>
      </c>
      <c r="J27" s="1878">
        <f t="shared" si="2"/>
        <v>0</v>
      </c>
    </row>
    <row r="28" spans="1:12" ht="12" customHeight="1" x14ac:dyDescent="0.2">
      <c r="A28" s="1863" t="s">
        <v>1536</v>
      </c>
      <c r="B28" s="1864"/>
      <c r="C28" s="1865" t="s">
        <v>2066</v>
      </c>
      <c r="D28" s="1865" t="s">
        <v>2066</v>
      </c>
      <c r="E28" s="1868"/>
      <c r="F28" s="1867" t="s">
        <v>2083</v>
      </c>
      <c r="H28" s="1878">
        <f t="shared" si="0"/>
        <v>5</v>
      </c>
      <c r="I28" s="1878">
        <f t="shared" si="1"/>
        <v>5</v>
      </c>
      <c r="J28" s="1878">
        <f t="shared" si="2"/>
        <v>0</v>
      </c>
    </row>
    <row r="29" spans="1:12" ht="12" customHeight="1" x14ac:dyDescent="0.2">
      <c r="A29" s="1863" t="s">
        <v>1537</v>
      </c>
      <c r="B29" s="1864"/>
      <c r="C29" s="1865" t="s">
        <v>2066</v>
      </c>
      <c r="D29" s="1865" t="s">
        <v>2066</v>
      </c>
      <c r="E29" s="1868"/>
      <c r="F29" s="1867" t="s">
        <v>2081</v>
      </c>
      <c r="H29" s="1878">
        <f t="shared" si="0"/>
        <v>5</v>
      </c>
      <c r="I29" s="1878">
        <f t="shared" si="1"/>
        <v>5</v>
      </c>
      <c r="J29" s="1878">
        <f t="shared" si="2"/>
        <v>0</v>
      </c>
    </row>
    <row r="30" spans="1:12" ht="12" customHeight="1" x14ac:dyDescent="0.2">
      <c r="A30" s="1863" t="s">
        <v>1538</v>
      </c>
      <c r="B30" s="1864"/>
      <c r="C30" s="1865" t="s">
        <v>2066</v>
      </c>
      <c r="D30" s="1865" t="s">
        <v>2066</v>
      </c>
      <c r="E30" s="1868"/>
      <c r="F30" s="1867" t="s">
        <v>2081</v>
      </c>
      <c r="H30" s="1878">
        <f t="shared" si="0"/>
        <v>5</v>
      </c>
      <c r="I30" s="1878">
        <f t="shared" si="1"/>
        <v>5</v>
      </c>
      <c r="J30" s="1878">
        <f t="shared" si="2"/>
        <v>0</v>
      </c>
    </row>
    <row r="31" spans="1:12" ht="12" customHeight="1" x14ac:dyDescent="0.2">
      <c r="A31" s="1863" t="s">
        <v>1539</v>
      </c>
      <c r="B31" s="1864"/>
      <c r="C31" s="1865" t="s">
        <v>2066</v>
      </c>
      <c r="D31" s="1865" t="s">
        <v>2066</v>
      </c>
      <c r="E31" s="1868"/>
      <c r="F31" s="1867" t="s">
        <v>2082</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85</v>
      </c>
      <c r="I34" s="1878">
        <f>SUM(I11:I32)</f>
        <v>85</v>
      </c>
      <c r="J34" s="1878">
        <f>SUM(J11:J32)</f>
        <v>0</v>
      </c>
      <c r="K34" s="1878">
        <f>SUM(H34:J34)</f>
        <v>170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70C0"/>
  </sheetPr>
  <dimension ref="A1:Q40"/>
  <sheetViews>
    <sheetView showGridLines="0" defaultGridColor="0" topLeftCell="A4"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United Twp Area Career Ctr</v>
      </c>
      <c r="J6" s="2318"/>
      <c r="Q6" s="1664"/>
    </row>
    <row r="7" spans="1:17" x14ac:dyDescent="0.2">
      <c r="A7" s="2319" t="s">
        <v>869</v>
      </c>
      <c r="B7" s="2320"/>
      <c r="C7" s="2320"/>
      <c r="D7" s="2320"/>
      <c r="E7" s="2321"/>
      <c r="F7" s="1017"/>
      <c r="G7" s="1009"/>
      <c r="H7" s="1016" t="s">
        <v>372</v>
      </c>
      <c r="I7" s="2322">
        <f>COVER!A13</f>
        <v>49081030041</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92046</v>
      </c>
      <c r="F13" s="1039"/>
      <c r="G13" s="1811">
        <f t="shared" si="0"/>
        <v>92046</v>
      </c>
      <c r="H13" s="1040">
        <v>99423</v>
      </c>
      <c r="I13" s="1039"/>
      <c r="J13" s="1811">
        <f t="shared" si="1"/>
        <v>99423</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92046</v>
      </c>
      <c r="F19" s="1813">
        <f t="shared" si="2"/>
        <v>0</v>
      </c>
      <c r="G19" s="1813">
        <f t="shared" si="2"/>
        <v>92046</v>
      </c>
      <c r="H19" s="1813">
        <f t="shared" si="2"/>
        <v>99423</v>
      </c>
      <c r="I19" s="1813">
        <f t="shared" si="2"/>
        <v>0</v>
      </c>
      <c r="J19" s="1813">
        <f t="shared" si="2"/>
        <v>99423</v>
      </c>
    </row>
    <row r="20" spans="1:10" ht="13.5" thickTop="1" x14ac:dyDescent="0.2">
      <c r="A20" s="1035">
        <v>9</v>
      </c>
      <c r="B20" s="2329" t="s">
        <v>1976</v>
      </c>
      <c r="C20" s="2329"/>
      <c r="D20" s="2330"/>
      <c r="E20" s="1046"/>
      <c r="F20" s="1046"/>
      <c r="G20" s="1046"/>
      <c r="H20" s="1046"/>
      <c r="I20" s="1046"/>
      <c r="J20" s="1814">
        <f>IF(AND(G19&gt;0,J19&gt;0),(((J19-G19)/G19)),"Enter Budget Data")</f>
        <v>8.0144710253568868E-2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1978</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70C0"/>
  </sheetPr>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2085</v>
      </c>
    </row>
    <row r="6" spans="1:2" x14ac:dyDescent="0.2">
      <c r="A6" s="1068">
        <v>2</v>
      </c>
      <c r="B6" s="329" t="s">
        <v>2107</v>
      </c>
    </row>
    <row r="7" spans="1:2" x14ac:dyDescent="0.2">
      <c r="A7" s="1068">
        <v>3</v>
      </c>
      <c r="B7" s="329" t="s">
        <v>2108</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United Twp Area Career Ctr</v>
      </c>
    </row>
    <row r="65" spans="2:2" x14ac:dyDescent="0.2">
      <c r="B65" s="1070">
        <f>COVER!A13</f>
        <v>49081030041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I84"/>
  <sheetViews>
    <sheetView showGridLines="0" topLeftCell="A28" zoomScale="110" zoomScaleNormal="110" workbookViewId="0">
      <selection activeCell="T26" sqref="T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70C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70C0"/>
  </sheetPr>
  <dimension ref="A11:F18"/>
  <sheetViews>
    <sheetView showGridLines="0" zoomScale="110" zoomScaleNormal="110" workbookViewId="0">
      <selection activeCell="H8" sqref="H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autoPict="0" r:id="rId5">
            <anchor moveWithCells="1">
              <from>
                <xdr:col>1</xdr:col>
                <xdr:colOff>200025</xdr:colOff>
                <xdr:row>2</xdr:row>
                <xdr:rowOff>57150</xdr:rowOff>
              </from>
              <to>
                <xdr:col>1</xdr:col>
                <xdr:colOff>1095375</xdr:colOff>
                <xdr:row>6</xdr:row>
                <xdr:rowOff>57150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autoPict="0" r:id="rId7">
            <anchor moveWithCells="1">
              <from>
                <xdr:col>1</xdr:col>
                <xdr:colOff>1257300</xdr:colOff>
                <xdr:row>2</xdr:row>
                <xdr:rowOff>66675</xdr:rowOff>
              </from>
              <to>
                <xdr:col>1</xdr:col>
                <xdr:colOff>2143125</xdr:colOff>
                <xdr:row>6</xdr:row>
                <xdr:rowOff>66675</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autoPict="0" r:id="rId9">
            <anchor moveWithCells="1">
              <from>
                <xdr:col>1</xdr:col>
                <xdr:colOff>2333625</xdr:colOff>
                <xdr:row>2</xdr:row>
                <xdr:rowOff>76200</xdr:rowOff>
              </from>
              <to>
                <xdr:col>1</xdr:col>
                <xdr:colOff>3228975</xdr:colOff>
                <xdr:row>6</xdr:row>
                <xdr:rowOff>76200</xdr:rowOff>
              </to>
            </anchor>
          </objectPr>
        </oleObject>
      </mc:Choice>
      <mc:Fallback>
        <oleObject progId="AcroExch.Document.7"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70C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1982</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1983</v>
      </c>
      <c r="B4" s="2357"/>
      <c r="C4" s="2357"/>
      <c r="D4" s="2357"/>
      <c r="E4" s="2357"/>
      <c r="F4" s="2358"/>
      <c r="G4" s="1074"/>
      <c r="H4" s="1074"/>
    </row>
    <row r="5" spans="1:8" ht="14.25" customHeight="1" x14ac:dyDescent="0.2">
      <c r="A5" s="2359" t="s">
        <v>1979</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1091665</v>
      </c>
      <c r="C8" s="1815">
        <f>'Acct Summary 7-8'!D8</f>
        <v>0</v>
      </c>
      <c r="D8" s="1815">
        <f>'Acct Summary 7-8'!F8</f>
        <v>64766</v>
      </c>
      <c r="E8" s="1815">
        <f>'Acct Summary 7-8'!I8</f>
        <v>0</v>
      </c>
      <c r="F8" s="1815">
        <f>SUM(B8:E8)</f>
        <v>1156431</v>
      </c>
    </row>
    <row r="9" spans="1:8" s="1079" customFormat="1" ht="14.25" customHeight="1" thickBot="1" x14ac:dyDescent="0.25">
      <c r="A9" s="1078" t="s">
        <v>1369</v>
      </c>
      <c r="B9" s="1816">
        <f>'Acct Summary 7-8'!C17</f>
        <v>1152495</v>
      </c>
      <c r="C9" s="1816">
        <f>'Acct Summary 7-8'!D17</f>
        <v>0</v>
      </c>
      <c r="D9" s="1816">
        <f>'Acct Summary 7-8'!F17</f>
        <v>64766</v>
      </c>
      <c r="E9" s="1815"/>
      <c r="F9" s="1815">
        <f>SUM(B9:E9)</f>
        <v>1217261</v>
      </c>
    </row>
    <row r="10" spans="1:8" s="1079" customFormat="1" ht="14.25" thickTop="1" thickBot="1" x14ac:dyDescent="0.25">
      <c r="A10" s="1080" t="s">
        <v>1370</v>
      </c>
      <c r="B10" s="1817">
        <f>(B8-B9)</f>
        <v>-60830</v>
      </c>
      <c r="C10" s="1817">
        <f>(C8-C9)</f>
        <v>0</v>
      </c>
      <c r="D10" s="1817">
        <f>(D8-D9)</f>
        <v>0</v>
      </c>
      <c r="E10" s="1816">
        <f>(E8-E9)</f>
        <v>0</v>
      </c>
      <c r="F10" s="1818">
        <f>SUM(F8-F9)</f>
        <v>-60830</v>
      </c>
    </row>
    <row r="11" spans="1:8" s="1079" customFormat="1" ht="14.25" thickTop="1" thickBot="1" x14ac:dyDescent="0.25">
      <c r="A11" s="1081" t="s">
        <v>1980</v>
      </c>
      <c r="B11" s="1819">
        <f>'Acct Summary 7-8'!C81</f>
        <v>473815</v>
      </c>
      <c r="C11" s="1819">
        <f>'Acct Summary 7-8'!D81</f>
        <v>0</v>
      </c>
      <c r="D11" s="1819">
        <f>'Acct Summary 7-8'!F81</f>
        <v>0</v>
      </c>
      <c r="E11" s="1819">
        <f>'Acct Summary 7-8'!I81</f>
        <v>0</v>
      </c>
      <c r="F11" s="1820">
        <f>SUM(B11:E11)</f>
        <v>473815</v>
      </c>
    </row>
    <row r="12" spans="1:8" ht="16.5" customHeight="1" thickTop="1" x14ac:dyDescent="0.2">
      <c r="A12" s="1082"/>
      <c r="B12" s="1083"/>
      <c r="C12" s="2341" t="str">
        <f>IF(AND(F10&lt;0,F11&gt;=0,ABS(F10*3)&gt;ABS(F11)),A16,IF(AND(F10&lt;0,F11&gt;0,ABS(F10*3)&lt;=ABS(F11)),A17,IF(AND(F10&lt;0,F11&lt;0),A16,IF(F11=0,A19,A18))))</f>
        <v>Unbalanced -  however, a deficit reduction plan is not required at this time.</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D29" sqref="D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ENTER ACCOUNTING INFO</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ENTRY IS REQUIRED!</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29'!D143&gt;0,"OK","PLEASE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49081030041</v>
      </c>
    </row>
    <row r="3" spans="1:2" x14ac:dyDescent="0.2">
      <c r="A3" t="s">
        <v>956</v>
      </c>
      <c r="B3" s="138" t="str">
        <f>COVER!A15</f>
        <v>Rock Island</v>
      </c>
    </row>
    <row r="4" spans="1:2" x14ac:dyDescent="0.2">
      <c r="A4" t="s">
        <v>1007</v>
      </c>
      <c r="B4" s="138" t="str">
        <f>COVER!A17</f>
        <v>United Twp Area Career Ctr</v>
      </c>
    </row>
    <row r="5" spans="1:2" x14ac:dyDescent="0.2">
      <c r="A5" t="s">
        <v>704</v>
      </c>
      <c r="B5" s="138" t="str">
        <f>COVER!A38</f>
        <v>Dr. Jay Morrow</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066.004397</v>
      </c>
    </row>
    <row r="16" spans="1:2" x14ac:dyDescent="0.2">
      <c r="A16" t="s">
        <v>422</v>
      </c>
      <c r="B16" s="138" t="str">
        <f>COVER!T13</f>
        <v>Bohnsack &amp; Frommelt, LLP</v>
      </c>
    </row>
    <row r="17" spans="1:2" x14ac:dyDescent="0.2">
      <c r="A17" t="s">
        <v>884</v>
      </c>
      <c r="B17" s="138" t="str">
        <f>COVER!T15</f>
        <v>Sarah Bohnsack</v>
      </c>
    </row>
    <row r="18" spans="1:2" x14ac:dyDescent="0.2">
      <c r="A18" t="s">
        <v>1150</v>
      </c>
      <c r="B18" s="138" t="str">
        <f>COVER!T17</f>
        <v>1500 River Dr. Suite 200</v>
      </c>
    </row>
    <row r="19" spans="1:2" x14ac:dyDescent="0.2">
      <c r="A19" t="s">
        <v>886</v>
      </c>
      <c r="B19" s="138" t="str">
        <f>COVER!T25</f>
        <v>sarah@governmentalservice.com</v>
      </c>
    </row>
    <row r="20" spans="1:2" x14ac:dyDescent="0.2">
      <c r="A20" t="s">
        <v>887</v>
      </c>
      <c r="B20" s="138" t="str">
        <f>COVER!T19</f>
        <v>Moline</v>
      </c>
    </row>
    <row r="21" spans="1:2" x14ac:dyDescent="0.2">
      <c r="A21" t="s">
        <v>479</v>
      </c>
      <c r="B21" s="138" t="str">
        <f>COVER!X19</f>
        <v>IL</v>
      </c>
    </row>
    <row r="22" spans="1:2" x14ac:dyDescent="0.2">
      <c r="A22" t="s">
        <v>888</v>
      </c>
      <c r="B22" s="138">
        <f>COVER!Z19</f>
        <v>61265</v>
      </c>
    </row>
    <row r="23" spans="1:2" x14ac:dyDescent="0.2">
      <c r="A23" t="s">
        <v>1152</v>
      </c>
      <c r="B23" s="138" t="str">
        <f>COVER!T21</f>
        <v>563-343-9595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533983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60168</v>
      </c>
      <c r="C91" s="2" t="s">
        <v>573</v>
      </c>
      <c r="D91" s="2" t="str">
        <f t="shared" si="0"/>
        <v>Error?</v>
      </c>
    </row>
    <row r="92" spans="1:4" x14ac:dyDescent="0.2">
      <c r="A92" s="5">
        <v>31</v>
      </c>
      <c r="B92" s="138">
        <f>'Assets-Liab 5-6'!C39</f>
        <v>473815</v>
      </c>
      <c r="D92" s="2" t="str">
        <f t="shared" si="0"/>
        <v>Error?</v>
      </c>
    </row>
    <row r="93" spans="1:4" x14ac:dyDescent="0.2">
      <c r="A93" s="5">
        <v>32</v>
      </c>
      <c r="B93" s="138">
        <f>'Assets-Liab 5-6'!C41</f>
        <v>533983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102401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102401</v>
      </c>
      <c r="C279" s="2" t="s">
        <v>573</v>
      </c>
      <c r="D279" s="2" t="str">
        <f t="shared" si="3"/>
        <v>Error?</v>
      </c>
    </row>
    <row r="280" spans="1:4" x14ac:dyDescent="0.2">
      <c r="A280" s="5">
        <v>219</v>
      </c>
      <c r="B280" s="138">
        <f>'Assets-Liab 5-6'!M40</f>
        <v>102401</v>
      </c>
      <c r="D280" s="2" t="str">
        <f t="shared" si="3"/>
        <v>Error?</v>
      </c>
    </row>
    <row r="281" spans="1:4" x14ac:dyDescent="0.2">
      <c r="A281" s="5">
        <v>220</v>
      </c>
      <c r="B281" s="138">
        <f>'Assets-Liab 5-6'!M41</f>
        <v>102401</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548020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548020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58400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58400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606420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130499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130499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16537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16537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147036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120476</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120476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16342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98172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98172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114514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234990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72326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72326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767</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30646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30646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31413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103739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3851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3851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3851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45520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45520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10939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56459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920692</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920692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92046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128818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128818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220864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10939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1152495</v>
      </c>
      <c r="C1152" s="2" t="s">
        <v>573</v>
      </c>
      <c r="D1152" s="2" t="str">
        <f t="shared" si="17"/>
        <v>Error?</v>
      </c>
    </row>
    <row r="1153" spans="1:4" x14ac:dyDescent="0.2">
      <c r="A1153" s="5">
        <v>1092</v>
      </c>
      <c r="B1153" s="138">
        <f>'Expenditures 15-22'!K115</f>
        <v>-60830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63644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63644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63644</v>
      </c>
      <c r="C1353" s="2" t="s">
        <v>573</v>
      </c>
      <c r="D1353" s="2" t="str">
        <f t="shared" si="20"/>
        <v>Error?</v>
      </c>
    </row>
    <row r="1354" spans="1:4" x14ac:dyDescent="0.2">
      <c r="A1354" s="5">
        <v>1293</v>
      </c>
      <c r="B1354" s="138">
        <f>'Expenditures 15-22'!F182</f>
        <v>1122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1122</v>
      </c>
      <c r="C1358" s="2" t="s">
        <v>573</v>
      </c>
      <c r="D1358" s="2" t="str">
        <f t="shared" si="20"/>
        <v>Error?</v>
      </c>
    </row>
    <row r="1359" spans="1:4" x14ac:dyDescent="0.2">
      <c r="A1359" s="5">
        <v>1298</v>
      </c>
      <c r="B1359" s="138">
        <f>'Expenditures 15-22'!F210</f>
        <v>1122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64766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64766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64766</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599720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473815</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52126</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221362</v>
      </c>
      <c r="D2011" s="2" t="str">
        <f t="shared" si="30"/>
        <v>Error?</v>
      </c>
    </row>
    <row r="2012" spans="1:4" x14ac:dyDescent="0.2">
      <c r="A2012" s="5">
        <v>1951</v>
      </c>
      <c r="B2012" s="138">
        <f>'Cap Outlay Deprec 26'!C13</f>
        <v>80676</v>
      </c>
      <c r="D2012" s="2" t="str">
        <f t="shared" si="30"/>
        <v>Error?</v>
      </c>
    </row>
    <row r="2013" spans="1:4" x14ac:dyDescent="0.2">
      <c r="A2013" s="5">
        <v>1952</v>
      </c>
      <c r="B2013" s="138">
        <f>'Cap Outlay Deprec 26'!C16</f>
        <v>354164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5327</v>
      </c>
      <c r="D2024" s="2" t="str">
        <f t="shared" si="30"/>
        <v>Error?</v>
      </c>
    </row>
    <row r="2025" spans="1:4" x14ac:dyDescent="0.2">
      <c r="A2025" s="5">
        <v>1964</v>
      </c>
      <c r="B2025" s="138">
        <f>'Cap Outlay Deprec 26'!E16</f>
        <v>5327</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52126</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221362</v>
      </c>
      <c r="C2029" s="2" t="s">
        <v>573</v>
      </c>
      <c r="D2029" s="2" t="str">
        <f t="shared" si="30"/>
        <v>Error?</v>
      </c>
    </row>
    <row r="2030" spans="1:4" x14ac:dyDescent="0.2">
      <c r="A2030" s="5">
        <v>1969</v>
      </c>
      <c r="B2030" s="138">
        <f>'Cap Outlay Deprec 26'!F13</f>
        <v>75349</v>
      </c>
      <c r="C2030" s="2" t="s">
        <v>573</v>
      </c>
      <c r="D2030" s="2" t="str">
        <f t="shared" si="30"/>
        <v>Error?</v>
      </c>
    </row>
    <row r="2031" spans="1:4" x14ac:dyDescent="0.2">
      <c r="A2031" s="5">
        <v>1970</v>
      </c>
      <c r="B2031" s="138">
        <f>'Cap Outlay Deprec 26'!F16</f>
        <v>348837</v>
      </c>
      <c r="C2031" s="2" t="s">
        <v>573</v>
      </c>
      <c r="D2031" s="2" t="str">
        <f t="shared" si="30"/>
        <v>Error?</v>
      </c>
    </row>
    <row r="2032" spans="1:4" x14ac:dyDescent="0.2">
      <c r="A2032" s="10">
        <v>1971</v>
      </c>
      <c r="D2032" s="2" t="str">
        <f t="shared" si="30"/>
        <v>OK</v>
      </c>
    </row>
    <row r="2033" spans="1:4" x14ac:dyDescent="0.2">
      <c r="A2033" s="5">
        <v>1972</v>
      </c>
      <c r="B2033" s="138">
        <f>'Cap Outlay Deprec 26'!H8</f>
        <v>19638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174884</v>
      </c>
      <c r="D2035" s="2" t="str">
        <f t="shared" si="30"/>
        <v>Error?</v>
      </c>
    </row>
    <row r="2036" spans="1:4" x14ac:dyDescent="0.2">
      <c r="A2036" s="5">
        <v>1975</v>
      </c>
      <c r="B2036" s="138">
        <f>'Cap Outlay Deprec 26'!H13</f>
        <v>45195</v>
      </c>
      <c r="D2036" s="2" t="str">
        <f t="shared" si="30"/>
        <v>Error?</v>
      </c>
    </row>
    <row r="2037" spans="1:4" x14ac:dyDescent="0.2">
      <c r="A2037" s="5">
        <v>1976</v>
      </c>
      <c r="B2037" s="138">
        <f>'Cap Outlay Deprec 26'!H16</f>
        <v>239717</v>
      </c>
      <c r="C2037" s="2" t="s">
        <v>573</v>
      </c>
      <c r="D2037" s="2" t="str">
        <f t="shared" si="30"/>
        <v>Error?</v>
      </c>
    </row>
    <row r="2038" spans="1:4" x14ac:dyDescent="0.2">
      <c r="A2038" s="10">
        <v>1977</v>
      </c>
      <c r="D2038" s="2" t="str">
        <f t="shared" si="30"/>
        <v>OK</v>
      </c>
    </row>
    <row r="2039" spans="1:4" x14ac:dyDescent="0.2">
      <c r="A2039" s="5">
        <v>1978</v>
      </c>
      <c r="B2039" s="138">
        <f>'Cap Outlay Deprec 26'!I8</f>
        <v>1043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8262</v>
      </c>
      <c r="D2041" s="2" t="str">
        <f t="shared" si="30"/>
        <v>Error?</v>
      </c>
    </row>
    <row r="2042" spans="1:4" x14ac:dyDescent="0.2">
      <c r="A2042" s="5">
        <v>1981</v>
      </c>
      <c r="B2042" s="138">
        <f>'Cap Outlay Deprec 26'!I13</f>
        <v>2741</v>
      </c>
      <c r="D2042" s="2" t="str">
        <f t="shared" si="30"/>
        <v>Error?</v>
      </c>
    </row>
    <row r="2043" spans="1:4" x14ac:dyDescent="0.2">
      <c r="A2043" s="5">
        <v>1982</v>
      </c>
      <c r="B2043" s="138">
        <f>'Cap Outlay Deprec 26'!I16</f>
        <v>12046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5327</v>
      </c>
      <c r="D2048" s="2" t="str">
        <f t="shared" si="31"/>
        <v>Error?</v>
      </c>
    </row>
    <row r="2049" spans="1:4" x14ac:dyDescent="0.2">
      <c r="A2049" s="5">
        <v>1988</v>
      </c>
      <c r="B2049" s="138">
        <f>'Cap Outlay Deprec 26'!J16</f>
        <v>5327</v>
      </c>
      <c r="C2049" s="2" t="s">
        <v>573</v>
      </c>
      <c r="D2049" s="2" t="str">
        <f t="shared" si="31"/>
        <v>Error?</v>
      </c>
    </row>
    <row r="2050" spans="1:4" x14ac:dyDescent="0.2">
      <c r="A2050" s="10">
        <v>1989</v>
      </c>
      <c r="D2050" s="2" t="str">
        <f t="shared" si="31"/>
        <v>OK</v>
      </c>
    </row>
    <row r="2051" spans="1:4" x14ac:dyDescent="0.2">
      <c r="A2051" s="5">
        <v>1990</v>
      </c>
      <c r="B2051" s="138">
        <f>'Cap Outlay Deprec 26'!K8</f>
        <v>20681</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183146</v>
      </c>
      <c r="C2053" s="2" t="s">
        <v>573</v>
      </c>
      <c r="D2053" s="2" t="str">
        <f t="shared" si="31"/>
        <v>Error?</v>
      </c>
    </row>
    <row r="2054" spans="1:4" x14ac:dyDescent="0.2">
      <c r="A2054" s="5">
        <v>1993</v>
      </c>
      <c r="B2054" s="138">
        <f>'Cap Outlay Deprec 26'!K13</f>
        <v>42609</v>
      </c>
      <c r="C2054" s="2" t="s">
        <v>573</v>
      </c>
      <c r="D2054" s="2" t="str">
        <f t="shared" si="31"/>
        <v>Error?</v>
      </c>
    </row>
    <row r="2055" spans="1:4" x14ac:dyDescent="0.2">
      <c r="A2055" s="5">
        <v>1994</v>
      </c>
      <c r="B2055" s="138">
        <f>'Cap Outlay Deprec 26'!K16</f>
        <v>246436</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31445</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38216</v>
      </c>
      <c r="C2059" s="2" t="s">
        <v>573</v>
      </c>
      <c r="D2059" s="2" t="str">
        <f t="shared" si="31"/>
        <v>Error?</v>
      </c>
    </row>
    <row r="2060" spans="1:4" x14ac:dyDescent="0.2">
      <c r="A2060" s="5">
        <v>1999</v>
      </c>
      <c r="B2060" s="138">
        <f>'Cap Outlay Deprec 26'!L13</f>
        <v>32740</v>
      </c>
      <c r="C2060" s="2" t="s">
        <v>573</v>
      </c>
      <c r="D2060" s="2" t="str">
        <f t="shared" si="31"/>
        <v>Error?</v>
      </c>
    </row>
    <row r="2061" spans="1:4" x14ac:dyDescent="0.2">
      <c r="A2061" s="5">
        <v>2000</v>
      </c>
      <c r="B2061" s="138">
        <f>'Cap Outlay Deprec 26'!L16</f>
        <v>102401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10939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10939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803758</v>
      </c>
      <c r="C2551" s="2" t="s">
        <v>573</v>
      </c>
      <c r="D2551" s="2" t="str">
        <f t="shared" si="38"/>
        <v>Error?</v>
      </c>
    </row>
    <row r="2552" spans="1:4" x14ac:dyDescent="0.2">
      <c r="A2552" s="10">
        <v>2491</v>
      </c>
      <c r="D2552" s="2" t="str">
        <f t="shared" si="38"/>
        <v>OK</v>
      </c>
    </row>
    <row r="2553" spans="1:4" x14ac:dyDescent="0.2">
      <c r="A2553" s="5">
        <v>2492</v>
      </c>
      <c r="B2553" s="138">
        <f>'Acct Summary 7-8'!C6</f>
        <v>287907</v>
      </c>
      <c r="C2553" s="2" t="s">
        <v>573</v>
      </c>
      <c r="D2553" s="2" t="str">
        <f t="shared" si="38"/>
        <v>Error?</v>
      </c>
    </row>
    <row r="2554" spans="1:4" x14ac:dyDescent="0.2">
      <c r="A2554" s="5">
        <v>2493</v>
      </c>
      <c r="B2554" s="138">
        <f>'Acct Summary 7-8'!C7</f>
        <v>0</v>
      </c>
      <c r="C2554" s="2" t="s">
        <v>573</v>
      </c>
      <c r="D2554" s="2" t="str">
        <f t="shared" si="38"/>
        <v>Error?</v>
      </c>
    </row>
    <row r="2555" spans="1:4" x14ac:dyDescent="0.2">
      <c r="A2555" s="5">
        <v>2494</v>
      </c>
      <c r="B2555" s="138">
        <f>'Acct Summary 7-8'!C8</f>
        <v>1091665</v>
      </c>
      <c r="C2555" s="2" t="s">
        <v>573</v>
      </c>
      <c r="D2555" s="2" t="str">
        <f t="shared" si="38"/>
        <v>Error?</v>
      </c>
    </row>
    <row r="2556" spans="1:4" x14ac:dyDescent="0.2">
      <c r="A2556" s="5">
        <v>2495</v>
      </c>
      <c r="B2556" s="138">
        <f>'Acct Summary 7-8'!C12</f>
        <v>920692</v>
      </c>
      <c r="C2556" s="2" t="s">
        <v>573</v>
      </c>
      <c r="D2556" s="2" t="str">
        <f t="shared" si="38"/>
        <v>Error?</v>
      </c>
    </row>
    <row r="2557" spans="1:4" x14ac:dyDescent="0.2">
      <c r="A2557" s="5">
        <v>2496</v>
      </c>
      <c r="B2557" s="138">
        <f>'Acct Summary 7-8'!C13</f>
        <v>220864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10939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1152495</v>
      </c>
      <c r="C2561" s="2" t="s">
        <v>573</v>
      </c>
      <c r="D2561" s="2" t="str">
        <f t="shared" si="39"/>
        <v>Error?</v>
      </c>
    </row>
    <row r="2562" spans="1:4" x14ac:dyDescent="0.2">
      <c r="A2562" s="5">
        <v>2501</v>
      </c>
      <c r="B2562" s="138">
        <f>'Acct Summary 7-8'!C20</f>
        <v>-60830</v>
      </c>
      <c r="C2562" s="2" t="s">
        <v>573</v>
      </c>
      <c r="D2562" s="2" t="str">
        <f t="shared" si="39"/>
        <v>Error?</v>
      </c>
    </row>
    <row r="2563" spans="1:4" x14ac:dyDescent="0.2">
      <c r="A2563" s="5">
        <v>2502</v>
      </c>
      <c r="B2563" s="138">
        <f>'Acct Summary 7-8'!C80</f>
        <v>-65075</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19047</v>
      </c>
      <c r="C2591" s="2" t="s">
        <v>573</v>
      </c>
      <c r="D2591" s="2" t="str">
        <f t="shared" si="39"/>
        <v>Error?</v>
      </c>
    </row>
    <row r="2592" spans="1:4" x14ac:dyDescent="0.2">
      <c r="A2592" s="10">
        <v>2531</v>
      </c>
      <c r="D2592" s="2" t="str">
        <f t="shared" si="39"/>
        <v>OK</v>
      </c>
    </row>
    <row r="2593" spans="1:4" x14ac:dyDescent="0.2">
      <c r="A2593" s="5">
        <v>2532</v>
      </c>
      <c r="B2593" s="138">
        <f>'Acct Summary 7-8'!F6</f>
        <v>45719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64766</v>
      </c>
      <c r="C2595" s="2" t="s">
        <v>573</v>
      </c>
      <c r="D2595" s="2" t="str">
        <f t="shared" si="39"/>
        <v>Error?</v>
      </c>
    </row>
    <row r="2596" spans="1:4" x14ac:dyDescent="0.2">
      <c r="A2596" s="5">
        <v>2535</v>
      </c>
      <c r="B2596" s="138">
        <f>'Acct Summary 7-8'!F13</f>
        <v>64766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64766</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58400</v>
      </c>
      <c r="D2718" s="2" t="str">
        <f t="shared" si="41"/>
        <v>Error?</v>
      </c>
    </row>
    <row r="2719" spans="1:4" x14ac:dyDescent="0.2">
      <c r="A2719" s="5">
        <v>2658</v>
      </c>
      <c r="B2719" s="138">
        <f>'Expenditures 15-22'!D51</f>
        <v>16537</v>
      </c>
      <c r="D2719" s="2" t="str">
        <f t="shared" si="41"/>
        <v>Error?</v>
      </c>
    </row>
    <row r="2720" spans="1:4" x14ac:dyDescent="0.2">
      <c r="A2720" s="5">
        <v>2659</v>
      </c>
      <c r="B2720" s="138">
        <f>'Expenditures 15-22'!E51</f>
        <v>16342</v>
      </c>
      <c r="D2720" s="2" t="str">
        <f t="shared" si="41"/>
        <v>Error?</v>
      </c>
    </row>
    <row r="2721" spans="1:4" x14ac:dyDescent="0.2">
      <c r="A2721" s="5">
        <v>2660</v>
      </c>
      <c r="B2721" s="138">
        <f>'Expenditures 15-22'!F51</f>
        <v>767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92046</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52188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52188</v>
      </c>
      <c r="D2914" s="2" t="str">
        <f t="shared" si="44"/>
        <v>Error?</v>
      </c>
    </row>
    <row r="2915" spans="1:4" x14ac:dyDescent="0.2">
      <c r="A2915" s="10">
        <v>2854</v>
      </c>
      <c r="D2915" s="2" t="str">
        <f t="shared" si="44"/>
        <v>OK</v>
      </c>
    </row>
    <row r="2916" spans="1:4" x14ac:dyDescent="0.2">
      <c r="A2916" s="5">
        <v>2855</v>
      </c>
      <c r="B2916" s="138">
        <f>'Assets-Liab 5-6'!L34</f>
        <v>52188</v>
      </c>
      <c r="C2916" s="2" t="s">
        <v>573</v>
      </c>
      <c r="D2916" s="2" t="str">
        <f t="shared" si="44"/>
        <v>Error?</v>
      </c>
    </row>
    <row r="2917" spans="1:4" x14ac:dyDescent="0.2">
      <c r="A2917" s="5">
        <v>2856</v>
      </c>
      <c r="B2917" s="138">
        <f>'Assets-Liab 5-6'!L41</f>
        <v>52188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10939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10939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-60830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434631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52188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1091665</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64766</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1152495</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64766</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473815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769053</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769053</v>
      </c>
      <c r="C5087" s="2" t="s">
        <v>573</v>
      </c>
      <c r="D5087" s="2" t="str">
        <f t="shared" si="78"/>
        <v>Error?</v>
      </c>
    </row>
    <row r="5088" spans="1:4" x14ac:dyDescent="0.2">
      <c r="A5088" s="5">
        <v>5027</v>
      </c>
      <c r="B5088" s="138">
        <f>'Revenues 9-14'!C65</f>
        <v>12189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12189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18987</v>
      </c>
      <c r="D5113" s="2" t="str">
        <f t="shared" si="78"/>
        <v>Error?</v>
      </c>
    </row>
    <row r="5114" spans="1:4" x14ac:dyDescent="0.2">
      <c r="A5114" s="5">
        <v>5053</v>
      </c>
      <c r="B5114" s="138">
        <f>'Revenues 9-14'!C96</f>
        <v>117</v>
      </c>
      <c r="D5114" s="2" t="str">
        <f t="shared" si="78"/>
        <v>Error?</v>
      </c>
    </row>
    <row r="5115" spans="1:4" x14ac:dyDescent="0.2">
      <c r="A5115" s="5">
        <v>5054</v>
      </c>
      <c r="B5115" s="138">
        <f>'Revenues 9-14'!C98</f>
        <v>412</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3000</v>
      </c>
      <c r="D5119" s="2" t="str">
        <f t="shared" ref="D5119:D5182" si="79">IF(ISBLANK(B5119),"OK",IF(A5119-B5119=0,"OK","Error?"))</f>
        <v>Error?</v>
      </c>
    </row>
    <row r="5120" spans="1:4" x14ac:dyDescent="0.2">
      <c r="A5120" s="5">
        <v>5059</v>
      </c>
      <c r="B5120" s="138">
        <f>'Revenues 9-14'!C108</f>
        <v>22516</v>
      </c>
      <c r="C5120" s="2" t="s">
        <v>573</v>
      </c>
      <c r="D5120" s="2" t="str">
        <f t="shared" si="79"/>
        <v>Error?</v>
      </c>
    </row>
    <row r="5121" spans="1:4" x14ac:dyDescent="0.2">
      <c r="A5121" s="5">
        <v>5060</v>
      </c>
      <c r="B5121" s="138">
        <f>'Revenues 9-14'!C109</f>
        <v>803758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287907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287907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287907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287907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0</v>
      </c>
      <c r="C5326" s="2" t="s">
        <v>573</v>
      </c>
      <c r="D5326" s="2" t="str">
        <f t="shared" si="82"/>
        <v>Error?</v>
      </c>
    </row>
    <row r="5327" spans="1:5" x14ac:dyDescent="0.2">
      <c r="A5327" s="5">
        <v>5266</v>
      </c>
      <c r="B5327" s="138">
        <f>'Revenues 9-14'!C268</f>
        <v>1091665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19047</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19047</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19047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45719</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45719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45719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45719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64766</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40467</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58885</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60168</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-125905</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-0.26572607452275676</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12046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29'!D143</f>
        <v>261256</v>
      </c>
      <c r="D7797" s="2" t="str">
        <f t="shared" si="127"/>
        <v>Error?</v>
      </c>
      <c r="E7797" s="4" t="s">
        <v>1900</v>
      </c>
    </row>
    <row r="7798" spans="1:5" x14ac:dyDescent="0.2">
      <c r="A7798">
        <v>7737</v>
      </c>
      <c r="B7798" s="138">
        <f>'Contracts Paid in CY 29'!F143</f>
        <v>133260</v>
      </c>
      <c r="D7798" s="2" t="str">
        <f t="shared" si="127"/>
        <v>Error?</v>
      </c>
      <c r="E7798" s="4" t="s">
        <v>1900</v>
      </c>
    </row>
    <row r="7799" spans="1:5" x14ac:dyDescent="0.2">
      <c r="A7799">
        <v>7738</v>
      </c>
      <c r="B7799" s="138">
        <f>'Contracts Paid in CY 29'!G143</f>
        <v>38644</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pageSetUpPr fitToPage="1"/>
  </sheetPr>
  <dimension ref="A1:AC59"/>
  <sheetViews>
    <sheetView showGridLines="0" showZeros="0" topLeftCell="A22" zoomScale="110" zoomScaleNormal="110" workbookViewId="0">
      <selection activeCell="A4" sqref="A4:L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1984</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United Twp Area Career Ctr</v>
      </c>
      <c r="B7" s="2404"/>
      <c r="C7" s="2404"/>
      <c r="D7" s="2405"/>
      <c r="E7" s="2406">
        <f>COVER!A13</f>
        <v>49081030041</v>
      </c>
      <c r="F7" s="2407"/>
      <c r="G7" s="2413" t="str">
        <f>COVER!T23</f>
        <v>066.004397</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Bohnsack &amp; Frommelt, LLP</v>
      </c>
      <c r="H9" s="2419"/>
      <c r="I9" s="2419"/>
      <c r="J9" s="2419"/>
      <c r="K9" s="2419"/>
      <c r="L9" s="2420"/>
    </row>
    <row r="10" spans="1:29" ht="13.5" customHeight="1" x14ac:dyDescent="0.2">
      <c r="A10" s="2393" t="str">
        <f>COVER!A38</f>
        <v>Dr. Jay Morrow</v>
      </c>
      <c r="B10" s="2394"/>
      <c r="C10" s="2394"/>
      <c r="D10" s="2394"/>
      <c r="E10" s="2394"/>
      <c r="F10" s="2395"/>
      <c r="G10" s="2387" t="str">
        <f>COVER!T17</f>
        <v>1500 River Dr. Suite 200</v>
      </c>
      <c r="H10" s="2388"/>
      <c r="I10" s="2388"/>
      <c r="J10" s="2388"/>
      <c r="K10" s="2388"/>
      <c r="L10" s="2389"/>
    </row>
    <row r="11" spans="1:29" ht="13.5" customHeight="1" x14ac:dyDescent="0.2">
      <c r="A11" s="1184" t="s">
        <v>1519</v>
      </c>
      <c r="B11" s="1185"/>
      <c r="C11" s="1186"/>
      <c r="D11" s="1191"/>
      <c r="E11" s="1186"/>
      <c r="F11" s="1190"/>
      <c r="G11" s="2387" t="str">
        <f>COVER!T19</f>
        <v>Moline</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sarah@governmentalservice.com</v>
      </c>
      <c r="J13" s="2400"/>
      <c r="K13" s="2400"/>
      <c r="L13" s="2401"/>
    </row>
    <row r="14" spans="1:29" ht="13.5" customHeight="1" x14ac:dyDescent="0.2">
      <c r="A14" s="2387" t="str">
        <f>COVER!A19</f>
        <v>1275 Avenue of the Cities</v>
      </c>
      <c r="B14" s="2388"/>
      <c r="C14" s="2388"/>
      <c r="D14" s="2388"/>
      <c r="E14" s="2388"/>
      <c r="F14" s="2389"/>
      <c r="G14" s="1195" t="s">
        <v>1185</v>
      </c>
      <c r="H14" s="1193"/>
      <c r="I14" s="1193"/>
      <c r="J14" s="1193"/>
      <c r="K14" s="1193"/>
      <c r="L14" s="1194"/>
    </row>
    <row r="15" spans="1:29" ht="13.5" customHeight="1" x14ac:dyDescent="0.2">
      <c r="A15" s="2387" t="str">
        <f>COVER!A21</f>
        <v>East Moline</v>
      </c>
      <c r="B15" s="2388"/>
      <c r="C15" s="2388"/>
      <c r="D15" s="2388"/>
      <c r="E15" s="2388"/>
      <c r="F15" s="2389"/>
      <c r="G15" s="2384" t="str">
        <f>COVER!T15</f>
        <v>Sarah Bohnsack</v>
      </c>
      <c r="H15" s="2385"/>
      <c r="I15" s="2385"/>
      <c r="J15" s="2385"/>
      <c r="K15" s="2385"/>
      <c r="L15" s="2386"/>
    </row>
    <row r="16" spans="1:29" ht="12.2" customHeight="1" x14ac:dyDescent="0.2">
      <c r="A16" s="2409">
        <f>COVER!A25</f>
        <v>61244</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563-343-9595</v>
      </c>
      <c r="H18" s="2404"/>
      <c r="I18" s="2404"/>
      <c r="J18" s="2404"/>
      <c r="K18" s="2403">
        <f>COVER!X21</f>
        <v>0</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K127"/>
  <sheetViews>
    <sheetView showGridLines="0" topLeftCell="A100" zoomScale="125" zoomScaleNormal="125" workbookViewId="0">
      <selection activeCell="A4" sqref="A4:F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United Twp Area Career Ctr</v>
      </c>
      <c r="B1" s="2402"/>
      <c r="C1" s="2402"/>
      <c r="D1" s="2402"/>
    </row>
    <row r="2" spans="1:11" s="1212" customFormat="1" ht="12.75" x14ac:dyDescent="0.2">
      <c r="A2" s="2426">
        <f>'Single Audit Cover'!E7</f>
        <v>49081030041</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E49"/>
  <sheetViews>
    <sheetView showGridLines="0" zoomScale="110" zoomScaleNormal="110" zoomScaleSheetLayoutView="100" workbookViewId="0">
      <selection activeCell="A4" sqref="A4:F4"/>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United Twp Area Career Ctr</v>
      </c>
      <c r="B1" s="2429"/>
      <c r="C1" s="2429"/>
      <c r="D1" s="2429"/>
      <c r="E1" s="2429"/>
    </row>
    <row r="2" spans="1:5" x14ac:dyDescent="0.2">
      <c r="A2" s="2430">
        <f>'Single Audit Cover'!E7</f>
        <v>49081030041</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0</v>
      </c>
    </row>
    <row r="19" spans="1:4" ht="13.5" thickBot="1" x14ac:dyDescent="0.25">
      <c r="A19" s="1262" t="s">
        <v>1235</v>
      </c>
      <c r="D19" s="1263">
        <f>SUM(D10:D17)</f>
        <v>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B1:N152"/>
  <sheetViews>
    <sheetView showGridLines="0" zoomScaleNormal="100" workbookViewId="0">
      <selection activeCell="A4" sqref="A4:M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United Twp Area Career Ctr</v>
      </c>
      <c r="C1" s="2433"/>
      <c r="D1" s="2433"/>
      <c r="E1" s="2433"/>
      <c r="F1" s="2433"/>
      <c r="G1" s="2433"/>
      <c r="H1" s="2433"/>
      <c r="I1" s="2433"/>
      <c r="J1" s="2433"/>
      <c r="K1" s="2433"/>
      <c r="L1" s="2433"/>
      <c r="M1" s="2433"/>
    </row>
    <row r="2" spans="2:14" ht="15" x14ac:dyDescent="0.2">
      <c r="B2" s="2434">
        <f>'Single Audit Cover'!E7</f>
        <v>49081030041</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G52"/>
  <sheetViews>
    <sheetView showGridLines="0" topLeftCell="A37" zoomScale="120" zoomScaleNormal="120" workbookViewId="0">
      <selection activeCell="B15" sqref="B1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United Twp Area Career Ctr</v>
      </c>
      <c r="B1" s="2446"/>
      <c r="C1" s="2446"/>
      <c r="D1" s="2446"/>
      <c r="E1" s="2446"/>
      <c r="F1" s="2446"/>
    </row>
    <row r="2" spans="1:7" ht="13.5" customHeight="1" x14ac:dyDescent="0.2">
      <c r="A2" s="2434">
        <f>'Single Audit Cover'!E7</f>
        <v>49081030041</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2089</v>
      </c>
      <c r="B7" s="2445"/>
      <c r="C7" s="2445"/>
      <c r="D7" s="2445"/>
      <c r="E7" s="2445"/>
      <c r="F7" s="244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2066</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3.45" customHeight="1" x14ac:dyDescent="0.2">
      <c r="A13" s="2445" t="s">
        <v>2088</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t="s">
        <v>2079</v>
      </c>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2087</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4"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70C0"/>
  </sheetPr>
  <dimension ref="A1:K143"/>
  <sheetViews>
    <sheetView showGridLines="0" defaultGridColor="0" topLeftCell="A97" colorId="8" zoomScale="110" zoomScaleNormal="110" workbookViewId="0">
      <selection activeCell="J117" sqref="J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2086</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J63"/>
  <sheetViews>
    <sheetView showGridLines="0" zoomScale="110" zoomScaleNormal="110" workbookViewId="0">
      <selection activeCell="P53" sqref="P5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United Twp Area Career Ctr</v>
      </c>
      <c r="C1" s="2461"/>
      <c r="D1" s="2461"/>
      <c r="E1" s="2461"/>
      <c r="F1" s="2461"/>
      <c r="G1" s="2461"/>
      <c r="H1" s="2461"/>
      <c r="I1" s="2461"/>
      <c r="J1" s="1406"/>
    </row>
    <row r="2" spans="2:10" s="317" customFormat="1" ht="12.75" customHeight="1" x14ac:dyDescent="0.2">
      <c r="B2" s="2462">
        <f>'Single Audit Cover'!E7</f>
        <v>49081030041</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t="s">
        <v>2078</v>
      </c>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2066</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2066</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2066</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2090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2090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t="s">
        <v>2090</v>
      </c>
      <c r="E29" s="2467"/>
      <c r="F29" s="2467"/>
      <c r="G29" s="2467"/>
      <c r="H29" s="2467"/>
      <c r="I29" s="2467"/>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2066</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8" t="s">
        <v>1748</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2059</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t="s">
        <v>2090</v>
      </c>
      <c r="F49" s="2455"/>
      <c r="G49" s="2455"/>
      <c r="H49" s="322"/>
    </row>
    <row r="51" spans="1:9" ht="13.5" customHeight="1" x14ac:dyDescent="0.2">
      <c r="B51" s="1365" t="s">
        <v>1272</v>
      </c>
      <c r="C51" s="1279"/>
      <c r="E51" s="1422"/>
      <c r="F51" s="1297" t="s">
        <v>885</v>
      </c>
      <c r="G51" s="1422" t="s">
        <v>2090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United Twp Area Career Ctr</v>
      </c>
      <c r="C1" s="2460"/>
      <c r="D1" s="2460"/>
      <c r="E1" s="2460"/>
      <c r="F1" s="2460"/>
      <c r="G1" s="2460"/>
      <c r="H1" s="2460"/>
      <c r="I1" s="2460"/>
      <c r="J1" s="2460"/>
      <c r="K1" s="2460"/>
      <c r="L1" s="1371"/>
      <c r="M1" s="1371"/>
    </row>
    <row r="2" spans="1:13" ht="12" customHeight="1" x14ac:dyDescent="0.2">
      <c r="B2" s="2462">
        <f>'Single Audit Cover'!E7</f>
        <v>49081030041</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2079</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United Twp Area Career Ctr</v>
      </c>
      <c r="C1" s="2483"/>
      <c r="D1" s="2483"/>
      <c r="E1" s="2483"/>
      <c r="F1" s="2483"/>
      <c r="G1" s="2483"/>
      <c r="H1" s="2483"/>
      <c r="I1" s="2483"/>
      <c r="J1" s="2483"/>
      <c r="K1" s="2483"/>
      <c r="L1" s="1449"/>
    </row>
    <row r="2" spans="1:12" ht="12.75" customHeight="1" x14ac:dyDescent="0.2">
      <c r="B2" s="2484">
        <f>'Single Audit Cover'!E7</f>
        <v>49081030041</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2079</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B1:E73"/>
  <sheetViews>
    <sheetView showGridLines="0" zoomScale="110" zoomScaleNormal="110" workbookViewId="0">
      <selection activeCell="G22" sqref="G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United Twp Area Career Ctr</v>
      </c>
      <c r="C1" s="2460"/>
      <c r="D1" s="2460"/>
      <c r="E1" s="1469"/>
    </row>
    <row r="2" spans="2:5" s="1279" customFormat="1" ht="12.75" customHeight="1" x14ac:dyDescent="0.2">
      <c r="B2" s="2462">
        <f>'Single Audit Cover'!E7</f>
        <v>49081030041</v>
      </c>
      <c r="C2" s="2462"/>
      <c r="D2" s="2462"/>
      <c r="E2" s="1470"/>
    </row>
    <row r="3" spans="2:5" ht="12.75" customHeight="1" x14ac:dyDescent="0.2">
      <c r="B3" s="2476" t="s">
        <v>1763</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2079</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70C0"/>
  </sheetPr>
  <dimension ref="A1:N72"/>
  <sheetViews>
    <sheetView showGridLines="0" defaultGridColor="0" topLeftCell="A7"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1156431</v>
      </c>
      <c r="E16" s="356"/>
      <c r="F16" s="1733">
        <f>SUM('Acct Summary 7-8'!C17,'Acct Summary 7-8'!D17,'Acct Summary 7-8'!F17)</f>
        <v>1217261</v>
      </c>
      <c r="G16" s="356"/>
      <c r="H16" s="1733">
        <f>SUM(D16-F16)</f>
        <v>-60830</v>
      </c>
      <c r="I16" s="222"/>
      <c r="J16" s="1733">
        <f>SUM('Acct Summary 7-8'!C81,'Acct Summary 7-8'!D81,'Acct Summary 7-8'!F81,'Acct Summary 7-8'!I81)</f>
        <v>473815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70C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United Twp Area Career Ctr</v>
      </c>
      <c r="E7" s="391"/>
      <c r="G7" s="252"/>
      <c r="H7" s="387"/>
      <c r="I7" s="387"/>
      <c r="J7" s="387"/>
      <c r="K7" s="387"/>
      <c r="L7" s="329"/>
      <c r="M7" s="329"/>
      <c r="N7" s="329"/>
      <c r="O7" s="329"/>
      <c r="P7" s="329"/>
    </row>
    <row r="8" spans="1:18" ht="12.75" x14ac:dyDescent="0.2">
      <c r="A8" s="329"/>
      <c r="B8" s="329"/>
      <c r="C8" s="389" t="s">
        <v>1125</v>
      </c>
      <c r="D8" s="392">
        <f>COVER!A13</f>
        <v>49081030041</v>
      </c>
      <c r="E8" s="393"/>
      <c r="G8" s="329"/>
      <c r="H8" s="329"/>
      <c r="I8" s="329"/>
      <c r="J8" s="329"/>
      <c r="K8" s="329"/>
      <c r="L8" s="329"/>
      <c r="M8" s="329"/>
      <c r="N8" s="329"/>
      <c r="O8" s="329"/>
      <c r="P8" s="329"/>
    </row>
    <row r="9" spans="1:18" ht="12.75" x14ac:dyDescent="0.2">
      <c r="A9" s="329"/>
      <c r="B9" s="329"/>
      <c r="C9" s="389" t="s">
        <v>713</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473815</v>
      </c>
      <c r="I12" s="404"/>
      <c r="J12" s="404"/>
      <c r="K12" s="405">
        <f>TRUNC((H12/H13*100000),5)/100000</f>
        <v>0.4097218078</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1156431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1217261</v>
      </c>
      <c r="I17" s="404"/>
      <c r="J17" s="416"/>
      <c r="K17" s="405">
        <f>TRUNC((H17/H18*100000),5)/100000</f>
        <v>1.0526014954</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1156431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5.8880799000000001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434631</v>
      </c>
      <c r="I24" s="422"/>
      <c r="J24" s="422"/>
      <c r="K24" s="423">
        <f>TRUNC(((H24/H25*100000)/100000),2)</f>
        <v>128.54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3381.2805600000002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N44"/>
  <sheetViews>
    <sheetView showGridLines="0" defaultGridColor="0" colorId="8" zoomScale="110" zoomScaleNormal="110" workbookViewId="0">
      <pane ySplit="2" topLeftCell="A3" activePane="bottomLeft" state="frozen"/>
      <selection pane="bottomLeft" activeCell="A22" sqref="A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434631</v>
      </c>
      <c r="D4" s="466"/>
      <c r="E4" s="466"/>
      <c r="F4" s="466"/>
      <c r="G4" s="466"/>
      <c r="H4" s="466"/>
      <c r="I4" s="466"/>
      <c r="J4" s="467"/>
      <c r="K4" s="466"/>
      <c r="L4" s="466">
        <v>52188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f>31450+9017</f>
        <v>40467</v>
      </c>
      <c r="D8" s="467"/>
      <c r="E8" s="467"/>
      <c r="F8" s="467"/>
      <c r="G8" s="478"/>
      <c r="H8" s="467"/>
      <c r="I8" s="474"/>
      <c r="J8" s="474"/>
      <c r="K8" s="479"/>
      <c r="L8" s="480"/>
      <c r="M8" s="468"/>
      <c r="N8" s="469"/>
    </row>
    <row r="9" spans="1:14" ht="13.5" customHeight="1" x14ac:dyDescent="0.2">
      <c r="A9" s="473" t="s">
        <v>270</v>
      </c>
      <c r="B9" s="470">
        <v>160</v>
      </c>
      <c r="C9" s="476">
        <v>58885</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533983</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52188</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102401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102401</v>
      </c>
      <c r="N23" s="1688">
        <f>SUM(N21:N22)</f>
        <v>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3103+57074-8-1</f>
        <v>60168</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52188</v>
      </c>
      <c r="M33" s="468"/>
      <c r="N33" s="469"/>
    </row>
    <row r="34" spans="1:14" ht="13.5" customHeight="1" thickBot="1" x14ac:dyDescent="0.25">
      <c r="A34" s="1738" t="s">
        <v>654</v>
      </c>
      <c r="B34" s="1739"/>
      <c r="C34" s="1740">
        <f>SUM(C25:C33)</f>
        <v>60168</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52188</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f>C13-C34</f>
        <v>473815</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102401</v>
      </c>
      <c r="N40" s="497"/>
    </row>
    <row r="41" spans="1:14" ht="13.5" customHeight="1" thickBot="1" x14ac:dyDescent="0.25">
      <c r="A41" s="1736" t="s">
        <v>655</v>
      </c>
      <c r="B41" s="1706"/>
      <c r="C41" s="1688">
        <f>(SUM(C34,C37,C38,C39))</f>
        <v>533983</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52188</v>
      </c>
      <c r="M41" s="1688">
        <f>SUM(M40)</f>
        <v>102401</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M87"/>
  <sheetViews>
    <sheetView showGridLines="0" defaultGridColor="0" colorId="8" zoomScale="110" zoomScaleNormal="110" zoomScaleSheetLayoutView="100" workbookViewId="0">
      <pane ySplit="2" topLeftCell="A66" activePane="bottomLeft" state="frozen"/>
      <selection pane="bottomLeft" activeCell="D80" sqref="D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803758</v>
      </c>
      <c r="D4" s="1742">
        <f>'Revenues 9-14'!D109</f>
        <v>0</v>
      </c>
      <c r="E4" s="1742">
        <f>'Revenues 9-14'!E109</f>
        <v>0</v>
      </c>
      <c r="F4" s="1742">
        <f>'Revenues 9-14'!F109</f>
        <v>19047</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287907</v>
      </c>
      <c r="D6" s="1743">
        <f>'Revenues 9-14'!D170</f>
        <v>0</v>
      </c>
      <c r="E6" s="1743">
        <f>'Revenues 9-14'!E170</f>
        <v>0</v>
      </c>
      <c r="F6" s="1743">
        <f>'Revenues 9-14'!F170</f>
        <v>45719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1091665</v>
      </c>
      <c r="D8" s="1688">
        <f t="shared" ref="D8:K8" si="0">SUM(D4:D7)</f>
        <v>0</v>
      </c>
      <c r="E8" s="1688">
        <f t="shared" si="0"/>
        <v>0</v>
      </c>
      <c r="F8" s="1688">
        <f t="shared" si="0"/>
        <v>64766</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c r="D9" s="516"/>
      <c r="E9" s="481"/>
      <c r="F9" s="481"/>
      <c r="G9" s="517"/>
      <c r="H9" s="481"/>
      <c r="I9" s="509" t="s">
        <v>1169</v>
      </c>
      <c r="J9" s="478"/>
      <c r="K9" s="481"/>
      <c r="L9" s="347"/>
    </row>
    <row r="10" spans="1:13" s="519" customFormat="1" ht="13.5" thickBot="1" x14ac:dyDescent="0.25">
      <c r="A10" s="1736" t="s">
        <v>1173</v>
      </c>
      <c r="B10" s="1709"/>
      <c r="C10" s="1688">
        <f>SUM(C8:C9)</f>
        <v>1091665</v>
      </c>
      <c r="D10" s="1688">
        <f t="shared" ref="D10:K10" si="1">SUM(D8:D9)</f>
        <v>0</v>
      </c>
      <c r="E10" s="1688">
        <f t="shared" si="1"/>
        <v>0</v>
      </c>
      <c r="F10" s="1688">
        <f t="shared" si="1"/>
        <v>64766</v>
      </c>
      <c r="G10" s="1688">
        <f t="shared" si="1"/>
        <v>0</v>
      </c>
      <c r="H10" s="1688">
        <f t="shared" si="1"/>
        <v>0</v>
      </c>
      <c r="I10" s="1688">
        <f t="shared" si="1"/>
        <v>0</v>
      </c>
      <c r="J10" s="1688">
        <f t="shared" si="1"/>
        <v>0</v>
      </c>
      <c r="K10" s="1688">
        <f t="shared" si="1"/>
        <v>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920692</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220864</v>
      </c>
      <c r="D13" s="1743">
        <f>'Expenditures 15-22'!K129</f>
        <v>0</v>
      </c>
      <c r="E13" s="469" t="s">
        <v>1169</v>
      </c>
      <c r="F13" s="1743">
        <f>'Expenditures 15-22'!K184</f>
        <v>64766</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10939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1152495</v>
      </c>
      <c r="D17" s="1688">
        <f t="shared" si="2"/>
        <v>0</v>
      </c>
      <c r="E17" s="1688">
        <f t="shared" si="2"/>
        <v>0</v>
      </c>
      <c r="F17" s="1688">
        <f t="shared" si="2"/>
        <v>64766</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1152495</v>
      </c>
      <c r="D19" s="1688">
        <f t="shared" si="4"/>
        <v>0</v>
      </c>
      <c r="E19" s="1688">
        <f t="shared" si="4"/>
        <v>0</v>
      </c>
      <c r="F19" s="1688">
        <f t="shared" si="4"/>
        <v>64766</v>
      </c>
      <c r="G19" s="1688">
        <f t="shared" si="4"/>
        <v>0</v>
      </c>
      <c r="H19" s="1688">
        <f t="shared" si="4"/>
        <v>0</v>
      </c>
      <c r="I19" s="468"/>
      <c r="J19" s="1688">
        <f>SUM(J17:J18)</f>
        <v>0</v>
      </c>
      <c r="K19" s="1688">
        <f>SUM(K17:K18)</f>
        <v>0</v>
      </c>
      <c r="L19" s="347"/>
    </row>
    <row r="20" spans="1:12" ht="16.5" thickTop="1" thickBot="1" x14ac:dyDescent="0.25">
      <c r="A20" s="2126" t="s">
        <v>1655</v>
      </c>
      <c r="B20" s="2127"/>
      <c r="C20" s="1746">
        <f>C8-C17</f>
        <v>-60830</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-60830</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1944</v>
      </c>
      <c r="B79" s="534"/>
      <c r="C79" s="478">
        <v>599720</v>
      </c>
      <c r="D79" s="535"/>
      <c r="E79" s="535"/>
      <c r="F79" s="535"/>
      <c r="G79" s="535"/>
      <c r="H79" s="535"/>
      <c r="I79" s="535"/>
      <c r="J79" s="535"/>
      <c r="K79" s="535"/>
      <c r="L79" s="347"/>
    </row>
    <row r="80" spans="1:12" x14ac:dyDescent="0.2">
      <c r="A80" s="2128" t="s">
        <v>1792</v>
      </c>
      <c r="B80" s="2129"/>
      <c r="C80" s="467">
        <v>-65075</v>
      </c>
      <c r="D80" s="467"/>
      <c r="E80" s="467"/>
      <c r="F80" s="467"/>
      <c r="G80" s="467"/>
      <c r="H80" s="467"/>
      <c r="I80" s="467"/>
      <c r="J80" s="467"/>
      <c r="K80" s="467"/>
      <c r="L80" s="347"/>
    </row>
    <row r="81" spans="1:12" ht="13.5" thickBot="1" x14ac:dyDescent="0.25">
      <c r="A81" s="2120" t="s">
        <v>1945</v>
      </c>
      <c r="B81" s="2121"/>
      <c r="C81" s="1688">
        <f>(SUM(C78:C80))</f>
        <v>473815</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-125905</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-0.26572607452275676</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L279"/>
  <sheetViews>
    <sheetView showGridLines="0" defaultGridColor="0" colorId="8" zoomScale="110" zoomScaleNormal="110" zoomScaleSheetLayoutView="75" workbookViewId="0">
      <pane ySplit="2" topLeftCell="A6" activePane="bottomLeft" state="frozen"/>
      <selection pane="bottomLeft" activeCell="C65" sqref="C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1799</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f>756650+31450-19047</f>
        <v>769053</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769053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v>19047</v>
      </c>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19047</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12189</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12189</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18987</v>
      </c>
      <c r="D95" s="551"/>
      <c r="E95" s="521"/>
      <c r="F95" s="521"/>
      <c r="G95" s="521"/>
      <c r="H95" s="521"/>
      <c r="I95" s="521"/>
      <c r="J95" s="521"/>
      <c r="K95" s="521"/>
    </row>
    <row r="96" spans="1:11" ht="12.75" customHeight="1" x14ac:dyDescent="0.2">
      <c r="A96" s="463" t="s">
        <v>391</v>
      </c>
      <c r="B96" s="470">
        <v>1920</v>
      </c>
      <c r="C96" s="551">
        <v>117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412</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3000</v>
      </c>
      <c r="D107" s="466"/>
      <c r="E107" s="466"/>
      <c r="F107" s="466"/>
      <c r="G107" s="466"/>
      <c r="H107" s="466"/>
      <c r="I107" s="466"/>
      <c r="J107" s="467"/>
      <c r="K107" s="466"/>
    </row>
    <row r="108" spans="1:12" ht="12.75" customHeight="1" thickBot="1" x14ac:dyDescent="0.25">
      <c r="A108" s="1708" t="s">
        <v>487</v>
      </c>
      <c r="B108" s="1712"/>
      <c r="C108" s="1707">
        <f>SUM(C95:C107)</f>
        <v>22516</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803758</v>
      </c>
      <c r="D109" s="1715">
        <f t="shared" si="4"/>
        <v>0</v>
      </c>
      <c r="E109" s="1715">
        <f t="shared" si="4"/>
        <v>0</v>
      </c>
      <c r="F109" s="1715">
        <f t="shared" si="4"/>
        <v>19047</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287907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287907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45719</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45719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287907</v>
      </c>
      <c r="D169" s="1722">
        <f t="shared" si="6"/>
        <v>0</v>
      </c>
      <c r="E169" s="1722">
        <f t="shared" si="6"/>
        <v>0</v>
      </c>
      <c r="F169" s="1722">
        <f t="shared" si="6"/>
        <v>45719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287907</v>
      </c>
      <c r="D170" s="1715">
        <f t="shared" si="7"/>
        <v>0</v>
      </c>
      <c r="E170" s="1715">
        <f t="shared" si="7"/>
        <v>0</v>
      </c>
      <c r="F170" s="1715">
        <f t="shared" si="7"/>
        <v>45719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1800</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1091665</v>
      </c>
      <c r="D268" s="1715">
        <f t="shared" si="12"/>
        <v>0</v>
      </c>
      <c r="E268" s="1715">
        <f t="shared" si="12"/>
        <v>0</v>
      </c>
      <c r="F268" s="1715">
        <f t="shared" si="12"/>
        <v>64766</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N368"/>
  <sheetViews>
    <sheetView showGridLines="0" defaultGridColor="0" colorId="8" zoomScale="110" zoomScaleNormal="110" workbookViewId="0">
      <pane ySplit="2" topLeftCell="A66" activePane="bottomLeft" state="frozen"/>
      <selection pane="bottomLeft" activeCell="I61" sqref="I6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548020</v>
      </c>
      <c r="D13" s="466">
        <v>130499</v>
      </c>
      <c r="E13" s="466">
        <v>120476</v>
      </c>
      <c r="F13" s="466">
        <v>72326</v>
      </c>
      <c r="G13" s="466">
        <v>3851</v>
      </c>
      <c r="H13" s="466">
        <v>45520</v>
      </c>
      <c r="I13" s="467"/>
      <c r="J13" s="467"/>
      <c r="K13" s="1671">
        <f t="shared" si="0"/>
        <v>920692</v>
      </c>
      <c r="L13" s="466">
        <v>1103912</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548020</v>
      </c>
      <c r="D33" s="1670">
        <f t="shared" ref="D33:L33" si="1">SUM(D5:D32)</f>
        <v>130499</v>
      </c>
      <c r="E33" s="1670">
        <f t="shared" si="1"/>
        <v>120476</v>
      </c>
      <c r="F33" s="1670">
        <f t="shared" si="1"/>
        <v>72326</v>
      </c>
      <c r="G33" s="1670">
        <f t="shared" si="1"/>
        <v>3851</v>
      </c>
      <c r="H33" s="1670">
        <f t="shared" si="1"/>
        <v>45520</v>
      </c>
      <c r="I33" s="1670">
        <f t="shared" si="1"/>
        <v>0</v>
      </c>
      <c r="J33" s="1670">
        <f t="shared" si="1"/>
        <v>0</v>
      </c>
      <c r="K33" s="1670">
        <f t="shared" si="1"/>
        <v>920692</v>
      </c>
      <c r="L33" s="1670">
        <f t="shared" si="1"/>
        <v>1103912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58400</v>
      </c>
      <c r="D51" s="466">
        <v>16537</v>
      </c>
      <c r="E51" s="466">
        <v>16342</v>
      </c>
      <c r="F51" s="466">
        <v>767</v>
      </c>
      <c r="G51" s="466"/>
      <c r="H51" s="466"/>
      <c r="I51" s="467"/>
      <c r="J51" s="467"/>
      <c r="K51" s="1672">
        <f>SUM(C51:J51)</f>
        <v>92046</v>
      </c>
      <c r="L51" s="466">
        <v>115615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58400</v>
      </c>
      <c r="D53" s="1670">
        <f t="shared" ref="D53:L53" si="5">SUM(D49:D52)</f>
        <v>16537</v>
      </c>
      <c r="E53" s="1670">
        <f t="shared" si="5"/>
        <v>16342</v>
      </c>
      <c r="F53" s="1670">
        <f t="shared" si="5"/>
        <v>767</v>
      </c>
      <c r="G53" s="1670">
        <f t="shared" si="5"/>
        <v>0</v>
      </c>
      <c r="H53" s="1670">
        <f t="shared" si="5"/>
        <v>0</v>
      </c>
      <c r="I53" s="1670">
        <f t="shared" si="5"/>
        <v>0</v>
      </c>
      <c r="J53" s="1670">
        <f t="shared" si="5"/>
        <v>0</v>
      </c>
      <c r="K53" s="1670">
        <f t="shared" si="5"/>
        <v>92046</v>
      </c>
      <c r="L53" s="1670">
        <f t="shared" si="5"/>
        <v>115615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v>98172</v>
      </c>
      <c r="F61" s="466">
        <v>30646</v>
      </c>
      <c r="G61" s="466"/>
      <c r="H61" s="466"/>
      <c r="I61" s="467"/>
      <c r="J61" s="467"/>
      <c r="K61" s="1672">
        <f t="shared" si="7"/>
        <v>128818</v>
      </c>
      <c r="L61" s="466">
        <v>223500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98172</v>
      </c>
      <c r="F65" s="1670">
        <f t="shared" si="8"/>
        <v>30646</v>
      </c>
      <c r="G65" s="1670">
        <f t="shared" si="8"/>
        <v>0</v>
      </c>
      <c r="H65" s="1670">
        <f t="shared" si="8"/>
        <v>0</v>
      </c>
      <c r="I65" s="1670">
        <f t="shared" si="8"/>
        <v>0</v>
      </c>
      <c r="J65" s="1670">
        <f t="shared" si="8"/>
        <v>0</v>
      </c>
      <c r="K65" s="1670">
        <f t="shared" si="8"/>
        <v>128818</v>
      </c>
      <c r="L65" s="1670">
        <f t="shared" si="8"/>
        <v>223500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58400</v>
      </c>
      <c r="D74" s="1677">
        <f t="shared" ref="D74:K74" si="10">SUM(D42,D47,D53,D57,D65,D72,D73)</f>
        <v>16537</v>
      </c>
      <c r="E74" s="1677">
        <f t="shared" si="10"/>
        <v>114514</v>
      </c>
      <c r="F74" s="1677">
        <f t="shared" si="10"/>
        <v>31413</v>
      </c>
      <c r="G74" s="1677">
        <f t="shared" si="10"/>
        <v>0</v>
      </c>
      <c r="H74" s="1677">
        <f t="shared" si="10"/>
        <v>0</v>
      </c>
      <c r="I74" s="1677">
        <f t="shared" si="10"/>
        <v>0</v>
      </c>
      <c r="J74" s="1677">
        <f t="shared" si="10"/>
        <v>0</v>
      </c>
      <c r="K74" s="1677">
        <f t="shared" si="10"/>
        <v>220864</v>
      </c>
      <c r="L74" s="1677">
        <f>SUM(L42,L47,L53,L57,L65,L72,L73)</f>
        <v>339115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10939</v>
      </c>
      <c r="I81" s="477"/>
      <c r="J81" s="477"/>
      <c r="K81" s="1671">
        <f t="shared" si="11"/>
        <v>10939</v>
      </c>
      <c r="L81" s="466">
        <v>11000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10939</v>
      </c>
      <c r="I84" s="477"/>
      <c r="J84" s="477"/>
      <c r="K84" s="1670">
        <f>SUM(K78:K83)</f>
        <v>10939</v>
      </c>
      <c r="L84" s="1670">
        <f>SUM(L78:L83)</f>
        <v>11000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10939</v>
      </c>
      <c r="I102" s="477"/>
      <c r="J102" s="477"/>
      <c r="K102" s="1677">
        <f>SUM(K84,K92,K100,K101)</f>
        <v>10939</v>
      </c>
      <c r="L102" s="1677">
        <f>SUM(L84,L92,L100,L101)</f>
        <v>11000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606420</v>
      </c>
      <c r="D114" s="1670">
        <f t="shared" ref="D114:K114" si="13">SUM(D33,D74,D75,D102,D112,D113)</f>
        <v>147036</v>
      </c>
      <c r="E114" s="1670">
        <f t="shared" si="13"/>
        <v>234990</v>
      </c>
      <c r="F114" s="1670">
        <f t="shared" si="13"/>
        <v>103739</v>
      </c>
      <c r="G114" s="1670">
        <f t="shared" si="13"/>
        <v>3851</v>
      </c>
      <c r="H114" s="1670">
        <f>SUM(H33,H74,H75,H102,H112,H113)</f>
        <v>56459</v>
      </c>
      <c r="I114" s="1670">
        <f t="shared" si="13"/>
        <v>0</v>
      </c>
      <c r="J114" s="1670">
        <f t="shared" si="13"/>
        <v>0</v>
      </c>
      <c r="K114" s="1670">
        <f t="shared" si="13"/>
        <v>1152495</v>
      </c>
      <c r="L114" s="1670">
        <f>SUM(L33,L74,L75,L102,L112,L113)</f>
        <v>1454027</v>
      </c>
    </row>
    <row r="115" spans="1:14" ht="13.5" thickTop="1" x14ac:dyDescent="0.2">
      <c r="A115" s="2181" t="s">
        <v>996</v>
      </c>
      <c r="B115" s="2182"/>
      <c r="C115" s="618"/>
      <c r="D115" s="618"/>
      <c r="E115" s="618"/>
      <c r="F115" s="618"/>
      <c r="G115" s="618"/>
      <c r="H115" s="618"/>
      <c r="I115" s="618"/>
      <c r="J115" s="618"/>
      <c r="K115" s="1684">
        <f>'Revenues 9-14'!C268-'Expenditures 15-22'!K114</f>
        <v>-60830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4" t="s">
        <v>1178</v>
      </c>
      <c r="B152" s="2175"/>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1" t="s">
        <v>996</v>
      </c>
      <c r="B175" s="2182"/>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63644</v>
      </c>
      <c r="F182" s="466">
        <v>1122</v>
      </c>
      <c r="G182" s="466"/>
      <c r="H182" s="466"/>
      <c r="I182" s="467"/>
      <c r="J182" s="467"/>
      <c r="K182" s="1671">
        <f>SUM(C182:J182)</f>
        <v>64766</v>
      </c>
      <c r="L182" s="466">
        <v>56950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63644</v>
      </c>
      <c r="F184" s="1677">
        <f t="shared" si="17"/>
        <v>1122</v>
      </c>
      <c r="G184" s="1677">
        <f t="shared" si="17"/>
        <v>0</v>
      </c>
      <c r="H184" s="1677">
        <f t="shared" si="17"/>
        <v>0</v>
      </c>
      <c r="I184" s="1677">
        <f t="shared" si="17"/>
        <v>0</v>
      </c>
      <c r="J184" s="1677">
        <f t="shared" si="17"/>
        <v>0</v>
      </c>
      <c r="K184" s="1677">
        <f>SUM(K180,K182,K183)</f>
        <v>64766</v>
      </c>
      <c r="L184" s="1677">
        <f>SUM(L180, L182:L183)</f>
        <v>56950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63644</v>
      </c>
      <c r="F210" s="1670">
        <f>SUM(F184,F185)</f>
        <v>1122</v>
      </c>
      <c r="G210" s="1670">
        <f>SUM(G184,G185)</f>
        <v>0</v>
      </c>
      <c r="H210" s="1670">
        <f>SUM(H184,H185,H196,H208,H209)</f>
        <v>0</v>
      </c>
      <c r="I210" s="1670">
        <f>SUM(I184,I185)</f>
        <v>0</v>
      </c>
      <c r="J210" s="1670">
        <f>SUM(J184,J185)</f>
        <v>0</v>
      </c>
      <c r="K210" s="1671">
        <f>SUM(K184,K185,K196,K208,K209)</f>
        <v>64766</v>
      </c>
      <c r="L210" s="1670">
        <f>SUM(L184,L185,L196,L208,L209)</f>
        <v>56950</v>
      </c>
    </row>
    <row r="211" spans="1:14" ht="13.5" thickTop="1" x14ac:dyDescent="0.2">
      <c r="A211" s="2181" t="s">
        <v>996</v>
      </c>
      <c r="B211" s="2182"/>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1" t="s">
        <v>996</v>
      </c>
      <c r="B296" s="2182"/>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1" t="s">
        <v>996</v>
      </c>
      <c r="B368" s="2182"/>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d21dc803-237d-4c68-8692-8d731fd29118"/>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dcmitype/"/>
    <ds:schemaRef ds:uri="http://schemas.microsoft.com/sharepoint/v3"/>
    <ds:schemaRef ds:uri="http://schemas.openxmlformats.org/package/2006/metadata/core-propertie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2019-11-13T02:53:31Z</cp:lastPrinted>
  <dcterms:created xsi:type="dcterms:W3CDTF">2003-10-29T19:06:34Z</dcterms:created>
  <dcterms:modified xsi:type="dcterms:W3CDTF">2020-01-08T21:54:16Z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