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79CC1B23-5D5E-41F7-9B94-254D19E12D57}" xr6:coauthVersionLast="36" xr6:coauthVersionMax="36" xr10:uidLastSave="{00000000-0000-0000-0000-000000000000}"/>
  <bookViews>
    <workbookView xWindow="0" yWindow="0" windowWidth="20490" windowHeight="7320" tabRatio="85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7">' SEFA'!$B$1:$M$44</definedName>
    <definedName name="_xlnm.Print_Area" localSheetId="28">' SEFA (2)'!$B$1:$M$45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2" i="3" l="1"/>
  <c r="C33" i="5"/>
  <c r="J19" i="179" l="1"/>
  <c r="D18" i="173" s="1"/>
  <c r="I22" i="183"/>
  <c r="F22" i="183"/>
  <c r="I14" i="183"/>
  <c r="F14" i="183"/>
  <c r="L13" i="183"/>
  <c r="L12" i="183"/>
  <c r="B4" i="183"/>
  <c r="I19" i="179"/>
  <c r="F19" i="179"/>
  <c r="J15" i="179"/>
  <c r="D17" i="173" s="1"/>
  <c r="I15" i="179"/>
  <c r="F15" i="179"/>
  <c r="F22" i="179" l="1"/>
  <c r="F16" i="183" s="1"/>
  <c r="F24" i="183" s="1"/>
  <c r="D35" i="171" s="1"/>
  <c r="F21" i="179"/>
  <c r="I22" i="179"/>
  <c r="I16" i="183" s="1"/>
  <c r="I21" i="179"/>
  <c r="G38" i="174" s="1"/>
  <c r="L20" i="183"/>
  <c r="L21" i="183"/>
  <c r="C96" i="5"/>
  <c r="I24" i="183" l="1"/>
  <c r="D45" i="174" s="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19" i="179" l="1"/>
  <c r="L18" i="179"/>
  <c r="L17" i="179"/>
  <c r="L14" i="179"/>
  <c r="L13" i="179"/>
  <c r="D14" i="171" l="1"/>
  <c r="D12" i="171"/>
  <c r="A10" i="169"/>
  <c r="A14" i="169"/>
  <c r="K18" i="169"/>
  <c r="G18" i="169"/>
  <c r="G15" i="169"/>
  <c r="I13"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5" i="106"/>
  <c r="D275" i="106" s="1"/>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B6997" i="106" s="1"/>
  <c r="D6997" i="106" s="1"/>
  <c r="K94" i="29"/>
  <c r="B6999" i="106" s="1"/>
  <c r="D6999" i="106" s="1"/>
  <c r="K95" i="29"/>
  <c r="K96" i="29"/>
  <c r="B7003" i="106" s="1"/>
  <c r="D7003" i="106" s="1"/>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5" i="127"/>
  <c r="B66" i="127"/>
  <c r="E26" i="108"/>
  <c r="G26" i="108"/>
  <c r="D27" i="108"/>
  <c r="E27" i="108"/>
  <c r="F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33" i="118"/>
  <c r="D22" i="37"/>
  <c r="J22" i="37"/>
  <c r="L22" i="37"/>
  <c r="L5" i="11"/>
  <c r="B2056" i="106" s="1"/>
  <c r="D2056" i="106" s="1"/>
  <c r="F46" i="34" l="1"/>
  <c r="E34" i="108"/>
  <c r="D36" i="108"/>
  <c r="G30" i="108"/>
  <c r="F36" i="108"/>
  <c r="B2724" i="106"/>
  <c r="D2724" i="106" s="1"/>
  <c r="D24" i="37"/>
  <c r="B4270" i="106" s="1"/>
  <c r="D4270" i="106" s="1"/>
  <c r="H28" i="118"/>
  <c r="K184" i="29"/>
  <c r="F13" i="4" s="1"/>
  <c r="B2596" i="106" s="1"/>
  <c r="D2596" i="106" s="1"/>
  <c r="C129" i="29"/>
  <c r="C151" i="29" s="1"/>
  <c r="B1226" i="106" s="1"/>
  <c r="D1226" i="106" s="1"/>
  <c r="E29" i="108"/>
  <c r="G39" i="108"/>
  <c r="F28" i="108"/>
  <c r="G35" i="108"/>
  <c r="E35" i="108"/>
  <c r="J210" i="29"/>
  <c r="B7072" i="106" s="1"/>
  <c r="D7072" i="106" s="1"/>
  <c r="B6995" i="106"/>
  <c r="D6995" i="106" s="1"/>
  <c r="D14" i="4"/>
  <c r="B2570" i="106" s="1"/>
  <c r="D2570" i="106" s="1"/>
  <c r="L367" i="29"/>
  <c r="B3647" i="106"/>
  <c r="D3647" i="106" s="1"/>
  <c r="B2836" i="106"/>
  <c r="D2836" i="106" s="1"/>
  <c r="G29" i="108"/>
  <c r="F36" i="34"/>
  <c r="E38" i="108"/>
  <c r="B3488" i="106"/>
  <c r="D3488" i="106" s="1"/>
  <c r="L342" i="29"/>
  <c r="F56" i="34"/>
  <c r="H112" i="29"/>
  <c r="B7018" i="106" s="1"/>
  <c r="D7018" i="106" s="1"/>
  <c r="B2805" i="106"/>
  <c r="D2805" i="106" s="1"/>
  <c r="H365" i="29"/>
  <c r="B7242" i="106" s="1"/>
  <c r="D7242" i="106" s="1"/>
  <c r="C352" i="29"/>
  <c r="B3621" i="106" s="1"/>
  <c r="D3621" i="106" s="1"/>
  <c r="H342" i="29"/>
  <c r="I210" i="29"/>
  <c r="B7071" i="106" s="1"/>
  <c r="D7071" i="106" s="1"/>
  <c r="K76" i="4"/>
  <c r="B3586" i="106" s="1"/>
  <c r="D3586" i="106" s="1"/>
  <c r="J77" i="4"/>
  <c r="B6262" i="106" s="1"/>
  <c r="D6262" i="106" s="1"/>
  <c r="F19" i="7"/>
  <c r="B1807" i="106" s="1"/>
  <c r="D1807" i="106" s="1"/>
  <c r="J352" i="29"/>
  <c r="J367" i="29" s="1"/>
  <c r="B7245" i="106" s="1"/>
  <c r="D7245" i="106" s="1"/>
  <c r="G210" i="29"/>
  <c r="C342" i="29"/>
  <c r="B7216" i="106" s="1"/>
  <c r="D7216" i="106" s="1"/>
  <c r="J129" i="29"/>
  <c r="B7038" i="106" s="1"/>
  <c r="D7038" i="106" s="1"/>
  <c r="I129" i="29"/>
  <c r="B7037" i="106" s="1"/>
  <c r="D7037" i="106" s="1"/>
  <c r="H76" i="4"/>
  <c r="B3298" i="106" s="1"/>
  <c r="D3298" i="106" s="1"/>
  <c r="F77" i="4"/>
  <c r="B3255" i="106" s="1"/>
  <c r="D3255" i="106" s="1"/>
  <c r="G15" i="145"/>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J16" i="4" l="1"/>
  <c r="B6226" i="106" s="1"/>
  <c r="D6226" i="106" s="1"/>
  <c r="B1225" i="106"/>
  <c r="D1225" i="106" s="1"/>
  <c r="K28" i="118"/>
  <c r="O27" i="118" s="1"/>
  <c r="O29" i="118" s="1"/>
  <c r="B2057" i="106"/>
  <c r="D2057" i="106" s="1"/>
  <c r="M17" i="3"/>
  <c r="B2059" i="106"/>
  <c r="D2059" i="106" s="1"/>
  <c r="M19" i="3"/>
  <c r="B276" i="106" s="1"/>
  <c r="D276" i="106" s="1"/>
  <c r="J151" i="29"/>
  <c r="B7052" i="106" s="1"/>
  <c r="D7052" i="106" s="1"/>
  <c r="L114" i="29"/>
  <c r="F66" i="34"/>
  <c r="I151" i="29"/>
  <c r="F59" i="34" s="1"/>
  <c r="F41" i="108"/>
  <c r="G43" i="108" s="1"/>
  <c r="K365" i="29"/>
  <c r="C367" i="29"/>
  <c r="B3622" i="106" s="1"/>
  <c r="D3622" i="106" s="1"/>
  <c r="B1365" i="106"/>
  <c r="D1365" i="106" s="1"/>
  <c r="F65" i="34"/>
  <c r="B5770" i="106"/>
  <c r="D5770" i="106" s="1"/>
  <c r="D51" i="36"/>
  <c r="K77" i="4"/>
  <c r="B3587" i="106" s="1"/>
  <c r="D3587" i="106" s="1"/>
  <c r="I7" i="4"/>
  <c r="B4444" i="106" s="1"/>
  <c r="D4444" i="106" s="1"/>
  <c r="H77" i="4"/>
  <c r="B3299" i="106" s="1"/>
  <c r="D3299" i="106" s="1"/>
  <c r="L16" i="11"/>
  <c r="B2061" i="106" s="1"/>
  <c r="D2061" i="106" s="1"/>
  <c r="D41" i="108"/>
  <c r="E43" i="108" s="1"/>
  <c r="K342" i="29"/>
  <c r="F13" i="34" s="1"/>
  <c r="C114" i="29"/>
  <c r="B757" i="106" s="1"/>
  <c r="D757"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4" i="106"/>
  <c r="D274" i="106" s="1"/>
  <c r="K367" i="29"/>
  <c r="B3678" i="106" s="1"/>
  <c r="D3678" i="106" s="1"/>
  <c r="B7224" i="106"/>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79" i="106" l="1"/>
  <c r="D279" i="106" s="1"/>
  <c r="D54" i="36"/>
  <c r="K368" i="29"/>
  <c r="B3681" i="106" s="1"/>
  <c r="D3681" i="106" s="1"/>
  <c r="B6223" i="106"/>
  <c r="D6223" i="106" s="1"/>
  <c r="J20" i="4"/>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K20" i="4"/>
  <c r="B3576" i="106" s="1"/>
  <c r="D3576" i="106"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<sst xmlns="http://schemas.openxmlformats.org/spreadsheetml/2006/main" count="5181" uniqueCount="2130">
  <si>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</si>
  <si>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</si>
  <si>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</si>
  <si>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</si>
  <si>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</si>
  <si>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</si>
  <si>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</si>
  <si>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</si>
  <si>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</si>
  <si>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</si>
  <si>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</si>
  <si>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</si>
  <si>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</si>
  <si>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</si>
  <si>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</si>
  <si>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</si>
  <si>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</si>
  <si>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</si>
  <si>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</si>
  <si>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</si>
  <si>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</si>
  <si>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</si>
  <si>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</si>
  <si>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</si>
  <si>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</si>
  <si>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</si>
  <si>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</si>
  <si>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</si>
  <si>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</si>
  <si>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</si>
  <si>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</si>
  <si>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</si>
  <si>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</si>
  <si>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</si>
  <si>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</si>
  <si>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</si>
  <si>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</si>
  <si>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</si>
  <si>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</si>
  <si>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</si>
  <si>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</si>
  <si>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</si>
  <si>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</si>
  <si>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</si>
  <si>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</si>
  <si>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</si>
  <si>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</si>
  <si>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</si>
  <si>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</si>
  <si>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</si>
  <si>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</si>
  <si>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</si>
  <si>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</si>
  <si>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</si>
  <si>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</si>
  <si>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</si>
  <si>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</si>
  <si>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</si>
  <si>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</si>
  <si>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</si>
  <si>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</si>
  <si>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</si>
  <si>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</si>
  <si>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</si>
  <si>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</si>
  <si>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</si>
  <si>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</si>
  <si>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</si>
  <si>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</si>
  <si>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</si>
  <si>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</si>
  <si>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</si>
  <si>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</si>
  <si>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</si>
  <si>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</si>
  <si>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</si>
  <si>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</si>
  <si>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</si>
  <si>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</si>
  <si>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</si>
  <si>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</si>
  <si>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</si>
  <si>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</si>
  <si>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</si>
  <si>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</si>
  <si>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</si>
  <si>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</si>
  <si>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</si>
  <si>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</si>
  <si>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</si>
  <si>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</si>
  <si>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</si>
  <si>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</si>
  <si>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</si>
  <si>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</si>
  <si>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</si>
  <si>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</si>
  <si>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</si>
  <si>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</si>
  <si>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</si>
  <si>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</si>
  <si>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</si>
  <si>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</si>
  <si>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</si>
  <si>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</si>
  <si>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</si>
  <si>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</si>
  <si>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</si>
  <si>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</si>
  <si>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</si>
  <si>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</si>
  <si>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</si>
  <si>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</si>
  <si>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</si>
  <si>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</si>
  <si>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</si>
  <si>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</si>
  <si>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</si>
  <si>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</si>
  <si>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</si>
  <si>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</si>
  <si>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</si>
  <si>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</si>
  <si>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</si>
  <si>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</si>
  <si>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</si>
  <si>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</si>
  <si>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</si>
  <si>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</si>
  <si>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</si>
  <si>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</si>
  <si>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</si>
  <si>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</si>
  <si>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</si>
  <si>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</si>
  <si>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</si>
  <si>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</si>
  <si>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</si>
  <si>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</si>
  <si>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</si>
  <si>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</si>
  <si>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</si>
  <si>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</si>
  <si>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</si>
  <si>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</si>
  <si>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</si>
  <si>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</si>
  <si>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</si>
  <si>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</si>
  <si>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</si>
  <si>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</si>
  <si>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</si>
  <si>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</si>
  <si>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</si>
  <si>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</si>
  <si>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</si>
  <si>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</si>
  <si>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</si>
  <si>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</si>
  <si>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</si>
  <si>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</si>
  <si>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</si>
  <si>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</si>
  <si>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</si>
  <si>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</si>
  <si>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</si>
  <si>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</si>
  <si>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</si>
  <si>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</si>
  <si>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</si>
  <si>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</si>
  <si>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</si>
  <si>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</si>
  <si>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</si>
  <si>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</si>
  <si>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</si>
  <si>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</si>
  <si>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</si>
  <si>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</si>
  <si>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</si>
  <si>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</si>
  <si>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</si>
  <si>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</si>
  <si>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</si>
  <si>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</si>
  <si>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</si>
  <si>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</si>
  <si>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</si>
  <si>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</si>
  <si>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</si>
  <si>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</si>
  <si>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</si>
  <si>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</si>
  <si>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</si>
  <si>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</si>
  <si>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</si>
  <si>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</si>
  <si>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</si>
  <si>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</si>
  <si>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</si>
  <si>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</si>
  <si>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</si>
  <si>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</si>
  <si>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</si>
  <si>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</si>
  <si>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</si>
  <si>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</si>
  <si>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</si>
  <si>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</si>
  <si>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</si>
  <si>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</si>
  <si>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</si>
  <si>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</si>
  <si>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</si>
  <si>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</si>
  <si>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</si>
  <si>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</si>
  <si>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</si>
  <si>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</si>
  <si>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</si>
  <si>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</si>
  <si>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</si>
  <si>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</si>
  <si>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</si>
  <si>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</si>
  <si>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</si>
  <si>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</si>
  <si>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</si>
  <si>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</si>
  <si>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</si>
  <si>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</si>
  <si>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</si>
  <si>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</si>
  <si>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</si>
  <si>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</si>
  <si>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</si>
  <si>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</si>
  <si>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</si>
  <si>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</si>
  <si>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</si>
  <si>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</si>
  <si>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</si>
  <si>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</si>
  <si>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</si>
  <si>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</si>
  <si>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</si>
  <si>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</si>
  <si>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</si>
  <si>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</si>
  <si>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</si>
  <si>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</si>
  <si>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</si>
  <si>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</si>
  <si>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</si>
  <si>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</si>
  <si>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</si>
  <si>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</si>
  <si>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</si>
  <si>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</si>
  <si>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</si>
  <si>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</si>
  <si>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</si>
  <si>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</si>
  <si>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</si>
  <si>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</si>
  <si>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</si>
  <si>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</si>
  <si>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</si>
  <si>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</si>
  <si>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</si>
  <si>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</si>
  <si>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</si>
  <si>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</si>
  <si>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</si>
  <si>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</si>
  <si>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</si>
  <si>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</si>
  <si>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</si>
  <si>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</si>
  <si>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</si>
  <si>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</si>
  <si>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</si>
  <si>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</si>
  <si>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</si>
  <si>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</si>
  <si>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</si>
  <si>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</si>
  <si>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</si>
  <si>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</si>
  <si>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</si>
  <si>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</si>
  <si>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</si>
  <si>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</si>
  <si>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</si>
  <si>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</si>
  <si>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</si>
  <si>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</si>
  <si>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</si>
  <si>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</si>
  <si>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</si>
  <si>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</si>
  <si>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</si>
  <si>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</si>
  <si>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</si>
  <si>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</si>
  <si>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</si>
  <si>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</si>
  <si>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</si>
  <si>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</si>
  <si>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</si>
  <si>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</si>
  <si>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</si>
  <si>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</si>
  <si>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</si>
  <si>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</si>
  <si>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</si>
  <si>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</si>
  <si>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</si>
  <si>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</si>
  <si>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</si>
  <si>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</si>
  <si>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</si>
  <si>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</si>
  <si>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</si>
  <si>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</si>
  <si>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</si>
  <si>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</si>
  <si>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</si>
  <si>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</si>
  <si>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</si>
  <si>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</si>
  <si>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</si>
  <si>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</si>
  <si>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</si>
  <si>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</si>
  <si>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</si>
  <si>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</si>
  <si>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</si>
  <si>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</si>
  <si>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</si>
  <si>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</si>
  <si>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</si>
  <si>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</si>
  <si>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</si>
  <si>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</si>
  <si>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</si>
  <si>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</si>
  <si>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</si>
  <si>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</si>
  <si>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</si>
  <si>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</si>
  <si>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</si>
  <si>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</si>
  <si>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</si>
  <si>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</si>
  <si>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</si>
  <si>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</si>
  <si>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</si>
  <si>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</si>
  <si>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</si>
  <si>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</si>
  <si>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</si>
  <si>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</si>
  <si>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</si>
  <si>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</si>
  <si>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</si>
  <si>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</si>
  <si>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</si>
  <si>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</si>
  <si>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</si>
  <si>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</si>
  <si>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</si>
  <si>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</si>
  <si>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</si>
  <si>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</si>
  <si>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</si>
  <si>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</si>
  <si>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</si>
  <si>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</si>
  <si>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</si>
  <si>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</si>
  <si>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</si>
  <si>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</si>
  <si>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</si>
  <si>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</si>
  <si>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</si>
  <si>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</si>
  <si>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</si>
  <si>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</si>
  <si>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</si>
  <si>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</si>
  <si>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</si>
  <si>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</si>
  <si>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</si>
  <si>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</si>
  <si>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</si>
  <si>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</si>
  <si>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</si>
  <si>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</si>
  <si>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</si>
  <si>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</si>
  <si>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</si>
  <si>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</si>
  <si>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</si>
  <si>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</si>
  <si>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</si>
  <si>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</si>
  <si>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</si>
  <si>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</si>
  <si>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</si>
  <si>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</si>
  <si>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</si>
  <si>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</si>
  <si>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</si>
  <si>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</si>
  <si>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</si>
  <si>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</si>
  <si>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</si>
  <si>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</si>
  <si>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</si>
  <si>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</si>
  <si>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</si>
  <si>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</si>
  <si>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</si>
  <si>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</si>
  <si>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</si>
  <si>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</si>
  <si>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</si>
  <si>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</si>
  <si>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</si>
  <si>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</si>
  <si>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</si>
  <si>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</si>
  <si>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</si>
  <si>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</si>
  <si>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</si>
  <si>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</si>
  <si>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</si>
  <si>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</si>
  <si>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</si>
  <si>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</si>
  <si>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</si>
  <si>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</si>
  <si>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</si>
  <si>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</si>
  <si>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</si>
  <si>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</si>
  <si>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</si>
  <si>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</si>
  <si>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</si>
  <si>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</si>
  <si>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</si>
  <si>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</si>
  <si>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</si>
  <si>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</si>
  <si>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</si>
  <si>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</si>
  <si>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</si>
  <si>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</si>
  <si>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</si>
  <si>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</si>
  <si>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</si>
  <si>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</si>
  <si>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</si>
  <si>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</si>
  <si>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</si>
  <si>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</si>
  <si>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</si>
  <si>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</si>
  <si>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</si>
  <si>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</si>
  <si>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</si>
  <si>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</si>
  <si>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</si>
  <si>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</si>
  <si>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</si>
  <si>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</si>
  <si>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</si>
  <si>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</si>
  <si>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</si>
  <si>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</si>
  <si>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</si>
  <si>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</si>
  <si>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</si>
  <si>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</si>
  <si>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</si>
  <si>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</si>
  <si>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</si>
  <si>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</si>
  <si>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</si>
  <si>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</si>
  <si>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</si>
  <si>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</si>
  <si>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</si>
  <si>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</si>
  <si>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</si>
  <si>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</si>
  <si>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</si>
  <si>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</si>
  <si>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</si>
  <si>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</si>
  <si>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</si>
  <si>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</si>
  <si>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</si>
  <si>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</si>
  <si>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</si>
  <si>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</si>
  <si>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</si>
  <si>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</si>
  <si>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</si>
  <si>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</si>
  <si>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</si>
  <si>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</si>
  <si>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</si>
  <si>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</si>
  <si>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</si>
  <si>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</si>
  <si>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</si>
  <si>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</si>
  <si>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</si>
  <si>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</si>
  <si>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</si>
  <si>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</si>
  <si>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</si>
  <si>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</si>
  <si>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</si>
  <si>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</si>
  <si>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</si>
  <si>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</si>
  <si>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</si>
  <si>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</si>
  <si>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</si>
  <si>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</si>
  <si>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</si>
  <si>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</si>
  <si>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</si>
  <si>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</si>
  <si>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</si>
  <si>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</si>
  <si>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</si>
  <si>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</si>
  <si>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</si>
  <si>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</si>
  <si>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</si>
  <si>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</si>
  <si>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</si>
  <si>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</si>
  <si>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</si>
  <si>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</si>
  <si>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</si>
  <si>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</si>
  <si>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</si>
  <si>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</si>
  <si>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</si>
  <si>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</si>
  <si>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</si>
  <si>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</si>
  <si>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</si>
  <si>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</si>
  <si>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</si>
  <si>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</si>
  <si>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</si>
  <si>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</si>
  <si>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</si>
  <si>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</si>
  <si>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</si>
  <si>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</si>
  <si>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</si>
  <si>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</si>
  <si>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</si>
  <si>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</si>
  <si>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</si>
  <si>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</si>
  <si>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</si>
  <si>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</si>
  <si>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</si>
  <si>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</si>
  <si>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</si>
  <si>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</si>
  <si>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</si>
  <si>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</si>
  <si>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</si>
  <si>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</si>
  <si>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</si>
  <si>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</si>
  <si>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</si>
  <si>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</si>
  <si>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</si>
  <si>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</si>
  <si>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</si>
  <si>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</si>
  <si>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</si>
  <si>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</si>
  <si>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</si>
  <si>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</si>
  <si>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</si>
  <si>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</si>
  <si>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</si>
  <si>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</si>
  <si>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</si>
  <si>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</si>
  <si>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</si>
  <si>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</si>
  <si>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</si>
  <si>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</si>
  <si>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</si>
  <si>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</si>
  <si>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</si>
  <si>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</si>
  <si>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</si>
  <si>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</si>
  <si>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</si>
  <si>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</si>
  <si>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</si>
  <si>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</si>
  <si>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</si>
  <si>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</si>
  <si>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</si>
  <si>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</si>
  <si>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</si>
  <si>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</si>
  <si>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</si>
  <si>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</si>
  <si>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</si>
  <si>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</si>
  <si>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</si>
  <si>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</si>
  <si>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</si>
  <si>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</si>
  <si>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</si>
  <si>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</si>
  <si>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</si>
  <si>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</si>
  <si>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</si>
  <si>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</si>
  <si>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</si>
  <si>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</si>
  <si>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</si>
  <si>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</si>
  <si>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</si>
  <si>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</si>
  <si>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</si>
  <si>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</si>
  <si>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</si>
  <si>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</si>
  <si>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</si>
  <si>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</si>
  <si>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</si>
  <si>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</si>
  <si>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</si>
  <si>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</si>
  <si>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</si>
  <si>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</si>
  <si>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</si>
  <si>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</si>
  <si>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</si>
  <si>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</si>
  <si>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</si>
  <si>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</si>
  <si>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</si>
  <si>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</si>
  <si>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</si>
  <si>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</si>
  <si>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</si>
  <si>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</si>
  <si>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</si>
  <si>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</si>
  <si>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</si>
  <si>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</si>
  <si>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</si>
  <si>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</si>
  <si>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</si>
  <si>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</si>
  <si>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</si>
  <si>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</si>
  <si>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</si>
  <si>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</si>
  <si>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</si>
  <si>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</si>
  <si>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</si>
  <si>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</si>
  <si>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</si>
  <si>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</si>
  <si>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</si>
  <si>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</si>
  <si>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</si>
  <si>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</si>
  <si>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</si>
  <si>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</si>
  <si>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</si>
  <si>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</si>
  <si>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</si>
  <si>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</si>
  <si>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</si>
  <si>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</si>
  <si>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</si>
  <si>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</si>
  <si>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</si>
  <si>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</si>
  <si>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</si>
  <si>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</si>
  <si>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</si>
  <si>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</si>
  <si>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</si>
  <si>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</si>
  <si>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</si>
  <si>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</si>
  <si>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</si>
  <si>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</si>
  <si>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</si>
  <si>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</si>
  <si>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</si>
  <si>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</si>
  <si>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</si>
  <si>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</si>
  <si>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</si>
  <si>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</si>
  <si>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</si>
  <si>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</si>
  <si>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</si>
  <si>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</si>
  <si>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</si>
  <si>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</si>
  <si>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</si>
  <si>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</si>
  <si>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</si>
  <si>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</si>
  <si>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</si>
  <si>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</si>
  <si>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</si>
  <si>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</si>
  <si>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</si>
  <si>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</si>
  <si>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</si>
  <si>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</si>
  <si>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</si>
  <si>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</si>
  <si>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</si>
  <si>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</si>
  <si>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</si>
  <si>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</si>
  <si>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</si>
  <si>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</si>
  <si>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</si>
  <si>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</si>
  <si>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</si>
  <si>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</si>
  <si>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</si>
  <si>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</si>
  <si>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</si>
  <si>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</si>
  <si>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</si>
  <si>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</si>
  <si>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</si>
  <si>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</si>
  <si>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</si>
  <si>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</si>
  <si>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</si>
  <si>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</si>
  <si>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</si>
  <si>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</si>
  <si>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</si>
  <si>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</si>
  <si>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</si>
  <si>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</si>
  <si>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</si>
  <si>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</si>
  <si>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</si>
  <si>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</si>
  <si>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</si>
  <si>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</si>
  <si>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</si>
  <si>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</si>
  <si>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</si>
  <si>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</si>
  <si>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</si>
  <si>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</si>
  <si>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</si>
  <si>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</si>
  <si>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</si>
  <si>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</si>
  <si>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</si>
  <si>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</si>
  <si>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</si>
  <si>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</si>
  <si>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</si>
  <si>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</si>
  <si>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</si>
  <si>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</si>
  <si>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</si>
  <si>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</si>
  <si>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</si>
  <si>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</si>
  <si>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</si>
  <si>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</si>
  <si>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</si>
  <si>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</si>
  <si>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</si>
  <si>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</si>
  <si>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</si>
  <si>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</si>
  <si>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</si>
  <si>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</si>
  <si>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</si>
  <si>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</si>
  <si>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</si>
  <si>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</si>
  <si>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</si>
  <si>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</si>
  <si>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</si>
  <si>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</si>
  <si>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</si>
  <si>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</si>
  <si>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</si>
  <si>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</si>
  <si>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</si>
  <si>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</si>
  <si>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</si>
  <si>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</si>
  <si>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</si>
  <si>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</si>
  <si>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</si>
  <si>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</si>
  <si>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</si>
  <si>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</si>
  <si>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</si>
  <si>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</si>
  <si>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</si>
  <si>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</si>
  <si>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</si>
  <si>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</si>
  <si>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</si>
  <si>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</si>
  <si>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</si>
  <si>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</si>
  <si>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</si>
  <si>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</si>
  <si>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</si>
  <si>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</si>
  <si>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</si>
  <si>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</si>
  <si>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</si>
  <si>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</si>
  <si>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</si>
  <si>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</si>
  <si>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</si>
  <si>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</si>
  <si>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</si>
  <si>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</si>
  <si>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</si>
  <si>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</si>
  <si>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</si>
  <si>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</si>
  <si>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</si>
  <si>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</si>
  <si>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</si>
  <si>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</si>
  <si>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</si>
  <si>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</si>
  <si>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</si>
  <si>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</si>
  <si>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</si>
  <si>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</si>
  <si>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</si>
  <si>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</si>
  <si>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</si>
  <si>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</si>
  <si>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</si>
  <si>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</si>
  <si>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</si>
  <si>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</si>
  <si>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</si>
  <si>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</si>
  <si>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</si>
  <si>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</si>
  <si>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</si>
  <si>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</si>
  <si>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</si>
  <si>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</si>
  <si>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</si>
  <si>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</si>
  <si>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</si>
  <si>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</si>
  <si>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</si>
  <si>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</si>
  <si>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</si>
  <si>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</si>
  <si>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</si>
  <si>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</si>
  <si>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</si>
  <si>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</si>
  <si>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</si>
  <si>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</si>
  <si>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</si>
  <si>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</si>
  <si>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</si>
  <si>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</si>
  <si>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</si>
  <si>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</si>
  <si>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</si>
  <si>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</si>
  <si>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</si>
  <si>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</si>
  <si>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</si>
  <si>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</si>
  <si>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</si>
  <si>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</si>
  <si>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</si>
  <si>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</si>
  <si>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</si>
  <si>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</si>
  <si>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</si>
  <si>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</si>
  <si>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</si>
  <si>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</si>
  <si>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</si>
  <si>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</si>
  <si>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</si>
  <si>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</si>
  <si>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</si>
  <si>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</si>
  <si>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</si>
  <si>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</si>
  <si>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</si>
  <si>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</si>
  <si>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</si>
  <si>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</si>
  <si>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</si>
  <si>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</si>
  <si>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</si>
  <si>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</si>
  <si>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</si>
  <si>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</si>
  <si>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</si>
  <si>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</si>
  <si>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</si>
  <si>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</si>
  <si>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</si>
  <si>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</si>
  <si>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</si>
  <si>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</si>
  <si>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</si>
  <si>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</si>
  <si>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</si>
  <si>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</si>
  <si>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</si>
  <si>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</si>
  <si>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</si>
  <si>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</si>
  <si>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</si>
  <si>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</si>
  <si>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</si>
  <si>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</si>
  <si>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</si>
  <si>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</si>
  <si>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</si>
  <si>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</si>
  <si>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</si>
  <si>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</si>
  <si>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</si>
  <si>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</si>
  <si>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</si>
  <si>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</si>
  <si>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</si>
  <si>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</si>
  <si>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</si>
  <si>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</si>
  <si>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</si>
  <si>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</si>
  <si>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</si>
  <si>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</si>
  <si>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</si>
  <si>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</si>
  <si>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</si>
  <si>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</si>
  <si>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</si>
  <si>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</si>
  <si>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</si>
  <si>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</si>
  <si>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</si>
  <si>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</si>
  <si>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</si>
  <si>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</si>
  <si>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</si>
  <si>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</si>
  <si>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</si>
  <si>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</si>
  <si>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</si>
  <si>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</si>
  <si>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</si>
  <si>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</si>
  <si>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</si>
  <si>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</si>
  <si>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</si>
  <si>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</si>
  <si>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</si>
  <si>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</si>
  <si>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</si>
  <si>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</si>
  <si>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</si>
  <si>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</si>
  <si>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</si>
  <si>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</si>
  <si>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</si>
  <si>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</si>
  <si>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</si>
  <si>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</si>
  <si>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</si>
  <si>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</si>
  <si>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</si>
  <si>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</si>
  <si>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</si>
  <si>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</si>
  <si>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</si>
  <si>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</si>
  <si>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</si>
  <si>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</si>
  <si>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</si>
  <si>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</si>
  <si>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</si>
  <si>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</si>
  <si>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</si>
  <si>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</si>
  <si>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</si>
  <si>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</si>
  <si>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</si>
  <si>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</si>
  <si>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</si>
  <si>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</si>
  <si>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</si>
  <si>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</si>
  <si>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</si>
  <si>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</si>
  <si>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</si>
  <si>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</si>
  <si>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</si>
  <si>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</si>
  <si>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</si>
  <si>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</si>
  <si>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</si>
  <si>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</si>
  <si>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</si>
  <si>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</si>
  <si>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</si>
  <si>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</si>
  <si>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</si>
  <si>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</si>
  <si>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</si>
  <si>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</si>
  <si>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</si>
  <si>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</si>
  <si>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</si>
  <si>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</si>
  <si>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</si>
  <si>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</si>
  <si>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</si>
  <si>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</si>
  <si>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</si>
  <si>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</si>
  <si>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</si>
  <si>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</si>
  <si>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</si>
  <si>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</si>
  <si>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</si>
  <si>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</si>
  <si>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</si>
  <si>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</si>
  <si>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</si>
  <si>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</si>
  <si>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</si>
  <si>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</si>
  <si>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</si>
  <si>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</si>
  <si>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</si>
  <si>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</si>
  <si>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</si>
  <si>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</si>
  <si>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</si>
  <si>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</si>
  <si>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</si>
  <si>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</si>
  <si>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</si>
  <si>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</si>
  <si>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</si>
  <si>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</si>
  <si>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</si>
  <si>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</si>
  <si>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</si>
  <si>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</si>
  <si>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</si>
  <si>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</si>
  <si>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</si>
  <si>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</si>
  <si>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</si>
  <si>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</si>
  <si>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</si>
  <si>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</si>
  <si>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</si>
  <si>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</si>
  <si>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</si>
  <si>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</si>
  <si>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</si>
  <si>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</si>
  <si>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</si>
  <si>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</si>
  <si>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</si>
  <si>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</si>
  <si>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</si>
  <si>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</si>
  <si>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</si>
  <si>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</si>
  <si>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</si>
  <si>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</si>
  <si>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</si>
  <si>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</si>
  <si>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</si>
  <si>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</si>
  <si>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</si>
  <si>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</si>
  <si>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</si>
  <si>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</si>
  <si>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</si>
  <si>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</si>
  <si>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</si>
  <si>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</si>
  <si>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</si>
  <si>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</si>
  <si>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</si>
  <si>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</si>
  <si>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</si>
  <si>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</si>
  <si>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</si>
  <si>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</si>
  <si>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</si>
  <si>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</si>
  <si>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</si>
  <si>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</si>
  <si>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</si>
  <si>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</si>
  <si>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</si>
  <si>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</si>
  <si>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</si>
  <si>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</si>
  <si>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</si>
  <si>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</si>
  <si>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</si>
  <si>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</si>
  <si>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</si>
  <si>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</si>
  <si>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</si>
  <si>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</si>
  <si>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</si>
  <si>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</si>
  <si>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</si>
  <si>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</si>
  <si>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</si>
  <si>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</si>
  <si>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</si>
  <si>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</si>
  <si>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</si>
  <si>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</si>
  <si>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</si>
  <si>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</si>
  <si>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</si>
  <si>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</si>
  <si>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</si>
  <si>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</si>
  <si>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</si>
  <si>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</si>
  <si>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</si>
  <si>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</si>
  <si>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</si>
  <si>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</si>
  <si>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</si>
  <si>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</si>
  <si>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</si>
  <si>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</si>
  <si>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</si>
  <si>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</si>
  <si>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</si>
  <si>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</si>
  <si>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</si>
  <si>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</si>
  <si>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</si>
  <si>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</si>
  <si>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</si>
  <si>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</si>
  <si>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</si>
  <si>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</si>
  <si>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</si>
  <si>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</si>
  <si>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</si>
  <si>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</si>
  <si>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</si>
  <si>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</si>
  <si>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</si>
  <si>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</si>
  <si>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</si>
  <si>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</si>
  <si>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</si>
  <si>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</si>
  <si>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</si>
  <si>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</si>
  <si>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</si>
  <si>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</si>
  <si>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</si>
  <si>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</si>
  <si>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</si>
  <si>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</si>
  <si>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</si>
  <si>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</si>
  <si>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</si>
  <si>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</si>
  <si>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</si>
  <si>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</si>
  <si>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</si>
  <si>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</si>
  <si>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</si>
  <si>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</si>
  <si>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</si>
  <si>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</si>
  <si>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</si>
  <si>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</si>
  <si>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</si>
  <si>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</si>
  <si>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</si>
  <si>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</si>
  <si>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</si>
  <si>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</si>
  <si>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</si>
  <si>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</si>
  <si>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</si>
  <si>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</si>
  <si>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</si>
  <si>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</si>
  <si>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</si>
  <si>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</si>
  <si>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</si>
  <si>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</si>
  <si>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</si>
  <si>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</si>
  <si>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</si>
  <si>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</si>
  <si>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</si>
  <si>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</si>
  <si>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</si>
  <si>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</si>
  <si>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</si>
  <si>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</si>
  <si>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</si>
  <si>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</si>
  <si>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</si>
  <si>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</si>
  <si>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</si>
  <si>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</si>
  <si>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</si>
  <si>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</si>
  <si>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</si>
  <si>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</si>
  <si>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</si>
  <si>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</si>
  <si>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</si>
  <si>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</si>
  <si>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</si>
  <si>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</si>
  <si>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</si>
  <si>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</si>
  <si>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</si>
  <si>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</si>
  <si>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</si>
  <si>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</si>
  <si>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</si>
  <si>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</si>
  <si>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</si>
  <si>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</si>
  <si>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</si>
  <si>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</si>
  <si>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</si>
  <si>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</si>
  <si>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</si>
  <si>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</si>
  <si>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</si>
  <si>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</si>
  <si>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</si>
  <si>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</si>
  <si>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</si>
  <si>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</si>
  <si>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</si>
  <si>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</si>
  <si>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</si>
  <si>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</si>
  <si>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</si>
  <si>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</si>
  <si>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</si>
  <si>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</si>
  <si>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</si>
  <si>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</si>
  <si>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</si>
  <si>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</si>
  <si>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</si>
  <si>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</si>
  <si>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</si>
  <si>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</si>
  <si>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</si>
  <si>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</si>
  <si>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</si>
  <si>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</si>
  <si>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</si>
  <si>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</si>
  <si>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</si>
  <si>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</si>
  <si>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</si>
  <si>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</si>
  <si>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</si>
  <si>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</si>
  <si>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</si>
  <si>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</si>
  <si>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</si>
  <si>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</si>
  <si>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</si>
  <si>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</si>
  <si>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</si>
  <si>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</si>
  <si>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</si>
  <si>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</si>
  <si>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</si>
  <si>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</si>
  <si>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</si>
  <si>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</si>
  <si>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</si>
  <si>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</si>
  <si>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</si>
  <si>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</si>
  <si>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</si>
  <si>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</si>
  <si>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</si>
  <si>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</si>
  <si>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</si>
  <si>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</si>
  <si>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</si>
  <si>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</si>
  <si>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</si>
  <si>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</si>
  <si>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</si>
  <si>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</si>
  <si>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</si>
  <si>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</si>
  <si>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</si>
  <si>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</si>
  <si>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</si>
  <si>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</si>
  <si>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</si>
  <si>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</si>
  <si>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</si>
  <si>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</si>
  <si>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</si>
  <si>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</si>
  <si>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</si>
  <si>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</si>
  <si>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</si>
  <si>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</si>
  <si>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</si>
  <si>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</si>
  <si>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</si>
  <si>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</si>
  <si>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</si>
  <si>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</si>
  <si>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</si>
  <si>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</si>
  <si>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</si>
  <si>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</si>
  <si>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</si>
  <si>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</si>
  <si>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</si>
  <si>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</si>
  <si>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</si>
  <si>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</si>
  <si>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</si>
  <si>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</si>
  <si>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</si>
  <si>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</si>
  <si>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</si>
  <si>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</si>
  <si>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</si>
  <si>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</si>
  <si>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</si>
  <si>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</si>
  <si>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</si>
  <si>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</si>
  <si>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</si>
  <si>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</si>
  <si>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</si>
  <si>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</si>
  <si>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</si>
  <si>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</si>
  <si>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</si>
  <si>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</si>
  <si>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</si>
  <si>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</si>
  <si>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</si>
  <si>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</si>
  <si>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</si>
  <si>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</si>
  <si>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</si>
  <si>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</si>
  <si>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</si>
  <si>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</si>
  <si>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</si>
  <si>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</si>
  <si>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</si>
  <si>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</si>
  <si>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</si>
  <si>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</si>
  <si>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</si>
  <si>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</si>
  <si>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</si>
  <si>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</si>
  <si>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</si>
  <si>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</si>
  <si>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</si>
  <si>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</si>
  <si>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</si>
  <si>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</si>
  <si>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</si>
  <si>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</si>
  <si>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</si>
  <si>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</si>
  <si>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</si>
  <si>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</si>
  <si>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</si>
  <si>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</si>
  <si>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</si>
  <si>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</si>
  <si>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</si>
  <si>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</si>
  <si>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</si>
  <si>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</si>
  <si>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</si>
  <si>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</si>
  <si>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</si>
  <si>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</si>
  <si>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</si>
  <si>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</si>
  <si>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</si>
  <si>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</si>
  <si>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</si>
  <si>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</si>
  <si>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</si>
  <si>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</si>
  <si>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</si>
  <si>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</si>
  <si>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</si>
  <si>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</si>
  <si>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</si>
  <si>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</si>
  <si>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</si>
  <si>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</si>
  <si>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</si>
  <si>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</si>
  <si>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</si>
  <si>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</si>
  <si>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</si>
  <si>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</si>
  <si>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</si>
  <si>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</si>
  <si>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</si>
  <si>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</si>
  <si>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</si>
  <si>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</si>
  <si>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</si>
  <si>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</si>
  <si>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</si>
  <si>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</si>
  <si>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</si>
  <si>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</si>
  <si>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</si>
  <si>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</si>
  <si>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</si>
  <si>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</si>
  <si>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</si>
  <si>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</si>
  <si>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</si>
  <si>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</si>
  <si>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</si>
  <si>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</si>
  <si>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</si>
  <si>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</si>
  <si>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</si>
  <si>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</si>
  <si>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</si>
  <si>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</si>
  <si>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</si>
  <si>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</si>
  <si>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</si>
  <si>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</si>
  <si>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</si>
  <si>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</si>
  <si>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</si>
  <si>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</si>
  <si>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</si>
  <si>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</si>
  <si>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</si>
  <si>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</si>
  <si>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</si>
  <si>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</si>
  <si>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</si>
  <si>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</si>
  <si>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</si>
  <si>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</si>
  <si>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</si>
  <si>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</si>
  <si>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</si>
  <si>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</si>
  <si>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</si>
  <si>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</si>
  <si>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</si>
  <si>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</si>
  <si>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</si>
  <si>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</si>
  <si>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</si>
  <si>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</si>
  <si>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</si>
  <si>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</si>
  <si>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</si>
  <si>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</si>
  <si>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</si>
  <si>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</si>
  <si>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</si>
  <si>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</si>
  <si>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</si>
  <si>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</si>
  <si>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</si>
  <si>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</si>
  <si>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</si>
  <si>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</si>
  <si>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</si>
  <si>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</si>
  <si>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</si>
  <si>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</si>
  <si>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</si>
  <si>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</si>
  <si>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</si>
  <si>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</si>
  <si>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</si>
  <si>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</si>
  <si>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</si>
  <si>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</si>
  <si>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</si>
  <si>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</si>
  <si>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</si>
  <si>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</si>
  <si>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</si>
  <si>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</si>
  <si>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</si>
  <si>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</si>
  <si>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</si>
  <si>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</si>
  <si>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</si>
  <si>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</si>
  <si>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</si>
  <si>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</si>
  <si>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</si>
  <si>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</si>
  <si>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</si>
  <si>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</si>
  <si>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</si>
  <si>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</si>
  <si>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</si>
  <si>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</si>
  <si>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</si>
  <si>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</si>
  <si>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</si>
  <si>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</si>
  <si>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</si>
  <si>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</si>
  <si>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</si>
  <si>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</si>
  <si>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</si>
  <si>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</si>
  <si>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</si>
  <si>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</si>
  <si>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</si>
  <si>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</si>
  <si>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</si>
  <si>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</si>
  <si>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</si>
  <si>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</si>
  <si>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</si>
  <si>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</si>
  <si>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</si>
  <si>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</si>
  <si>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</si>
  <si>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</si>
  <si>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</si>
  <si>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</si>
  <si>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</si>
  <si>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</si>
  <si>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</si>
  <si>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</si>
  <si>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</si>
  <si>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</si>
  <si>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</si>
  <si>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</si>
  <si>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</si>
  <si>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</si>
  <si>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</si>
  <si>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</si>
  <si>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</si>
  <si>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</si>
  <si>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</si>
  <si>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</si>
  <si>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</si>
  <si>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</si>
  <si>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</si>
  <si>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</si>
  <si>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</si>
  <si>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</si>
  <si>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</si>
  <si>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</si>
  <si>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</si>
  <si>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</si>
  <si>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</si>
  <si>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</si>
  <si>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</si>
  <si>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</si>
  <si>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</si>
  <si>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</si>
  <si>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</si>
  <si>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</si>
  <si>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</si>
  <si>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</si>
  <si>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</si>
  <si>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</si>
  <si>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</si>
  <si>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</si>
  <si>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</si>
  <si>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</si>
  <si>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</si>
  <si>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</si>
  <si>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</si>
  <si>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</si>
  <si>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</si>
  <si>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</si>
  <si>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</si>
  <si>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</si>
  <si>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</si>
  <si>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</si>
  <si>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</si>
  <si>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</si>
  <si>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</si>
  <si>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</si>
  <si>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</si>
  <si>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</si>
  <si>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</si>
  <si>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</si>
  <si>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</si>
  <si>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</si>
  <si>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</si>
  <si>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</si>
  <si>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</si>
  <si>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</si>
  <si>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</si>
  <si>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</si>
  <si>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</si>
  <si>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</si>
  <si>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</si>
  <si>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</si>
  <si>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</si>
  <si>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</si>
  <si>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</si>
  <si>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</si>
  <si>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</si>
  <si>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</si>
  <si>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</si>
  <si>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</si>
  <si>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</si>
  <si>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</si>
  <si>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</si>
  <si>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</si>
  <si>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</si>
  <si>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</si>
  <si>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</si>
  <si>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</si>
  <si>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</si>
  <si>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</si>
  <si>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</si>
  <si>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</si>
  <si>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</si>
  <si>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</si>
  <si>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</si>
  <si>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</si>
  <si>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</si>
  <si>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</si>
  <si>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</si>
  <si>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</si>
  <si>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</si>
  <si>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</si>
  <si>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</si>
  <si>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</si>
  <si>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</si>
  <si>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</si>
  <si>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</si>
  <si>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</si>
  <si>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</si>
  <si>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</si>
  <si>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</si>
  <si>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</si>
  <si>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</si>
  <si>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</si>
  <si>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</si>
  <si>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</si>
  <si>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</si>
  <si>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</si>
  <si>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</si>
  <si>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</si>
  <si>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</si>
  <si>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</si>
  <si>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</si>
  <si>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</si>
  <si>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</si>
  <si>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</si>
  <si>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</si>
  <si>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</si>
  <si>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</si>
  <si>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</si>
  <si>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</si>
  <si>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</si>
  <si>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</si>
  <si>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</si>
  <si>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</si>
  <si>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</si>
  <si>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</si>
  <si>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</si>
  <si>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</si>
  <si>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</si>
  <si>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</si>
  <si>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</si>
  <si>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</si>
  <si>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</si>
  <si>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</si>
  <si>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</si>
  <si>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</si>
  <si>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</si>
  <si>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</si>
  <si>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</si>
  <si>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</si>
  <si>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</si>
  <si>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</si>
  <si>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</si>
  <si>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</si>
  <si>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</si>
  <si>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</si>
  <si>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</si>
  <si>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</si>
  <si>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</si>
  <si>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</si>
  <si>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</si>
  <si>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</si>
  <si>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</si>
  <si>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</si>
  <si>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</si>
  <si>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</si>
  <si>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</si>
  <si>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</si>
  <si>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</si>
  <si>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</si>
  <si>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</si>
  <si>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</si>
  <si>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</si>
  <si>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</si>
  <si>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</si>
  <si>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</si>
  <si>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</si>
  <si>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</si>
  <si>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</si>
  <si>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</si>
  <si>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</si>
  <si>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</si>
  <si>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</si>
  <si>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</si>
  <si>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</si>
  <si>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</si>
  <si>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</si>
  <si>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</si>
  <si>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</si>
  <si>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</si>
  <si>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</si>
  <si>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</si>
  <si>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</si>
  <si>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</si>
  <si>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</si>
  <si>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</si>
  <si>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</si>
  <si>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</si>
  <si>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</si>
  <si>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</si>
  <si>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</si>
  <si>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</si>
  <si>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</si>
  <si>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</si>
  <si>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</si>
  <si>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</si>
  <si>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</si>
  <si>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</si>
  <si>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</si>
  <si>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</si>
  <si>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</si>
  <si>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</si>
  <si>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</si>
  <si>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</si>
  <si>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</si>
  <si>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</si>
  <si>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</si>
  <si>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</si>
  <si>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</si>
  <si>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</si>
  <si>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</si>
  <si>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</si>
  <si>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</si>
  <si>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</si>
  <si>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</si>
  <si>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</si>
  <si>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</si>
  <si>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</si>
  <si>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</si>
  <si>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</si>
  <si>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</si>
  <si>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</si>
  <si>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</si>
  <si>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</si>
  <si>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</si>
  <si>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</si>
  <si>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</si>
  <si>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</si>
  <si>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</si>
  <si>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</si>
  <si>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</si>
  <si>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</si>
  <si>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</si>
  <si>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</si>
  <si>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</si>
  <si>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</si>
  <si>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</si>
  <si>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</si>
  <si>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</si>
  <si>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</si>
  <si>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</si>
  <si>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</si>
  <si>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</si>
  <si>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</si>
  <si>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</si>
  <si>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</si>
  <si>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</si>
  <si>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</si>
  <si>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</si>
  <si>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</si>
  <si>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</si>
  <si>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</si>
  <si>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</si>
  <si>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</si>
  <si>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</si>
  <si>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</si>
  <si>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</si>
  <si>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</si>
  <si>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</si>
  <si>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</si>
  <si>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</si>
  <si>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</si>
  <si>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</si>
  <si>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</si>
  <si>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</si>
  <si>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</si>
  <si>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</si>
  <si>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</si>
  <si>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</si>
  <si>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</si>
  <si>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</si>
  <si>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</si>
  <si>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</si>
  <si>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</si>
  <si>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</si>
  <si>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</si>
  <si>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</si>
  <si>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</si>
  <si>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</si>
  <si>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</si>
  <si>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</si>
  <si>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</si>
  <si>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</si>
  <si>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</si>
  <si>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</si>
  <si>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</si>
  <si>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</si>
  <si>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</si>
  <si>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</si>
  <si>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</si>
  <si>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</si>
  <si>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</si>
  <si>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</si>
  <si>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</si>
  <si>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</si>
  <si>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</si>
  <si>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</si>
  <si>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</si>
  <si>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</si>
  <si>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</si>
  <si>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</si>
  <si>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</si>
  <si>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</si>
  <si>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</si>
  <si>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</si>
  <si>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</si>
  <si>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</si>
  <si>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</si>
  <si>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</si>
  <si>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</si>
  <si>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</si>
  <si>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</si>
  <si>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</si>
  <si>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</si>
  <si>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</si>
  <si>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</si>
  <si>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</si>
  <si>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</si>
  <si>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</si>
  <si>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</si>
  <si>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</si>
  <si>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</si>
  <si>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</si>
  <si>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</si>
  <si>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</si>
  <si>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</si>
  <si>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</si>
  <si>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</si>
  <si>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</si>
  <si>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</si>
  <si>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</si>
  <si>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</si>
  <si>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</si>
  <si>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</si>
  <si>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</si>
  <si>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</si>
  <si>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</si>
  <si>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</si>
  <si>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</si>
  <si>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</si>
  <si>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</si>
  <si>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</si>
  <si>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</si>
  <si>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</si>
  <si>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</si>
  <si>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</si>
  <si>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</si>
  <si>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</si>
  <si>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</si>
  <si>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</si>
  <si>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</si>
  <si>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</si>
  <si>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</si>
  <si>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</si>
  <si>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</si>
  <si>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</si>
  <si>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</si>
  <si>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</si>
  <si>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</si>
  <si>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</si>
  <si>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</si>
  <si>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</si>
  <si>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</si>
  <si>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</si>
  <si>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</si>
  <si>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</si>
  <si>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</si>
  <si>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</si>
  <si>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</si>
  <si>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</si>
  <si>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</si>
  <si>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</si>
  <si>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</si>
  <si>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</si>
  <si>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</si>
  <si>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</si>
  <si>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</si>
  <si>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</si>
  <si>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</si>
  <si>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</si>
  <si>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</si>
  <si>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</si>
  <si>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</si>
  <si>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</si>
  <si>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</si>
  <si>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</si>
  <si>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</si>
  <si>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</si>
  <si>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</si>
  <si>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</si>
  <si>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</si>
  <si>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</si>
  <si>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</si>
  <si>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</si>
  <si>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</si>
  <si>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</si>
  <si>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</si>
  <si>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</si>
  <si>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</si>
  <si>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</si>
  <si>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</si>
  <si>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</si>
  <si>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</si>
  <si>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</si>
  <si>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</si>
  <si>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</si>
  <si>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</si>
  <si>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</si>
  <si>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</si>
  <si>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</si>
  <si>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</si>
  <si>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</si>
  <si>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</si>
  <si>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</si>
  <si>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</si>
  <si>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</si>
  <si>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</si>
  <si>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</si>
  <si>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</si>
  <si>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</si>
  <si>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</si>
  <si>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</si>
  <si>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</si>
  <si>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</si>
  <si>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</si>
  <si>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</si>
  <si>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</si>
  <si>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</si>
  <si>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</si>
  <si>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</si>
  <si>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</si>
  <si>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</si>
  <si>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</si>
  <si>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</si>
  <si>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</si>
  <si>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</si>
  <si>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</si>
  <si>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</si>
  <si>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</si>
  <si>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</si>
  <si>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</si>
  <si>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</si>
  <si>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</si>
  <si>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</si>
  <si>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</si>
  <si>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</si>
  <si>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</si>
  <si>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</si>
  <si>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</si>
  <si>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</si>
  <si>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</si>
  <si>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</si>
  <si>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</si>
  <si>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</si>
  <si>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Peoria</t>
  </si>
  <si>
    <t>4812 W Pfeiffer Road</t>
  </si>
  <si>
    <t>Bartonville</t>
  </si>
  <si>
    <t>kbeverlin@seapco.org</t>
  </si>
  <si>
    <t>Lora Haas</t>
  </si>
  <si>
    <t>lhass@seapco.org</t>
  </si>
  <si>
    <t>309-697-0880</t>
  </si>
  <si>
    <t>309-697-5194</t>
  </si>
  <si>
    <t>CliftonLarsonAllen LLP</t>
  </si>
  <si>
    <t>Adam Pulley</t>
  </si>
  <si>
    <t>301 SW Adams Street, Suite 1000</t>
  </si>
  <si>
    <t>IL</t>
  </si>
  <si>
    <t>309-671-4500</t>
  </si>
  <si>
    <t>309-671-4508</t>
  </si>
  <si>
    <t>066-004450</t>
  </si>
  <si>
    <t>adam.pulley@claconnect.com</t>
  </si>
  <si>
    <t>See Finding 2019-001.</t>
  </si>
  <si>
    <t>2018-001</t>
  </si>
  <si>
    <t>The Association does not have an internal control policy in place over annual financial reporting that would enable management to prepare its financial statements and ensure related footnote disclosures are complete and presented in accordance with all reporting guidelines, including the Schedule of Expenditures of Federal Awards (SEFA) required by Uniform Guidance.</t>
  </si>
  <si>
    <t>Repeated in 2019 as Finding 2019-001.</t>
  </si>
  <si>
    <t>None</t>
  </si>
  <si>
    <t>Management is responsible for establishing and maintaining internal controls and for the fair presentation of the financial statements, including the related footnote disclosures (required by generally accepted accounting principles) and the reporting guidelines as prescribed by ISBE.</t>
  </si>
  <si>
    <t>Management has informed us that they do not have an internal control policy in place over the annual financial reporting and that they do not have the necessary staff capacity to prepare the financial statements, including footnote disclosures, and the SEFA.</t>
  </si>
  <si>
    <t>The potential exists that a misstatement of the financial statements could occur and not be prevented or
detected by the Association’s internal controls.</t>
  </si>
  <si>
    <t>The Association relies on CliftonLarsonAllen to prepare the financial statements, including footnote disclosures, and the SEFA. However, the Association has reviewed and approved the financial statements, including footnote disclosures, and the SEFA.</t>
  </si>
  <si>
    <t>Management should continue to evaluate their internal staff capacity to determine if an internal control policy over the annual financial reporting is beneficial.</t>
  </si>
  <si>
    <t>Management and the Executive Committee of the Association will take this condition under advisement and discuss the cost-benefit of additional personnel to improve the above mentioned controls.</t>
  </si>
  <si>
    <t>Unmodified</t>
  </si>
  <si>
    <t>84.027 and 84.173</t>
  </si>
  <si>
    <t>IDEA Cluster</t>
  </si>
  <si>
    <t>Of the federal expenditures presented in the schedule, the Association provided federal awards to subrecipients as follows:</t>
  </si>
  <si>
    <t>N/A</t>
  </si>
  <si>
    <t>U.S. Department of Education</t>
  </si>
  <si>
    <t>2018-4600-00</t>
  </si>
  <si>
    <t>2019-4600-00</t>
  </si>
  <si>
    <t xml:space="preserve">   Passed through the Illinois State Board of Education</t>
  </si>
  <si>
    <t xml:space="preserve">     Preschool Flow Through (M)</t>
  </si>
  <si>
    <t xml:space="preserve">       Total Preschool Flow Through (IDEA Cluster)</t>
  </si>
  <si>
    <t xml:space="preserve">     IDEA Flow Through (M)</t>
  </si>
  <si>
    <t xml:space="preserve">       Total IDEA Flow Through (IDEA Cluster)</t>
  </si>
  <si>
    <t>2018-4620-00</t>
  </si>
  <si>
    <t>2019-4620-00</t>
  </si>
  <si>
    <t>Total IDEA Cluster</t>
  </si>
  <si>
    <t>Total passed through the Illinois State Board of Education</t>
  </si>
  <si>
    <t xml:space="preserve">     Secondary Transitional Experience Program</t>
  </si>
  <si>
    <t xml:space="preserve">       Total Secondary Transitional Experience Program</t>
  </si>
  <si>
    <t>Total U.S. Department of Education</t>
  </si>
  <si>
    <t>846CWF00152</t>
  </si>
  <si>
    <t>946CXF00152</t>
  </si>
  <si>
    <t>U.S. Department of Health and Human Services</t>
  </si>
  <si>
    <t xml:space="preserve">   Passed through the Illinois Department of Healthcare and Family Services</t>
  </si>
  <si>
    <t xml:space="preserve">     Medicaid Matching Funds - Administrative Outreach</t>
  </si>
  <si>
    <t>Total U.S. Department of Health and Human Services</t>
  </si>
  <si>
    <t>Total Federal Awards</t>
  </si>
  <si>
    <t>Preschool Flow Through - various school districts</t>
  </si>
  <si>
    <t>IDEA Flow Through - various school districts</t>
  </si>
  <si>
    <t>Page 14, Line 265 - STEP Third Party Base Plus Performance $73,549</t>
  </si>
  <si>
    <t>AUDIT CHECK Line 80 - Tab is not completed due to Association not utilizing the indirect cost rate.</t>
  </si>
  <si>
    <t>Page 5, Line 12 - Due from Employees $23,414</t>
  </si>
  <si>
    <t>Page 11, Line 107 - Miscellaneous Local Revenue $36,769</t>
  </si>
  <si>
    <t>Page 16, Line 83 - Subrecipient Payments to Other Districts Other Objects $309,758</t>
  </si>
  <si>
    <t>Bartonville, IL 61607</t>
  </si>
  <si>
    <t>Peoria, IL 61602</t>
  </si>
  <si>
    <t xml:space="preserve">   Passed through the Illinois Department of Human Services</t>
  </si>
  <si>
    <t>The accompanying Schedule of Expenditures of Federal Awards includes the federal grant activity of Special Education Association of Peoria County (the Association)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</si>
  <si>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the Association and </t>
    </r>
    <r>
      <rPr>
        <b/>
        <sz val="9"/>
        <rFont val="Calibri"/>
        <family val="2"/>
        <scheme val="minor"/>
      </rPr>
      <t>should be</t>
    </r>
    <r>
      <rPr>
        <sz val="9"/>
        <rFont val="Calibri"/>
        <family val="2"/>
        <scheme val="minor"/>
      </rPr>
      <t xml:space="preserve"> included in the Schedule of Expenditures of Federal Awards:</t>
    </r>
  </si>
  <si>
    <t>Type of auditors' report issued on compliance for major programs:</t>
  </si>
  <si>
    <t>Type of auditors' report issued:</t>
  </si>
  <si>
    <t>SECTION I - SUMMARY OF AUDITORS' RESULTS</t>
  </si>
  <si>
    <t>Spec Educ Assoc of Peoria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</si>
</sst>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6" fillId="0" borderId="0" xfId="3" applyFont="1" applyBorder="1" applyAlignment="1" applyProtection="1">
      <alignment wrapText="1"/>
      <protection locked="0"/>
    </xf>
    <xf numFmtId="179" fontId="56" fillId="0" borderId="0" xfId="3" applyNumberFormat="1" applyFont="1" applyBorder="1" applyAlignment="1" applyProtection="1">
      <alignment vertical="top"/>
      <protection locked="0"/>
    </xf>
    <xf numFmtId="0" fontId="56" fillId="0" borderId="0" xfId="3" applyFont="1" applyBorder="1" applyAlignment="1" applyProtection="1">
      <alignment vertical="top"/>
      <protection locked="0"/>
    </xf>
    <xf numFmtId="3" fontId="97" fillId="0" borderId="22" xfId="3" applyNumberFormat="1" applyFont="1" applyBorder="1" applyAlignment="1" applyProtection="1">
      <alignment horizontal="center"/>
      <protection locked="0"/>
    </xf>
    <xf numFmtId="3" fontId="97" fillId="0" borderId="8"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97" fillId="0" borderId="22" xfId="3" applyNumberFormat="1" applyFont="1" applyFill="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left"/>
    </xf>
    <xf numFmtId="0" fontId="64" fillId="0" borderId="0" xfId="3" applyFont="1" applyBorder="1" applyAlignment="1" applyProtection="1">
      <alignment horizontal="left"/>
    </xf>
    <xf numFmtId="0" fontId="64" fillId="0" borderId="40" xfId="3" applyFont="1" applyBorder="1" applyAlignment="1" applyProtection="1">
      <alignment horizontal="left"/>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1984</v>
      </c>
      <c r="B1" s="45"/>
      <c r="C1" s="45"/>
      <c r="D1" s="46"/>
      <c r="I1" s="1991" t="s">
        <v>405</v>
      </c>
      <c r="J1" s="1992"/>
      <c r="K1" s="1992"/>
      <c r="L1" s="1992"/>
      <c r="M1" s="1992"/>
      <c r="N1" s="1992"/>
      <c r="O1" s="1992"/>
      <c r="P1" s="1992"/>
      <c r="Q1" s="1992"/>
      <c r="R1" s="1992"/>
      <c r="S1" s="1992"/>
    </row>
    <row r="2" spans="1:28" ht="12" customHeight="1" x14ac:dyDescent="0.2">
      <c r="A2" s="47" t="s">
        <v>1985</v>
      </c>
      <c r="D2" s="48"/>
      <c r="I2" s="1993" t="s">
        <v>979</v>
      </c>
      <c r="J2" s="1992"/>
      <c r="K2" s="1992"/>
      <c r="L2" s="1992"/>
      <c r="M2" s="1992"/>
      <c r="N2" s="1992"/>
      <c r="O2" s="1992"/>
      <c r="P2" s="1992"/>
      <c r="Q2" s="1992"/>
      <c r="R2" s="1992"/>
      <c r="S2" s="1992"/>
    </row>
    <row r="3" spans="1:28" ht="12" customHeight="1" x14ac:dyDescent="0.2">
      <c r="A3" s="155" t="s">
        <v>1937</v>
      </c>
      <c r="B3" s="156"/>
      <c r="C3" s="156"/>
      <c r="D3" s="157"/>
      <c r="I3" s="1993" t="s">
        <v>52</v>
      </c>
      <c r="J3" s="1992"/>
      <c r="K3" s="1992"/>
      <c r="L3" s="1992"/>
      <c r="M3" s="1992"/>
      <c r="N3" s="1992"/>
      <c r="O3" s="1992"/>
      <c r="P3" s="1992"/>
      <c r="Q3" s="1992"/>
      <c r="R3" s="1992"/>
      <c r="S3" s="1992"/>
    </row>
    <row r="4" spans="1:28" ht="12" customHeight="1" x14ac:dyDescent="0.2">
      <c r="A4" s="37"/>
      <c r="I4" s="1993" t="s">
        <v>524</v>
      </c>
      <c r="J4" s="1992"/>
      <c r="K4" s="1992"/>
      <c r="L4" s="1992"/>
      <c r="M4" s="1992"/>
      <c r="N4" s="1992"/>
      <c r="O4" s="1992"/>
      <c r="P4" s="1992"/>
      <c r="Q4" s="1992"/>
      <c r="R4" s="1992"/>
      <c r="S4" s="1992"/>
    </row>
    <row r="5" spans="1:28" ht="14.1" customHeight="1" x14ac:dyDescent="0.2">
      <c r="B5" s="104"/>
      <c r="C5" s="26" t="s">
        <v>910</v>
      </c>
      <c r="D5" s="84"/>
      <c r="E5" s="84"/>
      <c r="H5" s="38"/>
      <c r="I5" s="2001" t="s">
        <v>680</v>
      </c>
      <c r="J5" s="2000"/>
      <c r="K5" s="2000"/>
      <c r="L5" s="2000"/>
      <c r="M5" s="2000"/>
      <c r="N5" s="2000"/>
      <c r="O5" s="2000"/>
      <c r="P5" s="2000"/>
      <c r="Q5" s="2000"/>
      <c r="R5" s="2000"/>
      <c r="S5" s="2000"/>
    </row>
    <row r="6" spans="1:28" ht="14.1" customHeight="1" x14ac:dyDescent="0.2">
      <c r="B6" s="104" t="s">
        <v>2059</v>
      </c>
      <c r="C6" s="26" t="s">
        <v>911</v>
      </c>
      <c r="D6" s="84"/>
      <c r="E6" s="84"/>
      <c r="I6" s="1999" t="s">
        <v>883</v>
      </c>
      <c r="J6" s="2000"/>
      <c r="K6" s="2000"/>
      <c r="L6" s="2000"/>
      <c r="M6" s="2000"/>
      <c r="N6" s="2000"/>
      <c r="O6" s="2000"/>
      <c r="P6" s="2000"/>
      <c r="Q6" s="2000"/>
      <c r="R6" s="2000"/>
      <c r="S6" s="2000"/>
    </row>
    <row r="7" spans="1:28" ht="12.2" customHeight="1" x14ac:dyDescent="0.2">
      <c r="I7" s="1994">
        <v>43646</v>
      </c>
      <c r="J7" s="1995"/>
      <c r="K7" s="1995"/>
      <c r="L7" s="1995"/>
      <c r="M7" s="1995"/>
      <c r="N7" s="1995"/>
      <c r="O7" s="1995"/>
      <c r="P7" s="1995"/>
      <c r="Q7" s="1995"/>
      <c r="R7" s="1995"/>
      <c r="S7" s="199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6" t="s">
        <v>674</v>
      </c>
      <c r="J9" s="1997"/>
      <c r="K9" s="1997"/>
      <c r="L9" s="1997"/>
      <c r="M9" s="1997"/>
      <c r="N9" s="1997"/>
      <c r="O9" s="1997"/>
      <c r="P9" s="1997"/>
      <c r="Q9" s="1997"/>
      <c r="R9" s="1997"/>
      <c r="S9" s="1998"/>
      <c r="T9" s="2012" t="s">
        <v>533</v>
      </c>
      <c r="U9" s="2013"/>
      <c r="V9" s="2013"/>
      <c r="W9" s="2013"/>
      <c r="X9" s="2013"/>
      <c r="Y9" s="2013"/>
      <c r="Z9" s="2013"/>
      <c r="AA9" s="2014"/>
    </row>
    <row r="10" spans="1:28" ht="13.5" customHeight="1" x14ac:dyDescent="0.2">
      <c r="A10" s="2019" t="s">
        <v>675</v>
      </c>
      <c r="B10" s="2020"/>
      <c r="C10" s="2020"/>
      <c r="D10" s="2020"/>
      <c r="E10" s="2020"/>
      <c r="F10" s="2020"/>
      <c r="G10" s="2020"/>
      <c r="H10" s="2021"/>
      <c r="I10" s="29"/>
      <c r="J10" s="30"/>
      <c r="K10" s="28"/>
      <c r="R10" s="30"/>
      <c r="S10" s="30"/>
      <c r="T10" s="2015"/>
      <c r="U10" s="2000"/>
      <c r="V10" s="2000"/>
      <c r="W10" s="2000"/>
      <c r="X10" s="2000"/>
      <c r="Y10" s="2000"/>
      <c r="Z10" s="2000"/>
      <c r="AA10" s="2006"/>
    </row>
    <row r="11" spans="1:28" ht="14.25" customHeight="1" x14ac:dyDescent="0.2">
      <c r="A11" s="2022" t="s">
        <v>955</v>
      </c>
      <c r="B11" s="2023"/>
      <c r="C11" s="2023"/>
      <c r="D11" s="2023"/>
      <c r="E11" s="2023"/>
      <c r="F11" s="2023"/>
      <c r="G11" s="2023"/>
      <c r="H11" s="2024"/>
      <c r="I11" s="27"/>
      <c r="J11" s="74"/>
      <c r="K11" s="27"/>
      <c r="O11" s="148" t="s">
        <v>2059</v>
      </c>
      <c r="P11" s="100" t="s">
        <v>201</v>
      </c>
      <c r="Q11" s="30"/>
      <c r="R11" s="28"/>
      <c r="S11" s="27"/>
      <c r="T11" s="2016"/>
      <c r="U11" s="2017"/>
      <c r="V11" s="2017"/>
      <c r="W11" s="2017"/>
      <c r="X11" s="2017"/>
      <c r="Y11" s="2017"/>
      <c r="Z11" s="2017"/>
      <c r="AA11" s="201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6">
        <v>4872000061</v>
      </c>
      <c r="B13" s="2027"/>
      <c r="C13" s="2027"/>
      <c r="D13" s="2027"/>
      <c r="E13" s="2027"/>
      <c r="F13" s="2027"/>
      <c r="G13" s="2027"/>
      <c r="H13" s="2028"/>
      <c r="I13" s="31"/>
      <c r="J13" s="30"/>
      <c r="K13" s="28"/>
      <c r="L13" s="30"/>
      <c r="M13" s="30"/>
      <c r="N13" s="30"/>
      <c r="O13" s="30"/>
      <c r="P13" s="30"/>
      <c r="Q13" s="30"/>
      <c r="R13" s="30"/>
      <c r="S13" s="30"/>
      <c r="T13" s="2031" t="s">
        <v>2068</v>
      </c>
      <c r="U13" s="2032"/>
      <c r="V13" s="2032"/>
      <c r="W13" s="2032"/>
      <c r="X13" s="2032"/>
      <c r="Y13" s="2033"/>
      <c r="Z13" s="2033"/>
      <c r="AA13" s="2034"/>
    </row>
    <row r="14" spans="1:28" ht="14.1" customHeight="1" x14ac:dyDescent="0.2">
      <c r="A14" s="85" t="s">
        <v>713</v>
      </c>
      <c r="B14" s="76"/>
      <c r="C14" s="76"/>
      <c r="D14" s="76"/>
      <c r="E14" s="76"/>
      <c r="F14" s="76"/>
      <c r="G14" s="76"/>
      <c r="H14" s="53"/>
      <c r="I14" s="116"/>
      <c r="S14" s="48"/>
      <c r="T14" s="85" t="s">
        <v>1326</v>
      </c>
      <c r="U14" s="51"/>
      <c r="V14" s="51"/>
      <c r="W14" s="51"/>
      <c r="X14" s="51"/>
      <c r="Y14" s="45"/>
      <c r="Z14" s="45"/>
      <c r="AA14" s="46"/>
    </row>
    <row r="15" spans="1:28" ht="13.5" customHeight="1" x14ac:dyDescent="0.2">
      <c r="A15" s="2025" t="s">
        <v>2060</v>
      </c>
      <c r="B15" s="2029"/>
      <c r="C15" s="2029"/>
      <c r="D15" s="2029"/>
      <c r="E15" s="2029"/>
      <c r="F15" s="2029"/>
      <c r="G15" s="2029"/>
      <c r="H15" s="2030"/>
      <c r="T15" s="2035" t="s">
        <v>2069</v>
      </c>
      <c r="U15" s="1979"/>
      <c r="V15" s="1979"/>
      <c r="W15" s="1979"/>
      <c r="X15" s="1979"/>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2129</v>
      </c>
      <c r="B17" s="1986"/>
      <c r="C17" s="1986"/>
      <c r="D17" s="1986"/>
      <c r="E17" s="1986"/>
      <c r="F17" s="1986"/>
      <c r="G17" s="1986"/>
      <c r="H17" s="2011"/>
      <c r="T17" s="2042" t="s">
        <v>2070</v>
      </c>
      <c r="U17" s="2043"/>
      <c r="V17" s="2043"/>
      <c r="W17" s="2043"/>
      <c r="X17" s="2043"/>
      <c r="Y17" s="2043"/>
      <c r="Z17" s="2043"/>
      <c r="AA17" s="2044"/>
    </row>
    <row r="18" spans="1:27" ht="13.5" customHeight="1" x14ac:dyDescent="0.2">
      <c r="A18" s="85" t="s">
        <v>530</v>
      </c>
      <c r="B18" s="76"/>
      <c r="C18" s="72"/>
      <c r="D18" s="76"/>
      <c r="E18" s="76"/>
      <c r="F18" s="76"/>
      <c r="G18" s="76"/>
      <c r="H18" s="56"/>
      <c r="I18" s="2010" t="s">
        <v>676</v>
      </c>
      <c r="J18" s="1961"/>
      <c r="K18" s="1961"/>
      <c r="L18" s="1961"/>
      <c r="M18" s="1961"/>
      <c r="N18" s="1961"/>
      <c r="O18" s="1961"/>
      <c r="P18" s="1961"/>
      <c r="Q18" s="1961"/>
      <c r="R18" s="1961"/>
      <c r="S18" s="1962"/>
      <c r="T18" s="85" t="s">
        <v>711</v>
      </c>
      <c r="U18" s="51"/>
      <c r="V18" s="72"/>
      <c r="W18" s="50"/>
      <c r="X18" s="85" t="s">
        <v>266</v>
      </c>
      <c r="Y18" s="81"/>
      <c r="Z18" s="159" t="s">
        <v>677</v>
      </c>
      <c r="AA18" s="46"/>
    </row>
    <row r="19" spans="1:27" ht="13.5" customHeight="1" x14ac:dyDescent="0.2">
      <c r="A19" s="2025" t="s">
        <v>2061</v>
      </c>
      <c r="B19" s="1971"/>
      <c r="C19" s="1971"/>
      <c r="D19" s="1971"/>
      <c r="E19" s="1971"/>
      <c r="F19" s="1971"/>
      <c r="G19" s="1971"/>
      <c r="H19" s="1951"/>
      <c r="I19" s="30"/>
      <c r="J19" s="99"/>
      <c r="K19" s="40"/>
      <c r="L19" s="38"/>
      <c r="M19" s="112" t="s">
        <v>315</v>
      </c>
      <c r="P19" s="27"/>
      <c r="Q19" s="27"/>
      <c r="R19" s="27"/>
      <c r="S19" s="31"/>
      <c r="T19" s="2025" t="s">
        <v>2060</v>
      </c>
      <c r="U19" s="1950"/>
      <c r="V19" s="1950"/>
      <c r="W19" s="1951"/>
      <c r="X19" s="2040" t="s">
        <v>2071</v>
      </c>
      <c r="Y19" s="2041"/>
      <c r="Z19" s="2038">
        <v>61602</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9" t="s">
        <v>2062</v>
      </c>
      <c r="B21" s="1950"/>
      <c r="C21" s="1950"/>
      <c r="D21" s="1950"/>
      <c r="E21" s="1950"/>
      <c r="F21" s="1950"/>
      <c r="G21" s="1950"/>
      <c r="H21" s="1951"/>
      <c r="I21" s="2005" t="s">
        <v>678</v>
      </c>
      <c r="J21" s="2000"/>
      <c r="K21" s="2000"/>
      <c r="L21" s="2000"/>
      <c r="M21" s="2000"/>
      <c r="N21" s="2000"/>
      <c r="O21" s="2000"/>
      <c r="P21" s="2000"/>
      <c r="Q21" s="2000"/>
      <c r="R21" s="2000"/>
      <c r="S21" s="2006"/>
      <c r="T21" s="2049" t="s">
        <v>2072</v>
      </c>
      <c r="U21" s="2050"/>
      <c r="V21" s="2050"/>
      <c r="W21" s="2050"/>
      <c r="X21" s="2055" t="s">
        <v>2073</v>
      </c>
      <c r="Y21" s="2056"/>
      <c r="Z21" s="2056"/>
      <c r="AA21" s="2057"/>
    </row>
    <row r="22" spans="1:27" ht="13.5" customHeight="1" x14ac:dyDescent="0.2">
      <c r="A22" s="87" t="s">
        <v>531</v>
      </c>
      <c r="B22" s="59"/>
      <c r="C22" s="59"/>
      <c r="D22" s="59"/>
      <c r="E22" s="59"/>
      <c r="F22" s="59"/>
      <c r="G22" s="59"/>
      <c r="H22" s="60"/>
      <c r="I22" s="2007" t="s">
        <v>1426</v>
      </c>
      <c r="J22" s="2008"/>
      <c r="K22" s="2008"/>
      <c r="L22" s="2008"/>
      <c r="M22" s="2008"/>
      <c r="N22" s="2008"/>
      <c r="O22" s="2008"/>
      <c r="P22" s="2008"/>
      <c r="Q22" s="2008"/>
      <c r="R22" s="2008"/>
      <c r="S22" s="2009"/>
      <c r="T22" s="85" t="s">
        <v>1513</v>
      </c>
      <c r="U22" s="51"/>
      <c r="V22" s="72"/>
      <c r="W22" s="51"/>
      <c r="X22" s="160" t="s">
        <v>1315</v>
      </c>
      <c r="Z22" s="45"/>
      <c r="AA22" s="46"/>
    </row>
    <row r="23" spans="1:27" ht="13.5" customHeight="1" x14ac:dyDescent="0.2">
      <c r="A23" s="2002" t="s">
        <v>2063</v>
      </c>
      <c r="B23" s="2003"/>
      <c r="C23" s="2003"/>
      <c r="D23" s="2003"/>
      <c r="E23" s="2003"/>
      <c r="F23" s="2003"/>
      <c r="G23" s="2003"/>
      <c r="H23" s="2004"/>
      <c r="T23" s="1985" t="s">
        <v>2074</v>
      </c>
      <c r="U23" s="2048"/>
      <c r="V23" s="2048"/>
      <c r="W23" s="2048"/>
      <c r="X23" s="2052">
        <v>44530</v>
      </c>
      <c r="Y23" s="2053"/>
      <c r="Z23" s="2053"/>
      <c r="AA23" s="2054"/>
    </row>
    <row r="24" spans="1:27" ht="14.1" customHeight="1" x14ac:dyDescent="0.2">
      <c r="A24" s="88" t="s">
        <v>677</v>
      </c>
      <c r="B24" s="49"/>
      <c r="C24" s="49"/>
      <c r="D24" s="49"/>
      <c r="E24" s="49"/>
      <c r="F24" s="49"/>
      <c r="G24" s="49"/>
      <c r="H24" s="61"/>
      <c r="J24" s="1972" t="str">
        <f>IF(B5="x",IF(AUDITCHECK!D29="AFR form Incomplete.","",IF(AUDITCHECK!D29="Deficit reduction plan is required.","School District must complete a deficit reduction plan in the 2019-2020 Budget",)),"")</f>
        <v/>
      </c>
      <c r="K24" s="1972"/>
      <c r="L24" s="1972"/>
      <c r="M24" s="1972"/>
      <c r="N24" s="1972"/>
      <c r="O24" s="1972"/>
      <c r="P24" s="1972"/>
      <c r="Q24" s="1972"/>
      <c r="R24" s="1972"/>
      <c r="S24" s="1973"/>
      <c r="T24" s="105" t="s">
        <v>531</v>
      </c>
      <c r="U24" s="106"/>
      <c r="V24" s="106"/>
      <c r="W24" s="106"/>
      <c r="X24" s="107"/>
      <c r="Y24" s="107"/>
      <c r="Z24" s="107"/>
      <c r="AA24" s="108"/>
    </row>
    <row r="25" spans="1:27" ht="14.1" customHeight="1" x14ac:dyDescent="0.2">
      <c r="A25" s="1949">
        <v>61607</v>
      </c>
      <c r="B25" s="1950"/>
      <c r="C25" s="1950"/>
      <c r="D25" s="1950"/>
      <c r="E25" s="1950"/>
      <c r="F25" s="1950"/>
      <c r="G25" s="1950"/>
      <c r="H25" s="1951"/>
      <c r="I25" s="113"/>
      <c r="J25" s="1974"/>
      <c r="K25" s="1974"/>
      <c r="L25" s="1974"/>
      <c r="M25" s="1974"/>
      <c r="N25" s="1974"/>
      <c r="O25" s="1974"/>
      <c r="P25" s="1974"/>
      <c r="Q25" s="1974"/>
      <c r="R25" s="1974"/>
      <c r="S25" s="1975"/>
      <c r="T25" s="2045" t="s">
        <v>2075</v>
      </c>
      <c r="U25" s="2046"/>
      <c r="V25" s="2046"/>
      <c r="W25" s="2046"/>
      <c r="X25" s="2046"/>
      <c r="Y25" s="2046"/>
      <c r="Z25" s="2046"/>
      <c r="AA25" s="20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0" t="s">
        <v>1508</v>
      </c>
      <c r="J27" s="1961"/>
      <c r="K27" s="1961"/>
      <c r="L27" s="1961"/>
      <c r="M27" s="1961"/>
      <c r="N27" s="1961"/>
      <c r="O27" s="1961"/>
      <c r="P27" s="1961"/>
      <c r="Q27" s="1961"/>
      <c r="R27" s="1961"/>
      <c r="S27" s="196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2059</v>
      </c>
      <c r="F29" s="141" t="s">
        <v>1313</v>
      </c>
      <c r="G29" s="114"/>
      <c r="I29" s="54"/>
      <c r="J29" s="148" t="s">
        <v>2059</v>
      </c>
      <c r="K29" s="28" t="s">
        <v>576</v>
      </c>
      <c r="L29" s="102"/>
      <c r="M29" s="40" t="s">
        <v>99</v>
      </c>
      <c r="N29" s="32" t="s">
        <v>1520</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2059</v>
      </c>
      <c r="K30" s="28" t="s">
        <v>576</v>
      </c>
      <c r="L30" s="102"/>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2059</v>
      </c>
      <c r="K31" s="40" t="s">
        <v>885</v>
      </c>
      <c r="L31" s="102"/>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c r="Q35" s="1950"/>
      <c r="R35" s="195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2064</v>
      </c>
      <c r="B38" s="1986"/>
      <c r="C38" s="1986"/>
      <c r="D38" s="1986"/>
      <c r="E38" s="1986"/>
      <c r="F38" s="1950"/>
      <c r="G38" s="1950"/>
      <c r="H38" s="1951"/>
      <c r="I38" s="1978"/>
      <c r="J38" s="1979"/>
      <c r="K38" s="1979"/>
      <c r="L38" s="1979"/>
      <c r="M38" s="1979"/>
      <c r="N38" s="1979"/>
      <c r="O38" s="1979"/>
      <c r="P38" s="1980"/>
      <c r="Q38" s="1980"/>
      <c r="R38" s="1980"/>
      <c r="S38" s="1981"/>
      <c r="T38" s="2035"/>
      <c r="U38" s="1979"/>
      <c r="V38" s="1979"/>
      <c r="W38" s="1979"/>
      <c r="X38" s="1980"/>
      <c r="Y38" s="1980"/>
      <c r="Z38" s="1980"/>
      <c r="AA38" s="1981"/>
    </row>
    <row r="39" spans="1:27" ht="12" customHeight="1" x14ac:dyDescent="0.2">
      <c r="A39" s="1955" t="s">
        <v>531</v>
      </c>
      <c r="B39" s="1956"/>
      <c r="C39" s="72"/>
      <c r="D39" s="69"/>
      <c r="E39" s="69"/>
      <c r="F39" s="79"/>
      <c r="G39" s="69"/>
      <c r="H39" s="56"/>
      <c r="I39" s="1955" t="s">
        <v>531</v>
      </c>
      <c r="J39" s="1956"/>
      <c r="K39" s="1956"/>
      <c r="L39" s="1956"/>
      <c r="M39" s="1956"/>
      <c r="N39" s="67"/>
      <c r="O39" s="72"/>
      <c r="P39" s="72"/>
      <c r="Q39" s="78"/>
      <c r="R39" s="72"/>
      <c r="S39" s="56"/>
      <c r="T39" s="72" t="s">
        <v>531</v>
      </c>
      <c r="U39" s="51"/>
      <c r="V39" s="72"/>
      <c r="W39" s="50"/>
      <c r="X39" s="78"/>
      <c r="Y39" s="45"/>
      <c r="Z39" s="45"/>
      <c r="AA39" s="46"/>
    </row>
    <row r="40" spans="1:27" ht="13.5" customHeight="1" x14ac:dyDescent="0.2">
      <c r="A40" s="1963" t="s">
        <v>2065</v>
      </c>
      <c r="B40" s="1964"/>
      <c r="C40" s="1965"/>
      <c r="D40" s="1965"/>
      <c r="E40" s="1965"/>
      <c r="F40" s="1966"/>
      <c r="G40" s="1966"/>
      <c r="H40" s="1967"/>
      <c r="I40" s="1988"/>
      <c r="J40" s="1989"/>
      <c r="K40" s="1989"/>
      <c r="L40" s="1989"/>
      <c r="M40" s="1989"/>
      <c r="N40" s="1989"/>
      <c r="O40" s="1989"/>
      <c r="P40" s="1989"/>
      <c r="Q40" s="1989"/>
      <c r="R40" s="1989"/>
      <c r="S40" s="1990"/>
      <c r="T40" s="1988"/>
      <c r="U40" s="2051"/>
      <c r="V40" s="1989"/>
      <c r="W40" s="1989"/>
      <c r="X40" s="1989"/>
      <c r="Y40" s="1989"/>
      <c r="Z40" s="1989"/>
      <c r="AA40" s="199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7" t="s">
        <v>2066</v>
      </c>
      <c r="B42" s="1969"/>
      <c r="C42" s="1970"/>
      <c r="D42" s="1968" t="s">
        <v>2067</v>
      </c>
      <c r="E42" s="1969"/>
      <c r="F42" s="1969"/>
      <c r="G42" s="1969"/>
      <c r="H42" s="1970"/>
      <c r="I42" s="1952"/>
      <c r="J42" s="1953"/>
      <c r="K42" s="1953"/>
      <c r="L42" s="1953"/>
      <c r="M42" s="1953"/>
      <c r="N42" s="1953"/>
      <c r="O42" s="1954"/>
      <c r="P42" s="1987"/>
      <c r="Q42" s="1953"/>
      <c r="R42" s="1953"/>
      <c r="S42" s="1954"/>
      <c r="T42" s="1952"/>
      <c r="U42" s="1953"/>
      <c r="V42" s="1953"/>
      <c r="W42" s="1954"/>
      <c r="X42" s="1987"/>
      <c r="Y42" s="1953"/>
      <c r="Z42" s="1953"/>
      <c r="AA42" s="195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2"/>
      <c r="B44" s="1983"/>
      <c r="C44" s="1983"/>
      <c r="D44" s="1983"/>
      <c r="E44" s="1983"/>
      <c r="F44" s="1983"/>
      <c r="G44" s="1983"/>
      <c r="H44" s="1984"/>
      <c r="I44" s="1957"/>
      <c r="J44" s="1958"/>
      <c r="K44" s="1958"/>
      <c r="L44" s="1958"/>
      <c r="M44" s="1958"/>
      <c r="N44" s="1958"/>
      <c r="O44" s="1958"/>
      <c r="P44" s="1958"/>
      <c r="Q44" s="1958"/>
      <c r="R44" s="1958"/>
      <c r="S44" s="1959"/>
      <c r="T44" s="1957"/>
      <c r="U44" s="1976"/>
      <c r="V44" s="1976"/>
      <c r="W44" s="1976"/>
      <c r="X44" s="1976"/>
      <c r="Y44" s="1976"/>
      <c r="Z44" s="1958"/>
      <c r="AA44" s="1959"/>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1936</v>
      </c>
      <c r="D46" s="41"/>
      <c r="E46" s="41"/>
      <c r="F46" s="41"/>
      <c r="G46" s="41"/>
      <c r="Q46" s="29" t="s">
        <v>1417</v>
      </c>
      <c r="R46" s="41"/>
      <c r="S46" s="41"/>
      <c r="T46" s="41"/>
      <c r="U46" s="41"/>
      <c r="V46" s="41"/>
      <c r="W46" s="41"/>
      <c r="X46" s="41"/>
      <c r="Y46" s="41"/>
      <c r="Z46" s="41"/>
      <c r="AA46" s="41"/>
    </row>
    <row r="47" spans="1:27" x14ac:dyDescent="0.2">
      <c r="A47" s="137"/>
      <c r="Q47" s="41" t="s">
        <v>1919</v>
      </c>
      <c r="R47" s="41"/>
      <c r="S47" s="41"/>
      <c r="T47" s="41"/>
      <c r="U47" s="41"/>
      <c r="V47" s="41"/>
      <c r="W47" s="41"/>
      <c r="X47" s="41"/>
      <c r="Y47" s="41"/>
      <c r="Z47" s="41"/>
      <c r="AA47" s="41"/>
    </row>
    <row r="48" spans="1:27" x14ac:dyDescent="0.2">
      <c r="Q48" s="41" t="s">
        <v>1920</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1" t="s">
        <v>1796</v>
      </c>
      <c r="B2" s="1528" t="s">
        <v>1943</v>
      </c>
      <c r="C2" s="714" t="s">
        <v>1944</v>
      </c>
      <c r="D2" s="714" t="s">
        <v>1945</v>
      </c>
      <c r="E2" s="714" t="s">
        <v>1946</v>
      </c>
      <c r="F2" s="714" t="s">
        <v>1947</v>
      </c>
    </row>
    <row r="3" spans="1:6" ht="12" customHeight="1" x14ac:dyDescent="0.2">
      <c r="A3" s="2192"/>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1802</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1"/>
      <c r="C1" s="721"/>
    </row>
    <row r="2" spans="1:7" ht="33.75" x14ac:dyDescent="0.2">
      <c r="A2" s="2218" t="s">
        <v>1796</v>
      </c>
      <c r="B2" s="2219"/>
      <c r="C2" s="1884" t="s">
        <v>1948</v>
      </c>
      <c r="D2" s="723" t="s">
        <v>1949</v>
      </c>
      <c r="E2" s="723" t="s">
        <v>1950</v>
      </c>
      <c r="F2" s="1884" t="s">
        <v>1951</v>
      </c>
    </row>
    <row r="3" spans="1:7" ht="15.75" customHeight="1" x14ac:dyDescent="0.2">
      <c r="A3" s="2220" t="s">
        <v>1114</v>
      </c>
      <c r="B3" s="2221"/>
      <c r="C3" s="2214"/>
      <c r="D3" s="2215"/>
      <c r="E3" s="2215"/>
      <c r="F3" s="2216"/>
    </row>
    <row r="4" spans="1:7" ht="12.75" customHeight="1" thickBot="1" x14ac:dyDescent="0.25">
      <c r="A4" s="2208" t="s">
        <v>630</v>
      </c>
      <c r="B4" s="2209"/>
      <c r="C4" s="581"/>
      <c r="D4" s="581"/>
      <c r="E4" s="581"/>
      <c r="F4" s="1755">
        <f>SUM(C4+D4)-E4</f>
        <v>0</v>
      </c>
    </row>
    <row r="5" spans="1:7" ht="15.75" customHeight="1" thickTop="1" x14ac:dyDescent="0.2">
      <c r="A5" s="2212" t="s">
        <v>1110</v>
      </c>
      <c r="B5" s="2207"/>
      <c r="C5" s="2201"/>
      <c r="D5" s="2202"/>
      <c r="E5" s="2202"/>
      <c r="F5" s="220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4" t="s">
        <v>631</v>
      </c>
      <c r="B15" s="2205"/>
      <c r="C15" s="1755">
        <f>SUM(C6:C14)</f>
        <v>0</v>
      </c>
      <c r="D15" s="1755">
        <f>SUM(D6:D14)</f>
        <v>0</v>
      </c>
      <c r="E15" s="1755">
        <f>SUM(E6:E14)</f>
        <v>0</v>
      </c>
      <c r="F15" s="1755">
        <f>SUM(F6:F14)</f>
        <v>0</v>
      </c>
      <c r="G15" s="552"/>
    </row>
    <row r="16" spans="1:7" s="202" customFormat="1" ht="15.75" customHeight="1" thickTop="1" x14ac:dyDescent="0.2">
      <c r="A16" s="2217" t="s">
        <v>1111</v>
      </c>
      <c r="B16" s="2207"/>
      <c r="C16" s="2201"/>
      <c r="D16" s="2202"/>
      <c r="E16" s="2202"/>
      <c r="F16" s="2203"/>
    </row>
    <row r="17" spans="1:11" ht="12.75" customHeight="1" thickBot="1" x14ac:dyDescent="0.25">
      <c r="A17" s="2199" t="s">
        <v>64</v>
      </c>
      <c r="B17" s="2200"/>
      <c r="C17" s="726"/>
      <c r="D17" s="585"/>
      <c r="E17" s="726"/>
      <c r="F17" s="1755">
        <f>SUM(C17+D17)-E17</f>
        <v>0</v>
      </c>
    </row>
    <row r="18" spans="1:11" ht="12.75" customHeight="1" thickTop="1" thickBot="1" x14ac:dyDescent="0.25">
      <c r="A18" s="2199" t="s">
        <v>6</v>
      </c>
      <c r="B18" s="2200"/>
      <c r="C18" s="726"/>
      <c r="D18" s="585"/>
      <c r="E18" s="726"/>
      <c r="F18" s="1755">
        <f>SUM(C18+D18)-E18</f>
        <v>0</v>
      </c>
    </row>
    <row r="19" spans="1:11" ht="12.75" customHeight="1" thickTop="1" thickBot="1" x14ac:dyDescent="0.25">
      <c r="A19" s="2199" t="s">
        <v>388</v>
      </c>
      <c r="B19" s="2200"/>
      <c r="C19" s="726"/>
      <c r="D19" s="585"/>
      <c r="E19" s="726"/>
      <c r="F19" s="1755">
        <f>SUM(C19+D19)-E19</f>
        <v>0</v>
      </c>
    </row>
    <row r="20" spans="1:11" ht="12.75" customHeight="1" thickTop="1" thickBot="1" x14ac:dyDescent="0.25">
      <c r="A20" s="2199" t="s">
        <v>448</v>
      </c>
      <c r="B20" s="2200"/>
      <c r="C20" s="726"/>
      <c r="D20" s="585"/>
      <c r="E20" s="726"/>
      <c r="F20" s="1755">
        <f>SUM(C20+D20)-E20</f>
        <v>0</v>
      </c>
    </row>
    <row r="21" spans="1:11" ht="14.25" thickTop="1" thickBot="1" x14ac:dyDescent="0.25">
      <c r="A21" s="2204" t="s">
        <v>632</v>
      </c>
      <c r="B21" s="2205"/>
      <c r="C21" s="1755">
        <f>SUM(C17:C20)</f>
        <v>0</v>
      </c>
      <c r="D21" s="1755">
        <f>SUM(D17:D20)</f>
        <v>0</v>
      </c>
      <c r="E21" s="1755">
        <f>SUM(E17:E20)</f>
        <v>0</v>
      </c>
      <c r="F21" s="1755">
        <f>SUM(F17:F20)</f>
        <v>0</v>
      </c>
      <c r="G21" s="552"/>
    </row>
    <row r="22" spans="1:11" ht="15.75" customHeight="1" thickTop="1" x14ac:dyDescent="0.2">
      <c r="A22" s="2206" t="s">
        <v>1112</v>
      </c>
      <c r="B22" s="2207"/>
      <c r="C22" s="2201"/>
      <c r="D22" s="2202"/>
      <c r="E22" s="2202"/>
      <c r="F22" s="2203"/>
    </row>
    <row r="23" spans="1:11" ht="13.5" thickBot="1" x14ac:dyDescent="0.25">
      <c r="A23" s="2208" t="s">
        <v>633</v>
      </c>
      <c r="B23" s="2209"/>
      <c r="C23" s="581"/>
      <c r="D23" s="581"/>
      <c r="E23" s="581"/>
      <c r="F23" s="1755">
        <f>SUM(C23+D23)-E23</f>
        <v>0</v>
      </c>
      <c r="G23" s="552"/>
    </row>
    <row r="24" spans="1:11" ht="15.75" customHeight="1" thickTop="1" x14ac:dyDescent="0.2">
      <c r="A24" s="2206" t="s">
        <v>1113</v>
      </c>
      <c r="B24" s="2207"/>
      <c r="C24" s="2201"/>
      <c r="D24" s="2202"/>
      <c r="E24" s="2202"/>
      <c r="F24" s="2203"/>
    </row>
    <row r="25" spans="1:11" ht="13.5" thickBot="1" x14ac:dyDescent="0.25">
      <c r="A25" s="2208" t="s">
        <v>634</v>
      </c>
      <c r="B25" s="2209"/>
      <c r="C25" s="581"/>
      <c r="D25" s="581"/>
      <c r="E25" s="581"/>
      <c r="F25" s="1755">
        <f>SUM(C25+D25)-E25</f>
        <v>0</v>
      </c>
      <c r="G25" s="552"/>
    </row>
    <row r="26" spans="1:11" ht="15.75" customHeight="1" thickTop="1" x14ac:dyDescent="0.2">
      <c r="A26" s="2212" t="s">
        <v>657</v>
      </c>
      <c r="B26" s="2207"/>
      <c r="C26" s="727"/>
      <c r="D26" s="727"/>
      <c r="E26" s="727"/>
      <c r="F26" s="728"/>
    </row>
    <row r="27" spans="1:11" ht="13.5" thickBot="1" x14ac:dyDescent="0.25">
      <c r="A27" s="2204" t="s">
        <v>1070</v>
      </c>
      <c r="B27" s="2205"/>
      <c r="C27" s="585"/>
      <c r="D27" s="585"/>
      <c r="E27" s="585"/>
      <c r="F27" s="1755">
        <f>SUM(C27+D27)-E27</f>
        <v>0</v>
      </c>
      <c r="G27" s="552"/>
    </row>
    <row r="28" spans="1:11" ht="7.5" customHeight="1" thickTop="1" x14ac:dyDescent="0.2">
      <c r="A28" s="593"/>
    </row>
    <row r="29" spans="1:11" ht="23.25" customHeight="1" x14ac:dyDescent="0.2">
      <c r="A29" s="2210" t="s">
        <v>582</v>
      </c>
      <c r="B29" s="2211"/>
      <c r="C29" s="729"/>
      <c r="D29" s="729"/>
      <c r="E29" s="729"/>
      <c r="F29" s="729"/>
      <c r="G29" s="729"/>
      <c r="H29" s="729"/>
      <c r="I29" s="729"/>
      <c r="J29" s="729"/>
    </row>
    <row r="30" spans="1:11" ht="33.75" x14ac:dyDescent="0.2">
      <c r="A30" s="1529" t="s">
        <v>1071</v>
      </c>
      <c r="B30" s="730" t="s">
        <v>1124</v>
      </c>
      <c r="C30" s="1885" t="s">
        <v>583</v>
      </c>
      <c r="D30" s="1885" t="s">
        <v>1670</v>
      </c>
      <c r="E30" s="1885" t="s">
        <v>1952</v>
      </c>
      <c r="F30" s="1885" t="s">
        <v>1953</v>
      </c>
      <c r="G30" s="1885" t="s">
        <v>1904</v>
      </c>
      <c r="H30" s="1885" t="s">
        <v>1954</v>
      </c>
      <c r="I30" s="1885" t="s">
        <v>1955</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912</v>
      </c>
      <c r="B52" s="2193" t="s">
        <v>584</v>
      </c>
      <c r="C52" s="2194"/>
      <c r="D52" s="2194"/>
      <c r="E52" s="749" t="s">
        <v>845</v>
      </c>
      <c r="F52" s="2195"/>
      <c r="G52" s="2196"/>
      <c r="H52" s="736"/>
      <c r="I52" s="736"/>
      <c r="J52" s="746"/>
    </row>
    <row r="53" spans="1:11" ht="11.25" customHeight="1" x14ac:dyDescent="0.2">
      <c r="A53" s="750" t="s">
        <v>913</v>
      </c>
      <c r="B53" s="751" t="s">
        <v>951</v>
      </c>
      <c r="C53" s="746"/>
      <c r="D53" s="737"/>
      <c r="E53" s="749" t="s">
        <v>497</v>
      </c>
      <c r="F53" s="2197"/>
      <c r="G53" s="2198"/>
      <c r="H53" s="736"/>
      <c r="I53" s="736"/>
      <c r="J53" s="746"/>
    </row>
    <row r="54" spans="1:11" ht="11.25" customHeight="1" x14ac:dyDescent="0.2">
      <c r="A54" s="752" t="s">
        <v>914</v>
      </c>
      <c r="B54" s="747" t="s">
        <v>952</v>
      </c>
      <c r="C54" s="746"/>
      <c r="D54" s="737"/>
      <c r="E54" s="749" t="s">
        <v>498</v>
      </c>
      <c r="F54" s="2197"/>
      <c r="G54" s="219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2" t="s">
        <v>856</v>
      </c>
      <c r="B1" s="2223"/>
      <c r="C1" s="2223"/>
      <c r="D1" s="2223"/>
      <c r="E1" s="2223"/>
      <c r="F1" s="2223"/>
      <c r="G1" s="2224"/>
      <c r="H1" s="1530"/>
      <c r="I1" s="760"/>
      <c r="J1" s="433"/>
    </row>
    <row r="2" spans="1:11" ht="26.25" x14ac:dyDescent="0.2">
      <c r="A2" s="2241" t="s">
        <v>1674</v>
      </c>
      <c r="B2" s="2242"/>
      <c r="C2" s="2242"/>
      <c r="D2" s="2242"/>
      <c r="E2" s="2243"/>
      <c r="F2" s="761" t="s">
        <v>904</v>
      </c>
      <c r="G2" s="762" t="s">
        <v>1671</v>
      </c>
      <c r="H2" s="762" t="s">
        <v>410</v>
      </c>
      <c r="I2" s="762" t="s">
        <v>1158</v>
      </c>
      <c r="J2" s="762" t="s">
        <v>1806</v>
      </c>
      <c r="K2" s="762" t="s">
        <v>138</v>
      </c>
    </row>
    <row r="3" spans="1:11" x14ac:dyDescent="0.2">
      <c r="A3" s="2244" t="s">
        <v>1956</v>
      </c>
      <c r="B3" s="2245"/>
      <c r="C3" s="2245"/>
      <c r="D3" s="2245"/>
      <c r="E3" s="2246"/>
      <c r="F3" s="763"/>
      <c r="G3" s="764"/>
      <c r="H3" s="764"/>
      <c r="I3" s="764"/>
      <c r="J3" s="765"/>
      <c r="K3" s="765"/>
    </row>
    <row r="4" spans="1:11" x14ac:dyDescent="0.2">
      <c r="A4" s="2247" t="s">
        <v>369</v>
      </c>
      <c r="B4" s="2248"/>
      <c r="C4" s="2248"/>
      <c r="D4" s="2248"/>
      <c r="E4" s="2194"/>
      <c r="F4" s="766"/>
      <c r="G4" s="767"/>
      <c r="H4" s="768"/>
      <c r="I4" s="767"/>
      <c r="J4" s="769"/>
      <c r="K4" s="769"/>
    </row>
    <row r="5" spans="1:11" x14ac:dyDescent="0.2">
      <c r="A5" s="2225" t="s">
        <v>1069</v>
      </c>
      <c r="B5" s="2226"/>
      <c r="C5" s="2226"/>
      <c r="D5" s="2226"/>
      <c r="E5" s="222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5" t="s">
        <v>1807</v>
      </c>
      <c r="B10" s="2226"/>
      <c r="C10" s="2226"/>
      <c r="D10" s="2226"/>
      <c r="E10" s="2228"/>
      <c r="F10" s="783" t="s">
        <v>862</v>
      </c>
      <c r="G10" s="782"/>
      <c r="H10" s="784"/>
      <c r="I10" s="764"/>
      <c r="J10" s="765"/>
      <c r="K10" s="765"/>
    </row>
    <row r="11" spans="1:11" x14ac:dyDescent="0.2">
      <c r="A11" s="2225" t="s">
        <v>160</v>
      </c>
      <c r="B11" s="2226"/>
      <c r="C11" s="2226"/>
      <c r="D11" s="2226"/>
      <c r="E11" s="2227"/>
      <c r="F11" s="770" t="s">
        <v>852</v>
      </c>
      <c r="G11" s="771"/>
      <c r="H11" s="764"/>
      <c r="I11" s="764"/>
      <c r="J11" s="765"/>
      <c r="K11" s="773"/>
    </row>
    <row r="12" spans="1:11" ht="13.5" thickBot="1" x14ac:dyDescent="0.25">
      <c r="A12" s="2252" t="s">
        <v>905</v>
      </c>
      <c r="B12" s="2253"/>
      <c r="C12" s="2253"/>
      <c r="D12" s="2253"/>
      <c r="E12" s="2254"/>
      <c r="F12" s="1757"/>
      <c r="G12" s="1758">
        <f>SUM(G5:G11)</f>
        <v>0</v>
      </c>
      <c r="H12" s="1758">
        <f>SUM(H5:H11)</f>
        <v>0</v>
      </c>
      <c r="I12" s="1758">
        <f>SUM(I5:I11)</f>
        <v>0</v>
      </c>
      <c r="J12" s="1758">
        <f>SUM(J5:J11)</f>
        <v>0</v>
      </c>
      <c r="K12" s="1758">
        <f>SUM(K5:K11)</f>
        <v>0</v>
      </c>
    </row>
    <row r="13" spans="1:11" ht="13.5" thickTop="1" x14ac:dyDescent="0.2">
      <c r="A13" s="2249" t="s">
        <v>370</v>
      </c>
      <c r="B13" s="2250"/>
      <c r="C13" s="2250"/>
      <c r="D13" s="2250"/>
      <c r="E13" s="2251"/>
      <c r="F13" s="785"/>
      <c r="G13" s="786"/>
      <c r="H13" s="787"/>
      <c r="I13" s="788"/>
      <c r="J13" s="788"/>
      <c r="K13" s="788"/>
    </row>
    <row r="14" spans="1:11" x14ac:dyDescent="0.2">
      <c r="A14" s="2232" t="s">
        <v>456</v>
      </c>
      <c r="B14" s="2232"/>
      <c r="C14" s="2232"/>
      <c r="D14" s="2232"/>
      <c r="E14" s="2233"/>
      <c r="F14" s="789" t="s">
        <v>854</v>
      </c>
      <c r="G14" s="782"/>
      <c r="H14" s="764"/>
      <c r="I14" s="771"/>
      <c r="J14" s="773"/>
      <c r="K14" s="765"/>
    </row>
    <row r="15" spans="1:11" x14ac:dyDescent="0.2">
      <c r="A15" s="2226" t="s">
        <v>4</v>
      </c>
      <c r="B15" s="2226"/>
      <c r="C15" s="2226"/>
      <c r="D15" s="2226"/>
      <c r="E15" s="2227"/>
      <c r="F15" s="789" t="s">
        <v>855</v>
      </c>
      <c r="G15" s="771"/>
      <c r="H15" s="764"/>
      <c r="I15" s="764"/>
      <c r="J15" s="765"/>
      <c r="K15" s="765"/>
    </row>
    <row r="16" spans="1:11" x14ac:dyDescent="0.2">
      <c r="A16" s="2226" t="s">
        <v>298</v>
      </c>
      <c r="B16" s="2226"/>
      <c r="C16" s="2226"/>
      <c r="D16" s="2226"/>
      <c r="E16" s="2227"/>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34" t="s">
        <v>1803</v>
      </c>
      <c r="B19" s="2234"/>
      <c r="C19" s="2234"/>
      <c r="D19" s="2234"/>
      <c r="E19" s="2235"/>
      <c r="F19" s="789" t="s">
        <v>933</v>
      </c>
      <c r="G19" s="782"/>
      <c r="H19" s="782"/>
      <c r="I19" s="782"/>
      <c r="J19" s="765"/>
      <c r="K19" s="795"/>
    </row>
    <row r="20" spans="1:11" x14ac:dyDescent="0.2">
      <c r="A20" s="2236" t="s">
        <v>1808</v>
      </c>
      <c r="B20" s="2237"/>
      <c r="C20" s="2237"/>
      <c r="D20" s="2237"/>
      <c r="E20" s="2238"/>
      <c r="F20" s="789" t="s">
        <v>934</v>
      </c>
      <c r="G20" s="782"/>
      <c r="H20" s="782"/>
      <c r="I20" s="782"/>
      <c r="J20" s="765"/>
      <c r="K20" s="795"/>
    </row>
    <row r="21" spans="1:11" ht="13.5" thickBot="1" x14ac:dyDescent="0.25">
      <c r="A21" s="2255" t="s">
        <v>638</v>
      </c>
      <c r="B21" s="2255"/>
      <c r="C21" s="2255"/>
      <c r="D21" s="2255"/>
      <c r="E21" s="2255"/>
      <c r="F21" s="1759"/>
      <c r="G21" s="792"/>
      <c r="H21" s="796"/>
      <c r="I21" s="796"/>
      <c r="J21" s="1760">
        <f>SUM(J18:J20)</f>
        <v>0</v>
      </c>
      <c r="K21" s="793"/>
    </row>
    <row r="22" spans="1:11" ht="13.5" thickTop="1" x14ac:dyDescent="0.2">
      <c r="A22" s="2226" t="s">
        <v>1809</v>
      </c>
      <c r="B22" s="2226"/>
      <c r="C22" s="2226"/>
      <c r="D22" s="2226"/>
      <c r="E22" s="2227"/>
      <c r="F22" s="789" t="s">
        <v>862</v>
      </c>
      <c r="G22" s="782"/>
      <c r="H22" s="764"/>
      <c r="I22" s="764"/>
      <c r="J22" s="797"/>
      <c r="K22" s="765"/>
    </row>
    <row r="23" spans="1:11" ht="13.5" thickBot="1" x14ac:dyDescent="0.25">
      <c r="A23" s="2256" t="s">
        <v>906</v>
      </c>
      <c r="B23" s="2255"/>
      <c r="C23" s="2255"/>
      <c r="D23" s="2255"/>
      <c r="E23" s="2255"/>
      <c r="F23" s="1761"/>
      <c r="G23" s="1758">
        <f>SUM(G14:G16,G21,G22)</f>
        <v>0</v>
      </c>
      <c r="H23" s="1758">
        <f>SUM(H14:H16,H21,H22)</f>
        <v>0</v>
      </c>
      <c r="I23" s="1758">
        <f>SUM(I14:I16,I21,I22)</f>
        <v>0</v>
      </c>
      <c r="J23" s="1758">
        <f>SUM(J14:J16,J21,J22)</f>
        <v>0</v>
      </c>
      <c r="K23" s="1758">
        <f>SUM(K14:K16,K21,K22)</f>
        <v>0</v>
      </c>
    </row>
    <row r="24" spans="1:11" ht="14.25" thickTop="1" thickBot="1" x14ac:dyDescent="0.25">
      <c r="A24" s="2256" t="s">
        <v>1957</v>
      </c>
      <c r="B24" s="2255"/>
      <c r="C24" s="2255"/>
      <c r="D24" s="2255"/>
      <c r="E24" s="2255"/>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1903</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9"/>
      <c r="I31" s="2230"/>
      <c r="J31" s="2230"/>
      <c r="K31" s="2230"/>
    </row>
    <row r="32" spans="1:11" x14ac:dyDescent="0.2">
      <c r="A32" s="809"/>
      <c r="B32" s="237"/>
      <c r="C32" s="237"/>
      <c r="D32" s="237"/>
      <c r="E32" s="805"/>
      <c r="F32" s="811" t="s">
        <v>540</v>
      </c>
      <c r="G32" s="764"/>
      <c r="H32" s="2231"/>
      <c r="I32" s="2230"/>
      <c r="J32" s="2230"/>
      <c r="K32" s="2230"/>
    </row>
    <row r="33" spans="1:11" ht="1.5" customHeight="1" x14ac:dyDescent="0.2">
      <c r="A33" s="812" t="s">
        <v>1169</v>
      </c>
      <c r="B33" s="364"/>
      <c r="C33" s="364"/>
      <c r="D33" s="364"/>
      <c r="E33" s="364"/>
      <c r="F33" s="364"/>
      <c r="G33" s="813"/>
      <c r="H33" s="2231"/>
      <c r="I33" s="2230"/>
      <c r="J33" s="2230"/>
      <c r="K33" s="2230"/>
    </row>
    <row r="34" spans="1:11" x14ac:dyDescent="0.2">
      <c r="A34" s="814" t="s">
        <v>1810</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6" t="s">
        <v>541</v>
      </c>
      <c r="B41" s="2239"/>
      <c r="C41" s="2239"/>
      <c r="D41" s="2239"/>
      <c r="E41" s="2239"/>
      <c r="F41" s="224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1804</v>
      </c>
      <c r="B46" s="408" t="s">
        <v>1672</v>
      </c>
    </row>
    <row r="47" spans="1:11" s="823" customFormat="1" ht="12.75" customHeight="1" x14ac:dyDescent="0.2">
      <c r="A47" s="821"/>
      <c r="B47" s="822" t="s">
        <v>1673</v>
      </c>
      <c r="E47" s="822"/>
      <c r="K47" s="824"/>
    </row>
    <row r="48" spans="1:11" ht="12.75" customHeight="1" x14ac:dyDescent="0.2">
      <c r="A48" s="1532" t="s">
        <v>1805</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1902</v>
      </c>
      <c r="B1" s="2262"/>
      <c r="C1" s="2263"/>
      <c r="D1" s="826"/>
      <c r="E1" s="827"/>
      <c r="F1" s="827"/>
      <c r="G1" s="828"/>
      <c r="H1" s="829"/>
      <c r="I1" s="830"/>
      <c r="J1" s="2259"/>
      <c r="K1" s="2260"/>
      <c r="L1" s="2260"/>
    </row>
    <row r="2" spans="1:14" ht="69.75" customHeight="1" x14ac:dyDescent="0.2">
      <c r="A2" s="831" t="s">
        <v>1675</v>
      </c>
      <c r="B2" s="832" t="s">
        <v>378</v>
      </c>
      <c r="C2" s="833" t="s">
        <v>1958</v>
      </c>
      <c r="D2" s="833" t="s">
        <v>1959</v>
      </c>
      <c r="E2" s="833" t="s">
        <v>1960</v>
      </c>
      <c r="F2" s="833" t="s">
        <v>1961</v>
      </c>
      <c r="G2" s="833" t="s">
        <v>605</v>
      </c>
      <c r="H2" s="833" t="s">
        <v>1962</v>
      </c>
      <c r="I2" s="833" t="s">
        <v>1963</v>
      </c>
      <c r="J2" s="833" t="s">
        <v>1964</v>
      </c>
      <c r="K2" s="833" t="s">
        <v>1965</v>
      </c>
      <c r="L2" s="833" t="s">
        <v>1966</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v>599360</v>
      </c>
      <c r="E8" s="844"/>
      <c r="F8" s="1760">
        <f>(C8+D8)-E8</f>
        <v>599360</v>
      </c>
      <c r="G8" s="843">
        <v>50</v>
      </c>
      <c r="H8" s="765"/>
      <c r="I8" s="765">
        <v>11987</v>
      </c>
      <c r="J8" s="765"/>
      <c r="K8" s="1769">
        <f>(H8+I8)-J8</f>
        <v>11987</v>
      </c>
      <c r="L8" s="1769">
        <f>F8-K8</f>
        <v>587373</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362895</v>
      </c>
      <c r="D12" s="844">
        <v>70064</v>
      </c>
      <c r="E12" s="844">
        <v>26105</v>
      </c>
      <c r="F12" s="1760">
        <f>(C12+D12)-E12</f>
        <v>406854</v>
      </c>
      <c r="G12" s="843">
        <v>10</v>
      </c>
      <c r="H12" s="765">
        <v>222764</v>
      </c>
      <c r="I12" s="765">
        <v>40685</v>
      </c>
      <c r="J12" s="765">
        <v>26105</v>
      </c>
      <c r="K12" s="1769">
        <f>(H12+I12)-J12</f>
        <v>237344</v>
      </c>
      <c r="L12" s="1769">
        <f>F12-K12</f>
        <v>169510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362895</v>
      </c>
      <c r="D16" s="1760">
        <f>SUM(D3,D5:D6,D8:D10,D12:D15)</f>
        <v>669424</v>
      </c>
      <c r="E16" s="1760">
        <f>SUM(E3,E5:E6,E8:E10,E12:E15)</f>
        <v>26105</v>
      </c>
      <c r="F16" s="1760">
        <f>SUM(F3,F5:F6,F8:F10,F12:F15)</f>
        <v>1006214</v>
      </c>
      <c r="G16" s="843"/>
      <c r="H16" s="1760">
        <f>SUM(H3,H6,H8:H10,H12:H14,)</f>
        <v>222764</v>
      </c>
      <c r="I16" s="1760">
        <f>SUM(I3,I6,I8:I10,I12:I14,)</f>
        <v>52672</v>
      </c>
      <c r="J16" s="1760">
        <f>SUM(J3,J6,J8:J10,J12:J14,)</f>
        <v>26105</v>
      </c>
      <c r="K16" s="1760">
        <f>(H16+I16)-J16</f>
        <v>249331</v>
      </c>
      <c r="L16" s="1760">
        <f>F16-K16</f>
        <v>756883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10691</v>
      </c>
      <c r="G17" s="837">
        <v>10</v>
      </c>
      <c r="H17" s="769"/>
      <c r="I17" s="1769">
        <f>F17/G17</f>
        <v>1069.0999999999999</v>
      </c>
      <c r="J17" s="769"/>
      <c r="K17" s="795"/>
      <c r="L17" s="795"/>
    </row>
    <row r="18" spans="1:12" ht="14.25" thickTop="1" thickBot="1" x14ac:dyDescent="0.25">
      <c r="A18" s="1767" t="s">
        <v>685</v>
      </c>
      <c r="B18" s="1768"/>
      <c r="C18" s="771"/>
      <c r="D18" s="771"/>
      <c r="E18" s="771"/>
      <c r="F18" s="850"/>
      <c r="G18" s="851"/>
      <c r="H18" s="773"/>
      <c r="I18" s="1760">
        <f>SUM(I16,I17)</f>
        <v>53741.1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pane="bottomLeft" activeCell="L29" sqref="L2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1967</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1465</v>
      </c>
      <c r="C8" s="871"/>
      <c r="D8" s="869" t="s">
        <v>501</v>
      </c>
      <c r="E8" s="868" t="s">
        <v>958</v>
      </c>
      <c r="F8" s="1908">
        <f>'Expenditures 15-22'!K114</f>
        <v>14341392</v>
      </c>
      <c r="G8" s="865"/>
    </row>
    <row r="9" spans="1:7" x14ac:dyDescent="0.2">
      <c r="A9" s="869" t="s">
        <v>460</v>
      </c>
      <c r="B9" s="870" t="s">
        <v>1870</v>
      </c>
      <c r="C9" s="871"/>
      <c r="D9" s="869" t="s">
        <v>501</v>
      </c>
      <c r="E9" s="868"/>
      <c r="F9" s="1909">
        <f>'Expenditures 15-22'!K151</f>
        <v>0</v>
      </c>
      <c r="G9" s="872"/>
    </row>
    <row r="10" spans="1:7" x14ac:dyDescent="0.2">
      <c r="A10" s="869" t="s">
        <v>499</v>
      </c>
      <c r="B10" s="870" t="s">
        <v>1871</v>
      </c>
      <c r="C10" s="871"/>
      <c r="D10" s="869" t="s">
        <v>501</v>
      </c>
      <c r="E10" s="868"/>
      <c r="F10" s="1909">
        <f>'Expenditures 15-22'!K174</f>
        <v>0</v>
      </c>
      <c r="G10" s="872"/>
    </row>
    <row r="11" spans="1:7" x14ac:dyDescent="0.2">
      <c r="A11" s="869" t="s">
        <v>461</v>
      </c>
      <c r="B11" s="870" t="s">
        <v>1872</v>
      </c>
      <c r="C11" s="871"/>
      <c r="D11" s="869" t="s">
        <v>501</v>
      </c>
      <c r="E11" s="868"/>
      <c r="F11" s="1909">
        <f>'Expenditures 15-22'!K210</f>
        <v>0</v>
      </c>
      <c r="G11" s="872"/>
    </row>
    <row r="12" spans="1:7" x14ac:dyDescent="0.2">
      <c r="A12" s="869" t="s">
        <v>462</v>
      </c>
      <c r="B12" s="870" t="s">
        <v>1873</v>
      </c>
      <c r="C12" s="871"/>
      <c r="D12" s="869" t="s">
        <v>501</v>
      </c>
      <c r="E12" s="868"/>
      <c r="F12" s="1909">
        <f>'Expenditures 15-22'!K295</f>
        <v>0</v>
      </c>
      <c r="G12" s="872"/>
    </row>
    <row r="13" spans="1:7" x14ac:dyDescent="0.2">
      <c r="A13" s="869" t="s">
        <v>106</v>
      </c>
      <c r="B13" s="870" t="s">
        <v>1874</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14341392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1991</v>
      </c>
      <c r="C30" s="880">
        <f>'Revenues 9-14'!B150</f>
        <v>3499</v>
      </c>
      <c r="D30" s="881" t="str">
        <f>'Revenues 9-14'!A150</f>
        <v>Adult Ed - Other (Describe &amp; Itemize)</v>
      </c>
      <c r="E30" s="868"/>
      <c r="F30" s="1914">
        <f>('Revenues 9-14'!D150+'Revenues 9-14'!F150)</f>
        <v>0</v>
      </c>
      <c r="G30" s="865"/>
    </row>
    <row r="31" spans="1:7" x14ac:dyDescent="0.2">
      <c r="A31" s="869" t="s">
        <v>1097</v>
      </c>
      <c r="B31" s="870" t="s">
        <v>1992</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1993</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1994</v>
      </c>
      <c r="C33" s="875">
        <f>'Revenues 9-14'!B222</f>
        <v>4810</v>
      </c>
      <c r="D33" s="883" t="str">
        <f>'Revenues 9-14'!A222</f>
        <v>Federal - Adult Education</v>
      </c>
      <c r="E33" s="868"/>
      <c r="F33" s="1913">
        <f>'Revenues 9-14'!D222</f>
        <v>0</v>
      </c>
      <c r="G33" s="865"/>
    </row>
    <row r="34" spans="1:7" x14ac:dyDescent="0.2">
      <c r="A34" s="869" t="s">
        <v>459</v>
      </c>
      <c r="B34" s="869" t="s">
        <v>1466</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1467</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1468</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1469</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1470</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1471</v>
      </c>
      <c r="C52" s="889" t="str">
        <f>'Expenditures 15-22'!B75</f>
        <v>3000</v>
      </c>
      <c r="D52" s="888" t="s">
        <v>449</v>
      </c>
      <c r="E52" s="868"/>
      <c r="F52" s="1913">
        <f>'Expenditures 15-22'!K75-SUM('Expenditures 15-22'!G75,'Expenditures 15-22'!I75)</f>
        <v>120515</v>
      </c>
      <c r="G52" s="865"/>
    </row>
    <row r="53" spans="1:7" x14ac:dyDescent="0.2">
      <c r="A53" s="869" t="s">
        <v>459</v>
      </c>
      <c r="B53" s="869" t="s">
        <v>1472</v>
      </c>
      <c r="C53" s="889">
        <f>'Expenditures 15-22'!B102</f>
        <v>4000</v>
      </c>
      <c r="D53" s="888" t="str">
        <f>'Expenditures 15-22'!A102</f>
        <v>Total Payments to Other Govt Units</v>
      </c>
      <c r="E53" s="868"/>
      <c r="F53" s="1913">
        <f>'Expenditures 15-22'!K102</f>
        <v>309758</v>
      </c>
      <c r="G53" s="865"/>
    </row>
    <row r="54" spans="1:7" x14ac:dyDescent="0.2">
      <c r="A54" s="869" t="s">
        <v>459</v>
      </c>
      <c r="B54" s="869" t="s">
        <v>1473</v>
      </c>
      <c r="C54" s="889" t="s">
        <v>982</v>
      </c>
      <c r="D54" s="885" t="s">
        <v>1095</v>
      </c>
      <c r="E54" s="868"/>
      <c r="F54" s="1913">
        <f>'Expenditures 15-22'!G114</f>
        <v>669424</v>
      </c>
      <c r="G54" s="865"/>
    </row>
    <row r="55" spans="1:7" x14ac:dyDescent="0.2">
      <c r="A55" s="869" t="s">
        <v>459</v>
      </c>
      <c r="B55" s="869" t="s">
        <v>1474</v>
      </c>
      <c r="C55" s="889" t="s">
        <v>982</v>
      </c>
      <c r="D55" s="885" t="s">
        <v>291</v>
      </c>
      <c r="E55" s="868"/>
      <c r="F55" s="1913">
        <f>'Expenditures 15-22'!I114</f>
        <v>10691</v>
      </c>
      <c r="G55" s="865"/>
    </row>
    <row r="56" spans="1:7" x14ac:dyDescent="0.2">
      <c r="A56" s="869" t="s">
        <v>460</v>
      </c>
      <c r="B56" s="869" t="s">
        <v>1475</v>
      </c>
      <c r="C56" s="886" t="str">
        <f>'Expenditures 15-22'!B130</f>
        <v>3000</v>
      </c>
      <c r="D56" s="892" t="s">
        <v>449</v>
      </c>
      <c r="E56" s="868"/>
      <c r="F56" s="1913">
        <f>'Expenditures 15-22'!K130-SUM('Expenditures 15-22'!G130+'Expenditures 15-22'!I130)</f>
        <v>0</v>
      </c>
      <c r="G56" s="865"/>
    </row>
    <row r="57" spans="1:7" x14ac:dyDescent="0.2">
      <c r="A57" s="869" t="s">
        <v>460</v>
      </c>
      <c r="B57" s="869" t="s">
        <v>1875</v>
      </c>
      <c r="C57" s="889">
        <f>'Expenditures 15-22'!B139</f>
        <v>4000</v>
      </c>
      <c r="D57" s="887" t="str">
        <f>'Expenditures 15-22'!A139</f>
        <v>Total Payments to Other Govt Units</v>
      </c>
      <c r="E57" s="868"/>
      <c r="F57" s="1913">
        <f>'Expenditures 15-22'!K139</f>
        <v>0</v>
      </c>
      <c r="G57" s="865"/>
    </row>
    <row r="58" spans="1:7" x14ac:dyDescent="0.2">
      <c r="A58" s="869" t="s">
        <v>460</v>
      </c>
      <c r="B58" s="869" t="s">
        <v>1876</v>
      </c>
      <c r="C58" s="886" t="s">
        <v>982</v>
      </c>
      <c r="D58" s="885" t="s">
        <v>1095</v>
      </c>
      <c r="E58" s="868"/>
      <c r="F58" s="1915">
        <f>'Expenditures 15-22'!G151</f>
        <v>0</v>
      </c>
      <c r="G58" s="865"/>
    </row>
    <row r="59" spans="1:7" x14ac:dyDescent="0.2">
      <c r="A59" s="893" t="s">
        <v>460</v>
      </c>
      <c r="B59" s="856" t="s">
        <v>1877</v>
      </c>
      <c r="C59" s="894" t="s">
        <v>982</v>
      </c>
      <c r="D59" s="856" t="s">
        <v>291</v>
      </c>
      <c r="F59" s="1916">
        <f>'Expenditures 15-22'!I151</f>
        <v>0</v>
      </c>
      <c r="G59" s="865"/>
    </row>
    <row r="60" spans="1:7" x14ac:dyDescent="0.2">
      <c r="A60" s="893" t="s">
        <v>499</v>
      </c>
      <c r="B60" s="856" t="s">
        <v>1878</v>
      </c>
      <c r="C60" s="894">
        <v>4000</v>
      </c>
      <c r="D60" s="856" t="s">
        <v>312</v>
      </c>
      <c r="F60" s="1914">
        <f>'Expenditures 15-22'!K160</f>
        <v>0</v>
      </c>
      <c r="G60" s="865"/>
    </row>
    <row r="61" spans="1:7" x14ac:dyDescent="0.2">
      <c r="A61" s="895" t="s">
        <v>499</v>
      </c>
      <c r="B61" s="895" t="s">
        <v>1879</v>
      </c>
      <c r="C61" s="896" t="str">
        <f>'Expenditures 15-22'!B170</f>
        <v>5300</v>
      </c>
      <c r="D61" s="897" t="s">
        <v>311</v>
      </c>
      <c r="E61" s="879"/>
      <c r="F61" s="1913">
        <f>'Expenditures 15-22'!K170</f>
        <v>0</v>
      </c>
      <c r="G61" s="865"/>
    </row>
    <row r="62" spans="1:7" x14ac:dyDescent="0.2">
      <c r="A62" s="869" t="s">
        <v>461</v>
      </c>
      <c r="B62" s="869" t="s">
        <v>1880</v>
      </c>
      <c r="C62" s="886">
        <f>'Expenditures 15-22'!B185</f>
        <v>3000</v>
      </c>
      <c r="D62" s="876" t="s">
        <v>449</v>
      </c>
      <c r="E62" s="868"/>
      <c r="F62" s="1913">
        <f>'Expenditures 15-22'!K185-SUM('Expenditures 15-22'!G185,'Expenditures 15-22'!I185)</f>
        <v>0</v>
      </c>
      <c r="G62" s="865"/>
    </row>
    <row r="63" spans="1:7" x14ac:dyDescent="0.2">
      <c r="A63" s="869" t="s">
        <v>461</v>
      </c>
      <c r="B63" s="869" t="s">
        <v>1881</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1882</v>
      </c>
      <c r="C64" s="896" t="str">
        <f>'Expenditures 15-22'!B206</f>
        <v>5300</v>
      </c>
      <c r="D64" s="892" t="s">
        <v>311</v>
      </c>
      <c r="E64" s="868"/>
      <c r="F64" s="1913">
        <f>'Expenditures 15-22'!K206</f>
        <v>0</v>
      </c>
      <c r="G64" s="865"/>
    </row>
    <row r="65" spans="1:8" x14ac:dyDescent="0.2">
      <c r="A65" s="869" t="s">
        <v>461</v>
      </c>
      <c r="B65" s="869" t="s">
        <v>1883</v>
      </c>
      <c r="C65" s="886" t="s">
        <v>982</v>
      </c>
      <c r="D65" s="885" t="s">
        <v>1095</v>
      </c>
      <c r="E65" s="868"/>
      <c r="F65" s="1913">
        <f>'Expenditures 15-22'!G210</f>
        <v>0</v>
      </c>
      <c r="G65" s="865"/>
    </row>
    <row r="66" spans="1:8" x14ac:dyDescent="0.2">
      <c r="A66" s="869" t="s">
        <v>461</v>
      </c>
      <c r="B66" s="869" t="s">
        <v>1884</v>
      </c>
      <c r="C66" s="886" t="s">
        <v>982</v>
      </c>
      <c r="D66" s="885" t="s">
        <v>291</v>
      </c>
      <c r="E66" s="868"/>
      <c r="F66" s="1913">
        <f>'Expenditures 15-22'!I210</f>
        <v>0</v>
      </c>
      <c r="G66" s="865"/>
    </row>
    <row r="67" spans="1:8" x14ac:dyDescent="0.2">
      <c r="A67" s="869" t="s">
        <v>462</v>
      </c>
      <c r="B67" s="869" t="s">
        <v>1885</v>
      </c>
      <c r="C67" s="886" t="str">
        <f>'Expenditures 15-22'!B216</f>
        <v>1125</v>
      </c>
      <c r="D67" s="892" t="str">
        <f>'Expenditures 15-22'!A216</f>
        <v>Pre-K Programs</v>
      </c>
      <c r="E67" s="868"/>
      <c r="F67" s="1913">
        <f>'Expenditures 15-22'!K216</f>
        <v>0</v>
      </c>
      <c r="G67" s="865"/>
    </row>
    <row r="68" spans="1:8" x14ac:dyDescent="0.2">
      <c r="A68" s="869" t="s">
        <v>462</v>
      </c>
      <c r="B68" s="869" t="s">
        <v>1476</v>
      </c>
      <c r="C68" s="886" t="str">
        <f>'Expenditures 15-22'!B218</f>
        <v>1225</v>
      </c>
      <c r="D68" s="892" t="str">
        <f>'Expenditures 15-22'!A218</f>
        <v>Special Education Programs - Pre-K</v>
      </c>
      <c r="E68" s="868"/>
      <c r="F68" s="1913">
        <f>'Expenditures 15-22'!K218</f>
        <v>0</v>
      </c>
      <c r="G68" s="865"/>
    </row>
    <row r="69" spans="1:8" x14ac:dyDescent="0.2">
      <c r="A69" s="869" t="s">
        <v>462</v>
      </c>
      <c r="B69" s="869" t="s">
        <v>1886</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1887</v>
      </c>
      <c r="C70" s="886">
        <f>'Expenditures 15-22'!B221</f>
        <v>1300</v>
      </c>
      <c r="D70" s="887" t="str">
        <f>'Expenditures 15-22'!A221</f>
        <v>Adult/Continuing Education Programs</v>
      </c>
      <c r="E70" s="868"/>
      <c r="F70" s="1913">
        <f>'Expenditures 15-22'!K221</f>
        <v>0</v>
      </c>
      <c r="G70" s="865"/>
    </row>
    <row r="71" spans="1:8" x14ac:dyDescent="0.2">
      <c r="A71" s="869" t="s">
        <v>462</v>
      </c>
      <c r="B71" s="869" t="s">
        <v>1888</v>
      </c>
      <c r="C71" s="886">
        <f>'Expenditures 15-22'!B224</f>
        <v>1600</v>
      </c>
      <c r="D71" s="887" t="str">
        <f>'Expenditures 15-22'!A224</f>
        <v>Summer School Programs</v>
      </c>
      <c r="E71" s="868"/>
      <c r="F71" s="1913">
        <f>'Expenditures 15-22'!K224</f>
        <v>0</v>
      </c>
      <c r="G71" s="865"/>
    </row>
    <row r="72" spans="1:8" x14ac:dyDescent="0.2">
      <c r="A72" s="869" t="s">
        <v>462</v>
      </c>
      <c r="B72" s="869" t="s">
        <v>1889</v>
      </c>
      <c r="C72" s="886">
        <f>'Expenditures 15-22'!B280</f>
        <v>3000</v>
      </c>
      <c r="D72" s="876" t="s">
        <v>449</v>
      </c>
      <c r="E72" s="868"/>
      <c r="F72" s="1913">
        <f>'Expenditures 15-22'!K280</f>
        <v>0</v>
      </c>
      <c r="G72" s="865"/>
    </row>
    <row r="73" spans="1:8" x14ac:dyDescent="0.2">
      <c r="A73" s="869" t="s">
        <v>462</v>
      </c>
      <c r="B73" s="869" t="s">
        <v>1890</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1891</v>
      </c>
      <c r="C74" s="886" t="s">
        <v>860</v>
      </c>
      <c r="D74" s="887" t="s">
        <v>1484</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1892</v>
      </c>
      <c r="E76" s="1774" t="s">
        <v>958</v>
      </c>
      <c r="F76" s="1778">
        <f>SUM(F18:F74)</f>
        <v>1110388</v>
      </c>
      <c r="G76" s="865"/>
    </row>
    <row r="77" spans="1:8" s="893" customFormat="1" ht="12" customHeight="1" thickTop="1" thickBot="1" x14ac:dyDescent="0.25">
      <c r="A77" s="1779"/>
      <c r="B77" s="1776"/>
      <c r="C77" s="1772"/>
      <c r="D77" s="1777" t="s">
        <v>1893</v>
      </c>
      <c r="E77" s="1774"/>
      <c r="F77" s="1780">
        <f>(F14-F76)</f>
        <v>13231004</v>
      </c>
      <c r="G77" s="869"/>
    </row>
    <row r="78" spans="1:8" s="893" customFormat="1" ht="12" customHeight="1" thickTop="1" x14ac:dyDescent="0.2">
      <c r="A78" s="1781"/>
      <c r="B78" s="1776"/>
      <c r="C78" s="1772"/>
      <c r="D78" s="1777" t="s">
        <v>2054</v>
      </c>
      <c r="E78" s="1774"/>
      <c r="F78" s="898">
        <v>0</v>
      </c>
      <c r="G78" s="899"/>
      <c r="H78" s="869"/>
    </row>
    <row r="79" spans="1:8" s="893" customFormat="1" ht="12" customHeight="1" thickBot="1" x14ac:dyDescent="0.25">
      <c r="A79" s="1782"/>
      <c r="B79" s="1776"/>
      <c r="C79" s="1772"/>
      <c r="D79" s="1777" t="s">
        <v>1894</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1995</v>
      </c>
      <c r="C105" s="913">
        <v>3100</v>
      </c>
      <c r="D105" s="919" t="str">
        <f>'Revenues 9-14'!A132</f>
        <v>Total Special Education</v>
      </c>
      <c r="E105" s="906"/>
      <c r="F105" s="1789">
        <f>SUM('Revenues 9-14'!C132:D132,'Revenues 9-14'!F132)</f>
        <v>0</v>
      </c>
      <c r="G105" s="912"/>
    </row>
    <row r="106" spans="1:7" x14ac:dyDescent="0.2">
      <c r="A106" s="908" t="s">
        <v>673</v>
      </c>
      <c r="B106" s="908" t="s">
        <v>1996</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1997</v>
      </c>
      <c r="C107" s="920">
        <v>3300</v>
      </c>
      <c r="D107" s="911" t="str">
        <f>'Revenues 9-14'!A145</f>
        <v>Total Bilingual Ed</v>
      </c>
      <c r="E107" s="906"/>
      <c r="F107" s="1789">
        <f>SUM('Revenues 9-14'!C145,'Revenues 9-14'!G145)</f>
        <v>0</v>
      </c>
      <c r="G107" s="912"/>
    </row>
    <row r="108" spans="1:7" x14ac:dyDescent="0.2">
      <c r="A108" s="908" t="s">
        <v>459</v>
      </c>
      <c r="B108" s="908" t="s">
        <v>1998</v>
      </c>
      <c r="C108" s="920">
        <f>'Revenues 9-14'!B146</f>
        <v>3360</v>
      </c>
      <c r="D108" s="911" t="str">
        <f>'Revenues 9-14'!A146</f>
        <v>State Free Lunch &amp; Breakfast</v>
      </c>
      <c r="E108" s="906"/>
      <c r="F108" s="1789">
        <f>'Revenues 9-14'!C146</f>
        <v>0</v>
      </c>
      <c r="G108" s="912"/>
    </row>
    <row r="109" spans="1:7" x14ac:dyDescent="0.2">
      <c r="A109" s="908" t="s">
        <v>673</v>
      </c>
      <c r="B109" s="908" t="s">
        <v>1999</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2000</v>
      </c>
      <c r="C110" s="920">
        <f>'Revenues 9-14'!B148</f>
        <v>3370</v>
      </c>
      <c r="D110" s="911" t="str">
        <f>'Revenues 9-14'!A148</f>
        <v>Driver Education</v>
      </c>
      <c r="E110" s="906"/>
      <c r="F110" s="1789">
        <f>SUM('Revenues 9-14'!C148,'Revenues 9-14'!D148)</f>
        <v>0</v>
      </c>
      <c r="G110" s="912"/>
    </row>
    <row r="111" spans="1:7" x14ac:dyDescent="0.2">
      <c r="A111" s="908" t="s">
        <v>668</v>
      </c>
      <c r="B111" s="908" t="s">
        <v>2001</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2002</v>
      </c>
      <c r="C112" s="920">
        <f>'Revenues 9-14'!B156</f>
        <v>3610</v>
      </c>
      <c r="D112" s="911" t="str">
        <f>'Revenues 9-14'!A156</f>
        <v>Learning Improvement - Change Grants</v>
      </c>
      <c r="E112" s="906"/>
      <c r="F112" s="1789">
        <f>'Revenues 9-14'!C156</f>
        <v>0</v>
      </c>
      <c r="G112" s="912"/>
    </row>
    <row r="113" spans="1:7" x14ac:dyDescent="0.2">
      <c r="A113" s="908" t="s">
        <v>668</v>
      </c>
      <c r="B113" s="908" t="s">
        <v>2003</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2004</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2005</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2006</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2007</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2008</v>
      </c>
      <c r="C118" s="924">
        <f>'Revenues 9-14'!B163</f>
        <v>3780</v>
      </c>
      <c r="D118" s="925" t="str">
        <f>'Revenues 9-14'!A163</f>
        <v>Technology - Technology for Success</v>
      </c>
      <c r="E118" s="906"/>
      <c r="F118" s="1907">
        <f>SUM('Revenues 9-14'!C163:G163)</f>
        <v>0</v>
      </c>
      <c r="G118" s="912"/>
    </row>
    <row r="119" spans="1:7" x14ac:dyDescent="0.2">
      <c r="A119" s="923" t="s">
        <v>504</v>
      </c>
      <c r="B119" s="923" t="s">
        <v>2009</v>
      </c>
      <c r="C119" s="924">
        <f>'Revenues 9-14'!B164</f>
        <v>3815</v>
      </c>
      <c r="D119" s="925" t="str">
        <f>'Revenues 9-14'!A164</f>
        <v>State Charter Schools</v>
      </c>
      <c r="E119" s="906"/>
      <c r="F119" s="1907">
        <f>SUM('Revenues 9-14'!C164,'Revenues 9-14'!F164)</f>
        <v>0</v>
      </c>
      <c r="G119" s="912"/>
    </row>
    <row r="120" spans="1:7" x14ac:dyDescent="0.2">
      <c r="A120" s="927" t="s">
        <v>460</v>
      </c>
      <c r="B120" s="927" t="s">
        <v>2010</v>
      </c>
      <c r="C120" s="928">
        <f>'Revenues 9-14'!B167</f>
        <v>3925</v>
      </c>
      <c r="D120" s="929" t="str">
        <f>'Revenues 9-14'!A167</f>
        <v>School Infrastructure - Maintenance Projects</v>
      </c>
      <c r="E120" s="906"/>
      <c r="F120" s="1789">
        <f>'Revenues 9-14'!D167</f>
        <v>0</v>
      </c>
      <c r="G120" s="930"/>
    </row>
    <row r="121" spans="1:7" x14ac:dyDescent="0.2">
      <c r="A121" s="927" t="s">
        <v>500</v>
      </c>
      <c r="B121" s="927" t="s">
        <v>2011</v>
      </c>
      <c r="C121" s="928">
        <f>'Revenues 9-14'!B168</f>
        <v>3999</v>
      </c>
      <c r="D121" s="929" t="s">
        <v>543</v>
      </c>
      <c r="E121" s="931"/>
      <c r="F121" s="1789">
        <f>SUM('Revenues 9-14'!C168:G168,'Revenues 9-14'!J168)</f>
        <v>0</v>
      </c>
      <c r="G121" s="930"/>
    </row>
    <row r="122" spans="1:7" x14ac:dyDescent="0.2">
      <c r="A122" s="927" t="s">
        <v>459</v>
      </c>
      <c r="B122" s="927" t="s">
        <v>2012</v>
      </c>
      <c r="C122" s="932">
        <f>'Revenues 9-14'!B177</f>
        <v>4045</v>
      </c>
      <c r="D122" s="929" t="str">
        <f>'Revenues 9-14'!A177 &amp; " (Subtract)"</f>
        <v>Head Start (Subtract)</v>
      </c>
      <c r="E122" s="906"/>
      <c r="F122" s="1789">
        <f>SUM(-'Revenues 9-14'!C177)</f>
        <v>0</v>
      </c>
      <c r="G122" s="930"/>
    </row>
    <row r="123" spans="1:7" x14ac:dyDescent="0.2">
      <c r="A123" s="927" t="s">
        <v>668</v>
      </c>
      <c r="B123" s="927" t="s">
        <v>2013</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2014</v>
      </c>
      <c r="C124" s="932">
        <v>4100</v>
      </c>
      <c r="D124" s="933" t="str">
        <f>'Revenues 9-14'!A188</f>
        <v>Total Title V</v>
      </c>
      <c r="E124" s="906"/>
      <c r="F124" s="1789">
        <f>SUM('Revenues 9-14'!C188,'Revenues 9-14'!D188,'Revenues 9-14'!F188,'Revenues 9-14'!G188)</f>
        <v>0</v>
      </c>
      <c r="G124" s="930"/>
    </row>
    <row r="125" spans="1:7" x14ac:dyDescent="0.2">
      <c r="A125" s="927" t="s">
        <v>664</v>
      </c>
      <c r="B125" s="927" t="s">
        <v>2015</v>
      </c>
      <c r="C125" s="932">
        <v>4200</v>
      </c>
      <c r="D125" s="929" t="str">
        <f>'Revenues 9-14'!A198</f>
        <v>Total Food Service</v>
      </c>
      <c r="E125" s="906"/>
      <c r="F125" s="1789">
        <f>SUM('Revenues 9-14'!C198,'Revenues 9-14'!G198)</f>
        <v>0</v>
      </c>
      <c r="G125" s="930"/>
    </row>
    <row r="126" spans="1:7" x14ac:dyDescent="0.2">
      <c r="A126" s="927" t="s">
        <v>668</v>
      </c>
      <c r="B126" s="927" t="s">
        <v>2016</v>
      </c>
      <c r="C126" s="932">
        <v>4300</v>
      </c>
      <c r="D126" s="933" t="str">
        <f>'Revenues 9-14'!A204</f>
        <v>Total Title I</v>
      </c>
      <c r="E126" s="906"/>
      <c r="F126" s="1789">
        <f>SUM('Revenues 9-14'!C204,'Revenues 9-14'!D204,'Revenues 9-14'!F204,'Revenues 9-14'!G204)</f>
        <v>0</v>
      </c>
      <c r="G126" s="930"/>
    </row>
    <row r="127" spans="1:7" x14ac:dyDescent="0.2">
      <c r="A127" s="927" t="s">
        <v>668</v>
      </c>
      <c r="B127" s="927" t="s">
        <v>2017</v>
      </c>
      <c r="C127" s="932">
        <v>4400</v>
      </c>
      <c r="D127" s="933" t="str">
        <f>'Revenues 9-14'!A209</f>
        <v>Total Title IV</v>
      </c>
      <c r="E127" s="906"/>
      <c r="F127" s="1789">
        <f>SUM('Revenues 9-14'!C209,'Revenues 9-14'!D209,'Revenues 9-14'!F209,'Revenues 9-14'!G209)</f>
        <v>0</v>
      </c>
      <c r="G127" s="930"/>
    </row>
    <row r="128" spans="1:7" x14ac:dyDescent="0.2">
      <c r="A128" s="927" t="s">
        <v>668</v>
      </c>
      <c r="B128" s="927" t="s">
        <v>2018</v>
      </c>
      <c r="C128" s="932">
        <f>'Revenues 9-14'!B213</f>
        <v>4620</v>
      </c>
      <c r="D128" s="933" t="str">
        <f>'Revenues 9-14'!A213</f>
        <v>Fed - Spec Education - IDEA - Flow Through</v>
      </c>
      <c r="E128" s="906"/>
      <c r="F128" s="1789">
        <f>SUM('Revenues 9-14'!C213:D213,'Revenues 9-14'!F213:G213)</f>
        <v>3784887</v>
      </c>
      <c r="G128" s="930"/>
    </row>
    <row r="129" spans="1:7" x14ac:dyDescent="0.2">
      <c r="A129" s="927" t="s">
        <v>668</v>
      </c>
      <c r="B129" s="927" t="s">
        <v>2019</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2020</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2021</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2022</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2023</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2024</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2025</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2026</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2027</v>
      </c>
      <c r="C138" s="935" t="s">
        <v>212</v>
      </c>
      <c r="D138" s="936" t="str">
        <f>'Revenues 9-14'!A229</f>
        <v>ARRA - IDEA - Part B - Preschool</v>
      </c>
      <c r="E138" s="937"/>
      <c r="F138" s="1789">
        <v>0</v>
      </c>
      <c r="G138" s="905"/>
    </row>
    <row r="139" spans="1:7" s="867" customFormat="1" hidden="1" x14ac:dyDescent="0.2">
      <c r="A139" s="934" t="s">
        <v>206</v>
      </c>
      <c r="B139" s="934" t="s">
        <v>2028</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2029</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2030</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2031</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1413</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2032</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2033</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2034</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1414</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2035</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2036</v>
      </c>
      <c r="C157" s="940" t="s">
        <v>841</v>
      </c>
      <c r="D157" s="941" t="s">
        <v>777</v>
      </c>
      <c r="E157" s="942"/>
      <c r="F157" s="1789">
        <f>SUM(F133:F156)</f>
        <v>0</v>
      </c>
      <c r="G157" s="905"/>
    </row>
    <row r="158" spans="1:7" s="867" customFormat="1" x14ac:dyDescent="0.2">
      <c r="A158" s="938" t="s">
        <v>459</v>
      </c>
      <c r="B158" s="939" t="s">
        <v>2037</v>
      </c>
      <c r="C158" s="940" t="s">
        <v>1424</v>
      </c>
      <c r="D158" s="941" t="s">
        <v>1425</v>
      </c>
      <c r="E158" s="942"/>
      <c r="F158" s="1789">
        <f>SUM('Revenues 9-14'!C253)</f>
        <v>0</v>
      </c>
      <c r="G158" s="905"/>
    </row>
    <row r="159" spans="1:7" s="867" customFormat="1" x14ac:dyDescent="0.2">
      <c r="A159" s="938" t="s">
        <v>500</v>
      </c>
      <c r="B159" s="939" t="s">
        <v>2038</v>
      </c>
      <c r="C159" s="940" t="s">
        <v>1463</v>
      </c>
      <c r="D159" s="941" t="s">
        <v>1464</v>
      </c>
      <c r="E159" s="942"/>
      <c r="F159" s="1789">
        <f>SUM('Revenues 9-14'!C254:H254,'Revenues 9-14'!J254:K254)</f>
        <v>0</v>
      </c>
      <c r="G159" s="905"/>
    </row>
    <row r="160" spans="1:7" x14ac:dyDescent="0.2">
      <c r="A160" s="927" t="s">
        <v>5</v>
      </c>
      <c r="B160" s="927" t="s">
        <v>2039</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2040</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2041</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2042</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2043</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2044</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1989</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1990</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2045</v>
      </c>
      <c r="C168" s="932">
        <f>'Revenues 9-14'!B263</f>
        <v>4991</v>
      </c>
      <c r="D168" s="933" t="str">
        <f>'Revenues 9-14'!A263</f>
        <v>Medicaid Matching Funds - Administrative Outreach</v>
      </c>
      <c r="E168" s="906"/>
      <c r="F168" s="1789">
        <f>SUM('Revenues 9-14'!C263:D263,'Revenues 9-14'!F263:G263)</f>
        <v>196809</v>
      </c>
      <c r="G168" s="947">
        <v>6320</v>
      </c>
    </row>
    <row r="169" spans="1:7" x14ac:dyDescent="0.2">
      <c r="A169" s="927" t="s">
        <v>668</v>
      </c>
      <c r="B169" s="927" t="s">
        <v>2046</v>
      </c>
      <c r="C169" s="932">
        <f>'Revenues 9-14'!B264</f>
        <v>4992</v>
      </c>
      <c r="D169" s="933" t="str">
        <f>'Revenues 9-14'!A264</f>
        <v>Medicaid Matching Funds - Fee-for-Service Program</v>
      </c>
      <c r="E169" s="906"/>
      <c r="F169" s="1789">
        <f>SUM('Revenues 9-14'!C264:D264,'Revenues 9-14'!F264:G264)</f>
        <v>455443</v>
      </c>
      <c r="G169" s="947"/>
    </row>
    <row r="170" spans="1:7" x14ac:dyDescent="0.2">
      <c r="A170" s="948" t="s">
        <v>668</v>
      </c>
      <c r="B170" s="944" t="s">
        <v>2047</v>
      </c>
      <c r="C170" s="945">
        <f>'Revenues 9-14'!B265</f>
        <v>4999</v>
      </c>
      <c r="D170" s="946" t="str">
        <f>'Revenues 9-14'!A265</f>
        <v>Other Restricted Revenue from Federal Sources (Describe &amp; Itemize)</v>
      </c>
      <c r="E170" s="906"/>
      <c r="F170" s="1789">
        <f>SUM('Revenues 9-14'!C265:D265,'Revenues 9-14'!F265:G265)</f>
        <v>73549</v>
      </c>
      <c r="G170" s="927"/>
    </row>
    <row r="171" spans="1:7" x14ac:dyDescent="0.2">
      <c r="A171" s="1918" t="s">
        <v>5</v>
      </c>
      <c r="B171" s="1919" t="s">
        <v>1913</v>
      </c>
      <c r="C171" s="1920">
        <v>3100</v>
      </c>
      <c r="D171" s="1921" t="s">
        <v>1915</v>
      </c>
      <c r="E171" s="906"/>
      <c r="F171" s="1906"/>
      <c r="G171" s="927"/>
    </row>
    <row r="172" spans="1:7" x14ac:dyDescent="0.2">
      <c r="A172" s="1918" t="s">
        <v>664</v>
      </c>
      <c r="B172" s="1919" t="s">
        <v>1913</v>
      </c>
      <c r="C172" s="1920">
        <v>3300</v>
      </c>
      <c r="D172" s="1921" t="s">
        <v>1916</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2048</v>
      </c>
      <c r="E174" s="1787" t="s">
        <v>958</v>
      </c>
      <c r="F174" s="1788">
        <f>SUM(F84:F132,F157:F172)</f>
        <v>4510688</v>
      </c>
    </row>
    <row r="175" spans="1:7" ht="12" customHeight="1" x14ac:dyDescent="0.2">
      <c r="A175" s="1770"/>
      <c r="B175" s="1784"/>
      <c r="C175" s="1785"/>
      <c r="D175" s="1786" t="s">
        <v>2049</v>
      </c>
      <c r="E175" s="1787"/>
      <c r="F175" s="1789">
        <f>'PCTC-OEPP 27-28'!F77-F174</f>
        <v>8720316</v>
      </c>
    </row>
    <row r="176" spans="1:7" ht="12" customHeight="1" x14ac:dyDescent="0.2">
      <c r="A176" s="1770"/>
      <c r="B176" s="1784"/>
      <c r="C176" s="1785"/>
      <c r="D176" s="1786" t="s">
        <v>1811</v>
      </c>
      <c r="E176" s="1787"/>
      <c r="F176" s="1789">
        <f>'Cap Outlay Deprec 26'!I18</f>
        <v>53741.1</v>
      </c>
    </row>
    <row r="177" spans="1:7" ht="12" customHeight="1" x14ac:dyDescent="0.2">
      <c r="A177" s="1770"/>
      <c r="B177" s="1784"/>
      <c r="C177" s="1785"/>
      <c r="D177" s="1786" t="s">
        <v>2050</v>
      </c>
      <c r="E177" s="1787"/>
      <c r="F177" s="1789">
        <f>F175+F176</f>
        <v>8774057.0999999996</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2051</v>
      </c>
      <c r="E179" s="1787" t="s">
        <v>1542</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1914</v>
      </c>
      <c r="B181" s="930"/>
      <c r="C181" s="949"/>
      <c r="D181" s="930"/>
      <c r="E181" s="949"/>
      <c r="F181" s="930"/>
      <c r="G181" s="930"/>
    </row>
    <row r="182" spans="1:7" s="1922" customFormat="1" ht="12.2" customHeight="1" x14ac:dyDescent="0.2">
      <c r="A182" s="1922" t="s">
        <v>1986</v>
      </c>
      <c r="B182" s="1923"/>
      <c r="C182" s="1924"/>
      <c r="D182" s="1923"/>
      <c r="E182" s="1924"/>
      <c r="F182" s="1923"/>
      <c r="G182" s="1923"/>
    </row>
    <row r="183" spans="1:7" s="1922" customFormat="1" ht="12.2" customHeight="1" x14ac:dyDescent="0.2">
      <c r="A183" s="1925" t="s">
        <v>1988</v>
      </c>
      <c r="C183" s="1924"/>
      <c r="D183" s="1923"/>
      <c r="E183" s="1924"/>
      <c r="F183" s="1923"/>
      <c r="G183" s="1923"/>
    </row>
    <row r="184" spans="1:7" ht="12" customHeight="1" x14ac:dyDescent="0.2">
      <c r="C184" s="949"/>
      <c r="D184" s="930"/>
      <c r="E184" s="949"/>
      <c r="F184" s="930"/>
      <c r="G184" s="930"/>
    </row>
    <row r="185" spans="1:7" x14ac:dyDescent="0.2">
      <c r="A185" s="1926" t="s">
        <v>1918</v>
      </c>
      <c r="B185" s="1927" t="s">
        <v>1917</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90" zoomScaleNormal="90" workbookViewId="0"/>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1826</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8" t="s">
        <v>1812</v>
      </c>
      <c r="B4" s="2279"/>
      <c r="C4" s="2279"/>
      <c r="D4" s="2279"/>
      <c r="E4" s="2279"/>
      <c r="F4" s="2279"/>
      <c r="G4" s="2280"/>
    </row>
    <row r="5" spans="1:7" x14ac:dyDescent="0.25">
      <c r="A5" s="2281"/>
      <c r="B5" s="2282"/>
      <c r="C5" s="2282"/>
      <c r="D5" s="2282"/>
      <c r="E5" s="2282"/>
      <c r="F5" s="2282"/>
      <c r="G5" s="2283"/>
    </row>
    <row r="6" spans="1:7" ht="18.75" x14ac:dyDescent="0.25">
      <c r="A6" s="1939" t="s">
        <v>2058</v>
      </c>
      <c r="B6" s="1940"/>
      <c r="C6" s="1940"/>
      <c r="D6" s="1940"/>
      <c r="E6" s="1940"/>
      <c r="F6" s="1940"/>
      <c r="G6" s="1941"/>
    </row>
    <row r="7" spans="1:7" ht="18.75" x14ac:dyDescent="0.25">
      <c r="A7" s="1534" t="s">
        <v>1813</v>
      </c>
      <c r="B7" s="1535"/>
      <c r="C7" s="1535"/>
      <c r="D7" s="1535"/>
      <c r="E7" s="1535"/>
      <c r="F7" s="1535"/>
      <c r="G7" s="1536"/>
    </row>
    <row r="8" spans="1:7" ht="30.75" customHeight="1" x14ac:dyDescent="0.25">
      <c r="A8" s="2284" t="s">
        <v>1925</v>
      </c>
      <c r="B8" s="2285"/>
      <c r="C8" s="2285"/>
      <c r="D8" s="2285"/>
      <c r="E8" s="2285"/>
      <c r="F8" s="2285"/>
      <c r="G8" s="2286"/>
    </row>
    <row r="9" spans="1:7" ht="15.75" customHeight="1" x14ac:dyDescent="0.25">
      <c r="A9" s="2287" t="s">
        <v>1900</v>
      </c>
      <c r="B9" s="2288"/>
      <c r="C9" s="2288"/>
      <c r="D9" s="2288"/>
      <c r="E9" s="2288"/>
      <c r="F9" s="2288"/>
      <c r="G9" s="2289"/>
    </row>
    <row r="10" spans="1:7" ht="35.25" customHeight="1" x14ac:dyDescent="0.25">
      <c r="A10" s="2284" t="s">
        <v>2057</v>
      </c>
      <c r="B10" s="2285"/>
      <c r="C10" s="2285"/>
      <c r="D10" s="2285"/>
      <c r="E10" s="2285"/>
      <c r="F10" s="2285"/>
      <c r="G10" s="2286"/>
    </row>
    <row r="11" spans="1:7" ht="15" customHeight="1" x14ac:dyDescent="0.25">
      <c r="A11" s="1537" t="s">
        <v>1814</v>
      </c>
      <c r="B11" s="1538"/>
      <c r="C11" s="1538"/>
      <c r="D11" s="1538"/>
      <c r="E11" s="1538"/>
      <c r="F11" s="1538"/>
      <c r="G11" s="1539"/>
    </row>
    <row r="12" spans="1:7" ht="17.25" customHeight="1" x14ac:dyDescent="0.25">
      <c r="A12" s="2284" t="s">
        <v>1927</v>
      </c>
      <c r="B12" s="2285"/>
      <c r="C12" s="2285"/>
      <c r="D12" s="2285"/>
      <c r="E12" s="2285"/>
      <c r="F12" s="2285"/>
      <c r="G12" s="2286"/>
    </row>
    <row r="13" spans="1:7" ht="15" customHeight="1" x14ac:dyDescent="0.25">
      <c r="A13" s="1537" t="s">
        <v>1819</v>
      </c>
      <c r="B13" s="1538"/>
      <c r="C13" s="1538"/>
      <c r="D13" s="1538"/>
      <c r="E13" s="1538"/>
      <c r="F13" s="1538"/>
      <c r="G13" s="1539"/>
    </row>
    <row r="14" spans="1:7" ht="32.25" customHeight="1" x14ac:dyDescent="0.25">
      <c r="A14" s="2275" t="s">
        <v>1968</v>
      </c>
      <c r="B14" s="2276"/>
      <c r="C14" s="2276"/>
      <c r="D14" s="2276"/>
      <c r="E14" s="2276"/>
      <c r="F14" s="2276"/>
      <c r="G14" s="2277"/>
    </row>
    <row r="15" spans="1:7" x14ac:dyDescent="0.25">
      <c r="A15" s="1661" t="s">
        <v>1827</v>
      </c>
      <c r="B15" s="1662"/>
      <c r="C15" s="1662"/>
      <c r="D15" s="1662"/>
      <c r="E15" s="1662"/>
      <c r="F15" s="1662"/>
      <c r="G15" s="1663"/>
    </row>
    <row r="16" spans="1:7" ht="61.5" customHeight="1" x14ac:dyDescent="0.25">
      <c r="A16" s="1546" t="s">
        <v>1820</v>
      </c>
      <c r="B16" s="1546" t="s">
        <v>1821</v>
      </c>
      <c r="C16" s="1546" t="s">
        <v>1822</v>
      </c>
      <c r="D16" s="1547" t="s">
        <v>1823</v>
      </c>
      <c r="E16" s="1547" t="s">
        <v>1815</v>
      </c>
      <c r="F16" s="1547" t="s">
        <v>1824</v>
      </c>
      <c r="G16" s="1547" t="s">
        <v>1825</v>
      </c>
    </row>
    <row r="17" spans="1:8" x14ac:dyDescent="0.25">
      <c r="A17" s="1648" t="s">
        <v>1828</v>
      </c>
      <c r="B17" s="1649" t="s">
        <v>1818</v>
      </c>
      <c r="C17" s="1650" t="s">
        <v>1816</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hidden="1" x14ac:dyDescent="0.25">
      <c r="A31" s="1653"/>
      <c r="B31" s="1934"/>
      <c r="C31" s="1654"/>
      <c r="D31" s="1844"/>
      <c r="E31" s="1540">
        <f t="shared" si="2"/>
        <v>0</v>
      </c>
      <c r="F31" s="1938">
        <f t="shared" si="1"/>
        <v>0</v>
      </c>
      <c r="G31" s="1793">
        <f t="shared" si="3"/>
        <v>0</v>
      </c>
    </row>
    <row r="32" spans="1:8" hidden="1" x14ac:dyDescent="0.25">
      <c r="A32" s="1653"/>
      <c r="B32" s="1934"/>
      <c r="C32" s="1654"/>
      <c r="D32" s="1844"/>
      <c r="E32" s="1540">
        <f t="shared" si="2"/>
        <v>0</v>
      </c>
      <c r="F32" s="1938">
        <f t="shared" si="1"/>
        <v>0</v>
      </c>
      <c r="G32" s="1793">
        <f t="shared" si="3"/>
        <v>0</v>
      </c>
    </row>
    <row r="33" spans="1:7" hidden="1" x14ac:dyDescent="0.25">
      <c r="A33" s="1653"/>
      <c r="B33" s="1934"/>
      <c r="C33" s="1654"/>
      <c r="D33" s="1844"/>
      <c r="E33" s="1540">
        <f t="shared" si="2"/>
        <v>0</v>
      </c>
      <c r="F33" s="1938">
        <f t="shared" si="1"/>
        <v>0</v>
      </c>
      <c r="G33" s="1793">
        <f t="shared" si="3"/>
        <v>0</v>
      </c>
    </row>
    <row r="34" spans="1:7" hidden="1" x14ac:dyDescent="0.25">
      <c r="A34" s="1653"/>
      <c r="B34" s="1934"/>
      <c r="C34" s="1654"/>
      <c r="D34" s="1844"/>
      <c r="E34" s="1540">
        <f t="shared" si="2"/>
        <v>0</v>
      </c>
      <c r="F34" s="1938">
        <f t="shared" si="1"/>
        <v>0</v>
      </c>
      <c r="G34" s="1793">
        <f t="shared" si="3"/>
        <v>0</v>
      </c>
    </row>
    <row r="35" spans="1:7" hidden="1" x14ac:dyDescent="0.25">
      <c r="A35" s="1653"/>
      <c r="B35" s="1934"/>
      <c r="C35" s="1654"/>
      <c r="D35" s="1844"/>
      <c r="E35" s="1540">
        <f t="shared" si="2"/>
        <v>0</v>
      </c>
      <c r="F35" s="1938">
        <f t="shared" si="1"/>
        <v>0</v>
      </c>
      <c r="G35" s="1793">
        <f t="shared" si="3"/>
        <v>0</v>
      </c>
    </row>
    <row r="36" spans="1:7" hidden="1" x14ac:dyDescent="0.25">
      <c r="A36" s="1653"/>
      <c r="B36" s="1934"/>
      <c r="C36" s="1654"/>
      <c r="D36" s="1844"/>
      <c r="E36" s="1540">
        <f t="shared" si="2"/>
        <v>0</v>
      </c>
      <c r="F36" s="1938">
        <f t="shared" si="1"/>
        <v>0</v>
      </c>
      <c r="G36" s="1793">
        <f t="shared" si="3"/>
        <v>0</v>
      </c>
    </row>
    <row r="37" spans="1:7" hidden="1" x14ac:dyDescent="0.25">
      <c r="A37" s="1653"/>
      <c r="B37" s="1934"/>
      <c r="C37" s="1654"/>
      <c r="D37" s="1844"/>
      <c r="E37" s="1540">
        <f t="shared" si="2"/>
        <v>0</v>
      </c>
      <c r="F37" s="1938">
        <f t="shared" si="1"/>
        <v>0</v>
      </c>
      <c r="G37" s="1793">
        <f t="shared" si="3"/>
        <v>0</v>
      </c>
    </row>
    <row r="38" spans="1:7" hidden="1" x14ac:dyDescent="0.25">
      <c r="A38" s="1653"/>
      <c r="B38" s="1934"/>
      <c r="C38" s="1654"/>
      <c r="D38" s="1844"/>
      <c r="E38" s="1540">
        <f t="shared" si="2"/>
        <v>0</v>
      </c>
      <c r="F38" s="1938">
        <f t="shared" si="1"/>
        <v>0</v>
      </c>
      <c r="G38" s="1793">
        <f t="shared" si="3"/>
        <v>0</v>
      </c>
    </row>
    <row r="39" spans="1:7" hidden="1" x14ac:dyDescent="0.25">
      <c r="A39" s="1653"/>
      <c r="B39" s="1935"/>
      <c r="C39" s="1654"/>
      <c r="D39" s="1844"/>
      <c r="E39" s="1540">
        <f t="shared" si="2"/>
        <v>0</v>
      </c>
      <c r="F39" s="1938">
        <f t="shared" si="1"/>
        <v>0</v>
      </c>
      <c r="G39" s="1793">
        <f t="shared" si="3"/>
        <v>0</v>
      </c>
    </row>
    <row r="40" spans="1:7" hidden="1" x14ac:dyDescent="0.25">
      <c r="A40" s="1653"/>
      <c r="B40" s="1935"/>
      <c r="C40" s="1654"/>
      <c r="D40" s="1844"/>
      <c r="E40" s="1540">
        <f t="shared" si="2"/>
        <v>0</v>
      </c>
      <c r="F40" s="1938">
        <f t="shared" si="1"/>
        <v>0</v>
      </c>
      <c r="G40" s="1793">
        <f t="shared" si="3"/>
        <v>0</v>
      </c>
    </row>
    <row r="41" spans="1:7" hidden="1" x14ac:dyDescent="0.25">
      <c r="A41" s="1653"/>
      <c r="B41" s="1935"/>
      <c r="C41" s="1654"/>
      <c r="D41" s="1844"/>
      <c r="E41" s="1540">
        <f t="shared" si="2"/>
        <v>0</v>
      </c>
      <c r="F41" s="1938">
        <f t="shared" si="1"/>
        <v>0</v>
      </c>
      <c r="G41" s="1793">
        <f t="shared" si="3"/>
        <v>0</v>
      </c>
    </row>
    <row r="42" spans="1:7" hidden="1" x14ac:dyDescent="0.25">
      <c r="A42" s="1653"/>
      <c r="B42" s="1935"/>
      <c r="C42" s="1654"/>
      <c r="D42" s="1844"/>
      <c r="E42" s="1540">
        <f t="shared" si="2"/>
        <v>0</v>
      </c>
      <c r="F42" s="1938">
        <f t="shared" si="1"/>
        <v>0</v>
      </c>
      <c r="G42" s="1793">
        <f t="shared" si="3"/>
        <v>0</v>
      </c>
    </row>
    <row r="43" spans="1:7" hidden="1" x14ac:dyDescent="0.25">
      <c r="A43" s="1653"/>
      <c r="B43" s="1935"/>
      <c r="C43" s="1654"/>
      <c r="D43" s="1844"/>
      <c r="E43" s="1540">
        <f t="shared" si="2"/>
        <v>0</v>
      </c>
      <c r="F43" s="1938">
        <f t="shared" si="1"/>
        <v>0</v>
      </c>
      <c r="G43" s="1793">
        <f t="shared" si="3"/>
        <v>0</v>
      </c>
    </row>
    <row r="44" spans="1:7" hidden="1" x14ac:dyDescent="0.25">
      <c r="A44" s="1653"/>
      <c r="B44" s="1935"/>
      <c r="C44" s="1654"/>
      <c r="D44" s="1844"/>
      <c r="E44" s="1540">
        <f t="shared" si="2"/>
        <v>0</v>
      </c>
      <c r="F44" s="1938">
        <f t="shared" si="1"/>
        <v>0</v>
      </c>
      <c r="G44" s="1793">
        <f t="shared" si="3"/>
        <v>0</v>
      </c>
    </row>
    <row r="45" spans="1:7" hidden="1" x14ac:dyDescent="0.25">
      <c r="A45" s="1653"/>
      <c r="B45" s="1935"/>
      <c r="C45" s="1654"/>
      <c r="D45" s="1844"/>
      <c r="E45" s="1540">
        <f t="shared" si="2"/>
        <v>0</v>
      </c>
      <c r="F45" s="1938">
        <f t="shared" si="1"/>
        <v>0</v>
      </c>
      <c r="G45" s="1793">
        <f t="shared" si="3"/>
        <v>0</v>
      </c>
    </row>
    <row r="46" spans="1:7" hidden="1" x14ac:dyDescent="0.25">
      <c r="A46" s="1653"/>
      <c r="B46" s="1935"/>
      <c r="C46" s="1654"/>
      <c r="D46" s="1844"/>
      <c r="E46" s="1540">
        <f t="shared" si="2"/>
        <v>0</v>
      </c>
      <c r="F46" s="1938">
        <f t="shared" si="1"/>
        <v>0</v>
      </c>
      <c r="G46" s="1793">
        <f t="shared" si="3"/>
        <v>0</v>
      </c>
    </row>
    <row r="47" spans="1:7" hidden="1" x14ac:dyDescent="0.25">
      <c r="A47" s="1653"/>
      <c r="B47" s="1667"/>
      <c r="C47" s="1654"/>
      <c r="D47" s="1844"/>
      <c r="E47" s="1540">
        <f t="shared" si="2"/>
        <v>0</v>
      </c>
      <c r="F47" s="1938">
        <f t="shared" si="1"/>
        <v>0</v>
      </c>
      <c r="G47" s="1793">
        <f t="shared" si="3"/>
        <v>0</v>
      </c>
    </row>
    <row r="48" spans="1:7" hidden="1" x14ac:dyDescent="0.25">
      <c r="A48" s="1653"/>
      <c r="B48" s="1667"/>
      <c r="C48" s="1654"/>
      <c r="D48" s="1844"/>
      <c r="E48" s="1540">
        <f t="shared" si="2"/>
        <v>0</v>
      </c>
      <c r="F48" s="1938">
        <f t="shared" si="1"/>
        <v>0</v>
      </c>
      <c r="G48" s="1793">
        <f t="shared" si="3"/>
        <v>0</v>
      </c>
    </row>
    <row r="49" spans="1:7" hidden="1" x14ac:dyDescent="0.25">
      <c r="A49" s="1653"/>
      <c r="B49" s="1667"/>
      <c r="C49" s="1654"/>
      <c r="D49" s="1844"/>
      <c r="E49" s="1540">
        <f t="shared" si="2"/>
        <v>0</v>
      </c>
      <c r="F49" s="1938">
        <f t="shared" si="1"/>
        <v>0</v>
      </c>
      <c r="G49" s="1793">
        <f t="shared" si="3"/>
        <v>0</v>
      </c>
    </row>
    <row r="50" spans="1:7" hidden="1" x14ac:dyDescent="0.25">
      <c r="A50" s="1653"/>
      <c r="B50" s="1667"/>
      <c r="C50" s="1654"/>
      <c r="D50" s="1844"/>
      <c r="E50" s="1540">
        <f t="shared" si="2"/>
        <v>0</v>
      </c>
      <c r="F50" s="1938">
        <f t="shared" si="1"/>
        <v>0</v>
      </c>
      <c r="G50" s="1793">
        <f t="shared" si="3"/>
        <v>0</v>
      </c>
    </row>
    <row r="51" spans="1:7" hidden="1" x14ac:dyDescent="0.25">
      <c r="A51" s="1653"/>
      <c r="B51" s="1667"/>
      <c r="C51" s="1654"/>
      <c r="D51" s="1844"/>
      <c r="E51" s="1540">
        <f t="shared" si="2"/>
        <v>0</v>
      </c>
      <c r="F51" s="1938">
        <f t="shared" si="1"/>
        <v>0</v>
      </c>
      <c r="G51" s="1793">
        <f t="shared" si="3"/>
        <v>0</v>
      </c>
    </row>
    <row r="52" spans="1:7" hidden="1" x14ac:dyDescent="0.25">
      <c r="A52" s="1653"/>
      <c r="B52" s="1667"/>
      <c r="C52" s="1654"/>
      <c r="D52" s="1844"/>
      <c r="E52" s="1540">
        <f t="shared" si="2"/>
        <v>0</v>
      </c>
      <c r="F52" s="1938">
        <f t="shared" si="1"/>
        <v>0</v>
      </c>
      <c r="G52" s="1793">
        <f t="shared" si="3"/>
        <v>0</v>
      </c>
    </row>
    <row r="53" spans="1:7" hidden="1" x14ac:dyDescent="0.25">
      <c r="A53" s="1653"/>
      <c r="B53" s="1667"/>
      <c r="C53" s="1654"/>
      <c r="D53" s="1844"/>
      <c r="E53" s="1540">
        <f t="shared" si="2"/>
        <v>0</v>
      </c>
      <c r="F53" s="1938">
        <f t="shared" si="1"/>
        <v>0</v>
      </c>
      <c r="G53" s="1793">
        <f t="shared" si="3"/>
        <v>0</v>
      </c>
    </row>
    <row r="54" spans="1:7" hidden="1" x14ac:dyDescent="0.25">
      <c r="A54" s="1653"/>
      <c r="B54" s="1667"/>
      <c r="C54" s="1654"/>
      <c r="D54" s="1844"/>
      <c r="E54" s="1540">
        <f t="shared" si="2"/>
        <v>0</v>
      </c>
      <c r="F54" s="1938">
        <f t="shared" si="1"/>
        <v>0</v>
      </c>
      <c r="G54" s="1793">
        <f t="shared" si="3"/>
        <v>0</v>
      </c>
    </row>
    <row r="55" spans="1:7" hidden="1" x14ac:dyDescent="0.25">
      <c r="A55" s="1653"/>
      <c r="B55" s="1667"/>
      <c r="C55" s="1654"/>
      <c r="D55" s="1844"/>
      <c r="E55" s="1540">
        <f t="shared" si="2"/>
        <v>0</v>
      </c>
      <c r="F55" s="1938">
        <f t="shared" si="1"/>
        <v>0</v>
      </c>
      <c r="G55" s="1793">
        <f t="shared" si="3"/>
        <v>0</v>
      </c>
    </row>
    <row r="56" spans="1:7" hidden="1" x14ac:dyDescent="0.25">
      <c r="A56" s="1653"/>
      <c r="B56" s="1667"/>
      <c r="C56" s="1654"/>
      <c r="D56" s="1844"/>
      <c r="E56" s="1540">
        <f t="shared" si="2"/>
        <v>0</v>
      </c>
      <c r="F56" s="1938">
        <f t="shared" si="1"/>
        <v>0</v>
      </c>
      <c r="G56" s="1793">
        <f t="shared" si="3"/>
        <v>0</v>
      </c>
    </row>
    <row r="57" spans="1:7" hidden="1" x14ac:dyDescent="0.25">
      <c r="A57" s="1653"/>
      <c r="B57" s="1667"/>
      <c r="C57" s="1654"/>
      <c r="D57" s="1844"/>
      <c r="E57" s="1540">
        <f t="shared" si="2"/>
        <v>0</v>
      </c>
      <c r="F57" s="1938">
        <f t="shared" si="1"/>
        <v>0</v>
      </c>
      <c r="G57" s="1793">
        <f t="shared" si="3"/>
        <v>0</v>
      </c>
    </row>
    <row r="58" spans="1:7" hidden="1" x14ac:dyDescent="0.25">
      <c r="A58" s="1653"/>
      <c r="B58" s="1667"/>
      <c r="C58" s="1654"/>
      <c r="D58" s="1844"/>
      <c r="E58" s="1540">
        <f t="shared" si="2"/>
        <v>0</v>
      </c>
      <c r="F58" s="1938">
        <f t="shared" si="1"/>
        <v>0</v>
      </c>
      <c r="G58" s="1793">
        <f t="shared" si="3"/>
        <v>0</v>
      </c>
    </row>
    <row r="59" spans="1:7" hidden="1" x14ac:dyDescent="0.25">
      <c r="A59" s="1653"/>
      <c r="B59" s="1667"/>
      <c r="C59" s="1654"/>
      <c r="D59" s="1844"/>
      <c r="E59" s="1540">
        <f t="shared" si="2"/>
        <v>0</v>
      </c>
      <c r="F59" s="1938">
        <f t="shared" si="1"/>
        <v>0</v>
      </c>
      <c r="G59" s="1793">
        <f t="shared" si="3"/>
        <v>0</v>
      </c>
    </row>
    <row r="60" spans="1:7" hidden="1" x14ac:dyDescent="0.25">
      <c r="A60" s="1653"/>
      <c r="B60" s="1667"/>
      <c r="C60" s="1654"/>
      <c r="D60" s="1844"/>
      <c r="E60" s="1540">
        <f t="shared" si="2"/>
        <v>0</v>
      </c>
      <c r="F60" s="1938">
        <f t="shared" si="1"/>
        <v>0</v>
      </c>
      <c r="G60" s="1793">
        <f t="shared" si="3"/>
        <v>0</v>
      </c>
    </row>
    <row r="61" spans="1:7" hidden="1" x14ac:dyDescent="0.25">
      <c r="A61" s="1653"/>
      <c r="B61" s="1667"/>
      <c r="C61" s="1654"/>
      <c r="D61" s="1844"/>
      <c r="E61" s="1540">
        <f t="shared" si="2"/>
        <v>0</v>
      </c>
      <c r="F61" s="1938">
        <f t="shared" si="1"/>
        <v>0</v>
      </c>
      <c r="G61" s="1793">
        <f t="shared" si="3"/>
        <v>0</v>
      </c>
    </row>
    <row r="62" spans="1:7" hidden="1" x14ac:dyDescent="0.25">
      <c r="A62" s="1653"/>
      <c r="B62" s="1667"/>
      <c r="C62" s="1654"/>
      <c r="D62" s="1844"/>
      <c r="E62" s="1540">
        <f t="shared" si="2"/>
        <v>0</v>
      </c>
      <c r="F62" s="1938">
        <f t="shared" si="1"/>
        <v>0</v>
      </c>
      <c r="G62" s="1793">
        <f t="shared" si="3"/>
        <v>0</v>
      </c>
    </row>
    <row r="63" spans="1:7" hidden="1" x14ac:dyDescent="0.25">
      <c r="A63" s="1653"/>
      <c r="B63" s="1667"/>
      <c r="C63" s="1654"/>
      <c r="D63" s="1844"/>
      <c r="E63" s="1540">
        <f t="shared" si="2"/>
        <v>0</v>
      </c>
      <c r="F63" s="1938">
        <f t="shared" si="1"/>
        <v>0</v>
      </c>
      <c r="G63" s="1793">
        <f t="shared" si="3"/>
        <v>0</v>
      </c>
    </row>
    <row r="64" spans="1:7" hidden="1" x14ac:dyDescent="0.25">
      <c r="A64" s="1653"/>
      <c r="B64" s="1667"/>
      <c r="C64" s="1654"/>
      <c r="D64" s="1844"/>
      <c r="E64" s="1540">
        <f t="shared" si="2"/>
        <v>0</v>
      </c>
      <c r="F64" s="1938">
        <f t="shared" si="1"/>
        <v>0</v>
      </c>
      <c r="G64" s="1793">
        <f t="shared" si="3"/>
        <v>0</v>
      </c>
    </row>
    <row r="65" spans="1:7" hidden="1" x14ac:dyDescent="0.25">
      <c r="A65" s="1655"/>
      <c r="B65" s="1667"/>
      <c r="C65" s="1656"/>
      <c r="D65" s="1844"/>
      <c r="E65" s="1540">
        <f t="shared" si="2"/>
        <v>0</v>
      </c>
      <c r="F65" s="1938">
        <f t="shared" si="1"/>
        <v>0</v>
      </c>
      <c r="G65" s="1793">
        <f t="shared" si="3"/>
        <v>0</v>
      </c>
    </row>
    <row r="66" spans="1:7" hidden="1" x14ac:dyDescent="0.25">
      <c r="A66" s="1653"/>
      <c r="B66" s="1667"/>
      <c r="C66" s="1654"/>
      <c r="D66" s="1844"/>
      <c r="E66" s="1540">
        <f t="shared" si="2"/>
        <v>0</v>
      </c>
      <c r="F66" s="1938">
        <f t="shared" si="1"/>
        <v>0</v>
      </c>
      <c r="G66" s="1793">
        <f t="shared" si="3"/>
        <v>0</v>
      </c>
    </row>
    <row r="67" spans="1:7" hidden="1" x14ac:dyDescent="0.25">
      <c r="A67" s="1653"/>
      <c r="B67" s="1667"/>
      <c r="C67" s="1654"/>
      <c r="D67" s="1844"/>
      <c r="E67" s="1540">
        <f t="shared" si="2"/>
        <v>0</v>
      </c>
      <c r="F67" s="1938">
        <f t="shared" si="1"/>
        <v>0</v>
      </c>
      <c r="G67" s="1793">
        <f t="shared" si="3"/>
        <v>0</v>
      </c>
    </row>
    <row r="68" spans="1:7" hidden="1" x14ac:dyDescent="0.25">
      <c r="A68" s="1653"/>
      <c r="B68" s="1667"/>
      <c r="C68" s="1654"/>
      <c r="D68" s="1844"/>
      <c r="E68" s="1540">
        <f t="shared" si="2"/>
        <v>0</v>
      </c>
      <c r="F68" s="1938">
        <f t="shared" si="1"/>
        <v>0</v>
      </c>
      <c r="G68" s="1793">
        <f t="shared" si="3"/>
        <v>0</v>
      </c>
    </row>
    <row r="69" spans="1:7" hidden="1" x14ac:dyDescent="0.25">
      <c r="A69" s="1653"/>
      <c r="B69" s="1667"/>
      <c r="C69" s="1654"/>
      <c r="D69" s="1844"/>
      <c r="E69" s="1540">
        <f t="shared" si="2"/>
        <v>0</v>
      </c>
      <c r="F69" s="1938">
        <f t="shared" si="1"/>
        <v>0</v>
      </c>
      <c r="G69" s="1793">
        <f t="shared" si="3"/>
        <v>0</v>
      </c>
    </row>
    <row r="70" spans="1:7" hidden="1" x14ac:dyDescent="0.25">
      <c r="A70" s="1653"/>
      <c r="B70" s="1667"/>
      <c r="C70" s="1654"/>
      <c r="D70" s="1844"/>
      <c r="E70" s="1540">
        <f t="shared" si="2"/>
        <v>0</v>
      </c>
      <c r="F70" s="1938">
        <f t="shared" si="1"/>
        <v>0</v>
      </c>
      <c r="G70" s="1793">
        <f t="shared" si="3"/>
        <v>0</v>
      </c>
    </row>
    <row r="71" spans="1:7" hidden="1" x14ac:dyDescent="0.25">
      <c r="A71" s="1653"/>
      <c r="B71" s="1667"/>
      <c r="C71" s="1654"/>
      <c r="D71" s="1844"/>
      <c r="E71" s="1540">
        <f t="shared" si="2"/>
        <v>0</v>
      </c>
      <c r="F71" s="1938">
        <f t="shared" si="1"/>
        <v>0</v>
      </c>
      <c r="G71" s="1793">
        <f t="shared" si="3"/>
        <v>0</v>
      </c>
    </row>
    <row r="72" spans="1:7" hidden="1" x14ac:dyDescent="0.25">
      <c r="A72" s="1653"/>
      <c r="B72" s="1667"/>
      <c r="C72" s="1654"/>
      <c r="D72" s="1844"/>
      <c r="E72" s="1540">
        <f t="shared" si="2"/>
        <v>0</v>
      </c>
      <c r="F72" s="1938">
        <f t="shared" si="1"/>
        <v>0</v>
      </c>
      <c r="G72" s="1793">
        <f t="shared" si="3"/>
        <v>0</v>
      </c>
    </row>
    <row r="73" spans="1:7" hidden="1" x14ac:dyDescent="0.25">
      <c r="A73" s="1653"/>
      <c r="B73" s="1667"/>
      <c r="C73" s="1654"/>
      <c r="D73" s="1844"/>
      <c r="E73" s="1540">
        <f t="shared" si="2"/>
        <v>0</v>
      </c>
      <c r="F73" s="1938">
        <f t="shared" si="1"/>
        <v>0</v>
      </c>
      <c r="G73" s="1793">
        <f t="shared" si="3"/>
        <v>0</v>
      </c>
    </row>
    <row r="74" spans="1:7" hidden="1" x14ac:dyDescent="0.25">
      <c r="A74" s="1653"/>
      <c r="B74" s="1667"/>
      <c r="C74" s="1654"/>
      <c r="D74" s="1844"/>
      <c r="E74" s="1540">
        <f t="shared" ref="E74:E85" si="4">IF(D74&lt;=25000,D74,IF(D74&gt;25000,25000,0))</f>
        <v>0</v>
      </c>
      <c r="F74" s="1938">
        <f t="shared" si="1"/>
        <v>0</v>
      </c>
      <c r="G74" s="1793">
        <f t="shared" ref="G74:G85" si="5">IF(F74=0,0,D74-F74)</f>
        <v>0</v>
      </c>
    </row>
    <row r="75" spans="1:7" hidden="1" x14ac:dyDescent="0.25">
      <c r="A75" s="1653"/>
      <c r="B75" s="1667"/>
      <c r="C75" s="1654"/>
      <c r="D75" s="1844"/>
      <c r="E75" s="1540">
        <f t="shared" si="4"/>
        <v>0</v>
      </c>
      <c r="F75" s="1938">
        <f t="shared" si="1"/>
        <v>0</v>
      </c>
      <c r="G75" s="1793">
        <f t="shared" si="5"/>
        <v>0</v>
      </c>
    </row>
    <row r="76" spans="1:7" hidden="1" x14ac:dyDescent="0.25">
      <c r="A76" s="1653"/>
      <c r="B76" s="1667"/>
      <c r="C76" s="1654"/>
      <c r="D76" s="1844"/>
      <c r="E76" s="1540">
        <f t="shared" si="4"/>
        <v>0</v>
      </c>
      <c r="F76" s="1938">
        <f t="shared" si="1"/>
        <v>0</v>
      </c>
      <c r="G76" s="1793">
        <f t="shared" si="5"/>
        <v>0</v>
      </c>
    </row>
    <row r="77" spans="1:7" hidden="1" x14ac:dyDescent="0.25">
      <c r="A77" s="1653"/>
      <c r="B77" s="1667"/>
      <c r="C77" s="1654"/>
      <c r="D77" s="1844"/>
      <c r="E77" s="1540">
        <f t="shared" si="4"/>
        <v>0</v>
      </c>
      <c r="F77" s="1938">
        <f t="shared" si="1"/>
        <v>0</v>
      </c>
      <c r="G77" s="1793">
        <f t="shared" si="5"/>
        <v>0</v>
      </c>
    </row>
    <row r="78" spans="1:7" hidden="1" x14ac:dyDescent="0.25">
      <c r="A78" s="1653"/>
      <c r="B78" s="1667"/>
      <c r="C78" s="1654"/>
      <c r="D78" s="1844"/>
      <c r="E78" s="1540">
        <f t="shared" si="4"/>
        <v>0</v>
      </c>
      <c r="F78" s="1938">
        <f t="shared" si="1"/>
        <v>0</v>
      </c>
      <c r="G78" s="1793">
        <f t="shared" si="5"/>
        <v>0</v>
      </c>
    </row>
    <row r="79" spans="1:7" hidden="1" x14ac:dyDescent="0.25">
      <c r="A79" s="1653"/>
      <c r="B79" s="1667"/>
      <c r="C79" s="1654"/>
      <c r="D79" s="1844"/>
      <c r="E79" s="1540">
        <f t="shared" si="4"/>
        <v>0</v>
      </c>
      <c r="F79" s="1938">
        <f t="shared" si="1"/>
        <v>0</v>
      </c>
      <c r="G79" s="1793">
        <f t="shared" si="5"/>
        <v>0</v>
      </c>
    </row>
    <row r="80" spans="1:7" hidden="1" x14ac:dyDescent="0.25">
      <c r="A80" s="1653"/>
      <c r="B80" s="1667"/>
      <c r="C80" s="1654"/>
      <c r="D80" s="1844"/>
      <c r="E80" s="1540">
        <f t="shared" si="4"/>
        <v>0</v>
      </c>
      <c r="F80" s="1938">
        <f t="shared" si="1"/>
        <v>0</v>
      </c>
      <c r="G80" s="1793">
        <f t="shared" si="5"/>
        <v>0</v>
      </c>
    </row>
    <row r="81" spans="1:7" hidden="1" x14ac:dyDescent="0.25">
      <c r="A81" s="1653"/>
      <c r="B81" s="1667"/>
      <c r="C81" s="1654"/>
      <c r="D81" s="1844"/>
      <c r="E81" s="1540">
        <f t="shared" si="4"/>
        <v>0</v>
      </c>
      <c r="F81" s="1938">
        <f t="shared" si="1"/>
        <v>0</v>
      </c>
      <c r="G81" s="1793">
        <f t="shared" si="5"/>
        <v>0</v>
      </c>
    </row>
    <row r="82" spans="1:7" hidden="1"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hidden="1" x14ac:dyDescent="0.25">
      <c r="A83" s="1653"/>
      <c r="B83" s="1667"/>
      <c r="C83" s="1654"/>
      <c r="D83" s="1844"/>
      <c r="E83" s="1540">
        <f t="shared" si="4"/>
        <v>0</v>
      </c>
      <c r="F83" s="1938">
        <f t="shared" si="6"/>
        <v>0</v>
      </c>
      <c r="G83" s="1793">
        <f t="shared" si="5"/>
        <v>0</v>
      </c>
    </row>
    <row r="84" spans="1:7" hidden="1" x14ac:dyDescent="0.25">
      <c r="A84" s="1653"/>
      <c r="B84" s="1667"/>
      <c r="C84" s="1654"/>
      <c r="D84" s="1844"/>
      <c r="E84" s="1540">
        <f t="shared" si="4"/>
        <v>0</v>
      </c>
      <c r="F84" s="1938">
        <f t="shared" si="6"/>
        <v>0</v>
      </c>
      <c r="G84" s="1793">
        <f t="shared" si="5"/>
        <v>0</v>
      </c>
    </row>
    <row r="85" spans="1:7" hidden="1" x14ac:dyDescent="0.25">
      <c r="A85" s="1653"/>
      <c r="B85" s="1667"/>
      <c r="C85" s="1654"/>
      <c r="D85" s="1844"/>
      <c r="E85" s="1540">
        <f t="shared" si="4"/>
        <v>0</v>
      </c>
      <c r="F85" s="1938">
        <f t="shared" si="6"/>
        <v>0</v>
      </c>
      <c r="G85" s="1793">
        <f t="shared" si="5"/>
        <v>0</v>
      </c>
    </row>
    <row r="86" spans="1:7" hidden="1" x14ac:dyDescent="0.25">
      <c r="A86" s="1653"/>
      <c r="B86" s="1667"/>
      <c r="C86" s="1654"/>
      <c r="D86" s="1844"/>
      <c r="E86" s="1540">
        <f t="shared" si="2"/>
        <v>0</v>
      </c>
      <c r="F86" s="1938">
        <f t="shared" si="6"/>
        <v>0</v>
      </c>
      <c r="G86" s="1793">
        <f t="shared" si="3"/>
        <v>0</v>
      </c>
    </row>
    <row r="87" spans="1:7" hidden="1" x14ac:dyDescent="0.25">
      <c r="A87" s="1653"/>
      <c r="B87" s="1667"/>
      <c r="C87" s="1654"/>
      <c r="D87" s="1844"/>
      <c r="E87" s="1540">
        <f t="shared" si="2"/>
        <v>0</v>
      </c>
      <c r="F87" s="1938">
        <f t="shared" si="6"/>
        <v>0</v>
      </c>
      <c r="G87" s="1793">
        <f t="shared" si="3"/>
        <v>0</v>
      </c>
    </row>
    <row r="88" spans="1:7" hidden="1" x14ac:dyDescent="0.25">
      <c r="A88" s="1653"/>
      <c r="B88" s="1667"/>
      <c r="C88" s="1654"/>
      <c r="D88" s="1844"/>
      <c r="E88" s="1540">
        <f t="shared" si="2"/>
        <v>0</v>
      </c>
      <c r="F88" s="1938">
        <f t="shared" si="6"/>
        <v>0</v>
      </c>
      <c r="G88" s="1793">
        <f t="shared" si="3"/>
        <v>0</v>
      </c>
    </row>
    <row r="89" spans="1:7" hidden="1" x14ac:dyDescent="0.25">
      <c r="A89" s="1653"/>
      <c r="B89" s="1667"/>
      <c r="C89" s="1654"/>
      <c r="D89" s="1844"/>
      <c r="E89" s="1540">
        <f t="shared" si="2"/>
        <v>0</v>
      </c>
      <c r="F89" s="1938">
        <f t="shared" si="6"/>
        <v>0</v>
      </c>
      <c r="G89" s="1793">
        <f t="shared" si="3"/>
        <v>0</v>
      </c>
    </row>
    <row r="90" spans="1:7" hidden="1" x14ac:dyDescent="0.25">
      <c r="A90" s="1653"/>
      <c r="B90" s="1667"/>
      <c r="C90" s="1654"/>
      <c r="D90" s="1844"/>
      <c r="E90" s="1540">
        <f t="shared" si="2"/>
        <v>0</v>
      </c>
      <c r="F90" s="1938">
        <f t="shared" si="6"/>
        <v>0</v>
      </c>
      <c r="G90" s="1793">
        <f t="shared" si="3"/>
        <v>0</v>
      </c>
    </row>
    <row r="91" spans="1:7" hidden="1" x14ac:dyDescent="0.25">
      <c r="A91" s="1653"/>
      <c r="B91" s="1667"/>
      <c r="C91" s="1654"/>
      <c r="D91" s="1844"/>
      <c r="E91" s="1540">
        <f t="shared" si="2"/>
        <v>0</v>
      </c>
      <c r="F91" s="1938">
        <f t="shared" si="6"/>
        <v>0</v>
      </c>
      <c r="G91" s="1793">
        <f t="shared" si="3"/>
        <v>0</v>
      </c>
    </row>
    <row r="92" spans="1:7" hidden="1" x14ac:dyDescent="0.25">
      <c r="A92" s="1653"/>
      <c r="B92" s="1667"/>
      <c r="C92" s="1654"/>
      <c r="D92" s="1844"/>
      <c r="E92" s="1540">
        <f t="shared" si="2"/>
        <v>0</v>
      </c>
      <c r="F92" s="1938">
        <f t="shared" si="6"/>
        <v>0</v>
      </c>
      <c r="G92" s="1793">
        <f t="shared" si="3"/>
        <v>0</v>
      </c>
    </row>
    <row r="93" spans="1:7" hidden="1" x14ac:dyDescent="0.25">
      <c r="A93" s="1653"/>
      <c r="B93" s="1667"/>
      <c r="C93" s="1654"/>
      <c r="D93" s="1844"/>
      <c r="E93" s="1540">
        <f t="shared" si="2"/>
        <v>0</v>
      </c>
      <c r="F93" s="1938">
        <f t="shared" si="6"/>
        <v>0</v>
      </c>
      <c r="G93" s="1793">
        <f t="shared" si="3"/>
        <v>0</v>
      </c>
    </row>
    <row r="94" spans="1:7" hidden="1" x14ac:dyDescent="0.25">
      <c r="A94" s="1653"/>
      <c r="B94" s="1667"/>
      <c r="C94" s="1654"/>
      <c r="D94" s="1844"/>
      <c r="E94" s="1540">
        <f t="shared" ref="E94" si="7">IF(D94&lt;=25000,D94,IF(D94&gt;25000,25000,0))</f>
        <v>0</v>
      </c>
      <c r="F94" s="1938">
        <f t="shared" si="6"/>
        <v>0</v>
      </c>
      <c r="G94" s="1793">
        <f t="shared" ref="G94" si="8">IF(F94=0,0,D94-F94)</f>
        <v>0</v>
      </c>
    </row>
    <row r="95" spans="1:7" hidden="1" x14ac:dyDescent="0.25">
      <c r="A95" s="1653"/>
      <c r="B95" s="1667"/>
      <c r="C95" s="1654"/>
      <c r="D95" s="1844"/>
      <c r="E95" s="1540">
        <f t="shared" si="2"/>
        <v>0</v>
      </c>
      <c r="F95" s="1938">
        <f t="shared" si="6"/>
        <v>0</v>
      </c>
      <c r="G95" s="1793">
        <f t="shared" si="3"/>
        <v>0</v>
      </c>
    </row>
    <row r="96" spans="1:7" hidden="1" x14ac:dyDescent="0.25">
      <c r="A96" s="1653"/>
      <c r="B96" s="1667"/>
      <c r="C96" s="1654"/>
      <c r="D96" s="1844"/>
      <c r="E96" s="1540">
        <f t="shared" ref="E96:E99" si="9">IF(D96&lt;=25000,D96,IF(D96&gt;25000,25000,0))</f>
        <v>0</v>
      </c>
      <c r="F96" s="1938">
        <f t="shared" si="6"/>
        <v>0</v>
      </c>
      <c r="G96" s="1793">
        <f t="shared" ref="G96:G99" si="10">IF(F96=0,0,D96-F96)</f>
        <v>0</v>
      </c>
    </row>
    <row r="97" spans="1:7" hidden="1" x14ac:dyDescent="0.25">
      <c r="A97" s="1653"/>
      <c r="B97" s="1667"/>
      <c r="C97" s="1654"/>
      <c r="D97" s="1844"/>
      <c r="E97" s="1540">
        <f t="shared" si="9"/>
        <v>0</v>
      </c>
      <c r="F97" s="1938">
        <f t="shared" si="6"/>
        <v>0</v>
      </c>
      <c r="G97" s="1793">
        <f t="shared" si="10"/>
        <v>0</v>
      </c>
    </row>
    <row r="98" spans="1:7" hidden="1" x14ac:dyDescent="0.25">
      <c r="A98" s="1653"/>
      <c r="B98" s="1667"/>
      <c r="C98" s="1654"/>
      <c r="D98" s="1844"/>
      <c r="E98" s="1540">
        <f t="shared" si="9"/>
        <v>0</v>
      </c>
      <c r="F98" s="1938">
        <f t="shared" si="6"/>
        <v>0</v>
      </c>
      <c r="G98" s="1793">
        <f t="shared" si="10"/>
        <v>0</v>
      </c>
    </row>
    <row r="99" spans="1:7" hidden="1" x14ac:dyDescent="0.25">
      <c r="A99" s="1653"/>
      <c r="B99" s="1667"/>
      <c r="C99" s="1654"/>
      <c r="D99" s="1844"/>
      <c r="E99" s="1540">
        <f t="shared" si="9"/>
        <v>0</v>
      </c>
      <c r="F99" s="1938">
        <f t="shared" si="6"/>
        <v>0</v>
      </c>
      <c r="G99" s="1793">
        <f t="shared" si="10"/>
        <v>0</v>
      </c>
    </row>
    <row r="100" spans="1:7" hidden="1" x14ac:dyDescent="0.25">
      <c r="A100" s="1653"/>
      <c r="B100" s="1667"/>
      <c r="C100" s="1654"/>
      <c r="D100" s="1844"/>
      <c r="E100" s="1540">
        <f t="shared" ref="E100" si="11">IF(D100&lt;=25000,D100,IF(D100&gt;25000,25000,0))</f>
        <v>0</v>
      </c>
      <c r="F100" s="1938">
        <f t="shared" si="6"/>
        <v>0</v>
      </c>
      <c r="G100" s="1793">
        <f t="shared" ref="G100" si="12">IF(F100=0,0,D100-F100)</f>
        <v>0</v>
      </c>
    </row>
    <row r="101" spans="1:7" hidden="1" x14ac:dyDescent="0.25">
      <c r="A101" s="1653"/>
      <c r="B101" s="1667"/>
      <c r="C101" s="1654"/>
      <c r="D101" s="1844"/>
      <c r="E101" s="1540">
        <f t="shared" ref="E101:E113" si="13">IF(D101&lt;=25000,D101,IF(D101&gt;25000,25000,0))</f>
        <v>0</v>
      </c>
      <c r="F101" s="1938">
        <f t="shared" si="6"/>
        <v>0</v>
      </c>
      <c r="G101" s="1793">
        <f t="shared" ref="G101:G113" si="14">IF(F101=0,0,D101-F101)</f>
        <v>0</v>
      </c>
    </row>
    <row r="102" spans="1:7" hidden="1" x14ac:dyDescent="0.25">
      <c r="A102" s="1653"/>
      <c r="B102" s="1667"/>
      <c r="C102" s="1654"/>
      <c r="D102" s="1844"/>
      <c r="E102" s="1540">
        <f t="shared" si="13"/>
        <v>0</v>
      </c>
      <c r="F102" s="1938">
        <f t="shared" si="6"/>
        <v>0</v>
      </c>
      <c r="G102" s="1793">
        <f t="shared" si="14"/>
        <v>0</v>
      </c>
    </row>
    <row r="103" spans="1:7" hidden="1" x14ac:dyDescent="0.25">
      <c r="A103" s="1653"/>
      <c r="B103" s="1667"/>
      <c r="C103" s="1654"/>
      <c r="D103" s="1844"/>
      <c r="E103" s="1540">
        <f t="shared" si="13"/>
        <v>0</v>
      </c>
      <c r="F103" s="1938">
        <f t="shared" si="6"/>
        <v>0</v>
      </c>
      <c r="G103" s="1793">
        <f t="shared" si="14"/>
        <v>0</v>
      </c>
    </row>
    <row r="104" spans="1:7" hidden="1" x14ac:dyDescent="0.25">
      <c r="A104" s="1653"/>
      <c r="B104" s="1667"/>
      <c r="C104" s="1654"/>
      <c r="D104" s="1844"/>
      <c r="E104" s="1540">
        <f t="shared" si="13"/>
        <v>0</v>
      </c>
      <c r="F104" s="1938">
        <f t="shared" si="6"/>
        <v>0</v>
      </c>
      <c r="G104" s="1793">
        <f t="shared" si="14"/>
        <v>0</v>
      </c>
    </row>
    <row r="105" spans="1:7" hidden="1" x14ac:dyDescent="0.25">
      <c r="A105" s="1653"/>
      <c r="B105" s="1667"/>
      <c r="C105" s="1654"/>
      <c r="D105" s="1844"/>
      <c r="E105" s="1540">
        <f t="shared" si="13"/>
        <v>0</v>
      </c>
      <c r="F105" s="1938">
        <f t="shared" si="6"/>
        <v>0</v>
      </c>
      <c r="G105" s="1793">
        <f t="shared" si="14"/>
        <v>0</v>
      </c>
    </row>
    <row r="106" spans="1:7" hidden="1" x14ac:dyDescent="0.25">
      <c r="A106" s="1653"/>
      <c r="B106" s="1667"/>
      <c r="C106" s="1654"/>
      <c r="D106" s="1844"/>
      <c r="E106" s="1540">
        <f t="shared" si="13"/>
        <v>0</v>
      </c>
      <c r="F106" s="1938">
        <f t="shared" si="6"/>
        <v>0</v>
      </c>
      <c r="G106" s="1793">
        <f t="shared" si="14"/>
        <v>0</v>
      </c>
    </row>
    <row r="107" spans="1:7" hidden="1" x14ac:dyDescent="0.25">
      <c r="A107" s="1653"/>
      <c r="B107" s="1667"/>
      <c r="C107" s="1654"/>
      <c r="D107" s="1844"/>
      <c r="E107" s="1540">
        <f t="shared" si="13"/>
        <v>0</v>
      </c>
      <c r="F107" s="1938">
        <f t="shared" si="6"/>
        <v>0</v>
      </c>
      <c r="G107" s="1793">
        <f t="shared" si="14"/>
        <v>0</v>
      </c>
    </row>
    <row r="108" spans="1:7" hidden="1" x14ac:dyDescent="0.25">
      <c r="A108" s="1653"/>
      <c r="B108" s="1667"/>
      <c r="C108" s="1654"/>
      <c r="D108" s="1844"/>
      <c r="E108" s="1540">
        <f t="shared" si="13"/>
        <v>0</v>
      </c>
      <c r="F108" s="1938">
        <f t="shared" si="6"/>
        <v>0</v>
      </c>
      <c r="G108" s="1793">
        <f t="shared" si="14"/>
        <v>0</v>
      </c>
    </row>
    <row r="109" spans="1:7" hidden="1" x14ac:dyDescent="0.25">
      <c r="A109" s="1653"/>
      <c r="B109" s="1667"/>
      <c r="C109" s="1654"/>
      <c r="D109" s="1844"/>
      <c r="E109" s="1540">
        <f t="shared" si="13"/>
        <v>0</v>
      </c>
      <c r="F109" s="1938">
        <f t="shared" si="6"/>
        <v>0</v>
      </c>
      <c r="G109" s="1793">
        <f t="shared" si="14"/>
        <v>0</v>
      </c>
    </row>
    <row r="110" spans="1:7" hidden="1" x14ac:dyDescent="0.25">
      <c r="A110" s="1653"/>
      <c r="B110" s="1667"/>
      <c r="C110" s="1654"/>
      <c r="D110" s="1844"/>
      <c r="E110" s="1540">
        <f t="shared" si="13"/>
        <v>0</v>
      </c>
      <c r="F110" s="1938">
        <f t="shared" si="6"/>
        <v>0</v>
      </c>
      <c r="G110" s="1793">
        <f t="shared" si="14"/>
        <v>0</v>
      </c>
    </row>
    <row r="111" spans="1:7" hidden="1" x14ac:dyDescent="0.25">
      <c r="A111" s="1653"/>
      <c r="B111" s="1667"/>
      <c r="C111" s="1654"/>
      <c r="D111" s="1844"/>
      <c r="E111" s="1540">
        <f t="shared" si="13"/>
        <v>0</v>
      </c>
      <c r="F111" s="1938">
        <f t="shared" si="6"/>
        <v>0</v>
      </c>
      <c r="G111" s="1793">
        <f t="shared" si="14"/>
        <v>0</v>
      </c>
    </row>
    <row r="112" spans="1:7" hidden="1" x14ac:dyDescent="0.25">
      <c r="A112" s="1653"/>
      <c r="B112" s="1667"/>
      <c r="C112" s="1654"/>
      <c r="D112" s="1844"/>
      <c r="E112" s="1540">
        <f t="shared" si="13"/>
        <v>0</v>
      </c>
      <c r="F112" s="1938">
        <f t="shared" si="6"/>
        <v>0</v>
      </c>
      <c r="G112" s="1793">
        <f t="shared" si="14"/>
        <v>0</v>
      </c>
    </row>
    <row r="113" spans="1:7" hidden="1" x14ac:dyDescent="0.25">
      <c r="A113" s="1653"/>
      <c r="B113" s="1667"/>
      <c r="C113" s="1654"/>
      <c r="D113" s="1844"/>
      <c r="E113" s="1540">
        <f t="shared" si="13"/>
        <v>0</v>
      </c>
      <c r="F113" s="1938">
        <f t="shared" si="6"/>
        <v>0</v>
      </c>
      <c r="G113" s="1793">
        <f t="shared" si="14"/>
        <v>0</v>
      </c>
    </row>
    <row r="114" spans="1:7" hidden="1" x14ac:dyDescent="0.25">
      <c r="A114" s="1653"/>
      <c r="B114" s="1667"/>
      <c r="C114" s="1654"/>
      <c r="D114" s="1844"/>
      <c r="E114" s="1540">
        <f t="shared" ref="E114:E126" si="15">IF(D114&lt;=25000,D114,IF(D114&gt;25000,25000,0))</f>
        <v>0</v>
      </c>
      <c r="F114" s="1938">
        <f t="shared" si="6"/>
        <v>0</v>
      </c>
      <c r="G114" s="1793">
        <f t="shared" ref="G114:G126" si="16">IF(F114=0,0,D114-F114)</f>
        <v>0</v>
      </c>
    </row>
    <row r="115" spans="1:7" hidden="1" x14ac:dyDescent="0.25">
      <c r="A115" s="1653"/>
      <c r="B115" s="1667"/>
      <c r="C115" s="1654"/>
      <c r="D115" s="1844"/>
      <c r="E115" s="1540">
        <f t="shared" si="15"/>
        <v>0</v>
      </c>
      <c r="F115" s="1938">
        <f t="shared" si="6"/>
        <v>0</v>
      </c>
      <c r="G115" s="1793">
        <f t="shared" si="16"/>
        <v>0</v>
      </c>
    </row>
    <row r="116" spans="1:7" hidden="1" x14ac:dyDescent="0.25">
      <c r="A116" s="1653"/>
      <c r="B116" s="1667"/>
      <c r="C116" s="1654"/>
      <c r="D116" s="1844"/>
      <c r="E116" s="1540">
        <f t="shared" si="15"/>
        <v>0</v>
      </c>
      <c r="F116" s="1938">
        <f t="shared" si="6"/>
        <v>0</v>
      </c>
      <c r="G116" s="1793">
        <f t="shared" si="16"/>
        <v>0</v>
      </c>
    </row>
    <row r="117" spans="1:7" hidden="1" x14ac:dyDescent="0.25">
      <c r="A117" s="1653"/>
      <c r="B117" s="1667"/>
      <c r="C117" s="1654"/>
      <c r="D117" s="1844"/>
      <c r="E117" s="1540">
        <f t="shared" si="15"/>
        <v>0</v>
      </c>
      <c r="F117" s="1938">
        <f t="shared" si="6"/>
        <v>0</v>
      </c>
      <c r="G117" s="1793">
        <f t="shared" si="16"/>
        <v>0</v>
      </c>
    </row>
    <row r="118" spans="1:7" hidden="1" x14ac:dyDescent="0.25">
      <c r="A118" s="1653"/>
      <c r="B118" s="1667"/>
      <c r="C118" s="1654"/>
      <c r="D118" s="1844"/>
      <c r="E118" s="1540">
        <f t="shared" si="15"/>
        <v>0</v>
      </c>
      <c r="F118" s="1938">
        <f t="shared" si="6"/>
        <v>0</v>
      </c>
      <c r="G118" s="1793">
        <f t="shared" si="16"/>
        <v>0</v>
      </c>
    </row>
    <row r="119" spans="1:7" hidden="1" x14ac:dyDescent="0.25">
      <c r="A119" s="1653"/>
      <c r="B119" s="1667"/>
      <c r="C119" s="1654"/>
      <c r="D119" s="1844"/>
      <c r="E119" s="1540">
        <f t="shared" si="15"/>
        <v>0</v>
      </c>
      <c r="F119" s="1938">
        <f t="shared" si="6"/>
        <v>0</v>
      </c>
      <c r="G119" s="1793">
        <f t="shared" si="16"/>
        <v>0</v>
      </c>
    </row>
    <row r="120" spans="1:7" hidden="1" x14ac:dyDescent="0.25">
      <c r="A120" s="1653"/>
      <c r="B120" s="1667"/>
      <c r="C120" s="1654"/>
      <c r="D120" s="1844"/>
      <c r="E120" s="1540">
        <f t="shared" si="15"/>
        <v>0</v>
      </c>
      <c r="F120" s="1938">
        <f t="shared" si="6"/>
        <v>0</v>
      </c>
      <c r="G120" s="1793">
        <f t="shared" si="16"/>
        <v>0</v>
      </c>
    </row>
    <row r="121" spans="1:7" hidden="1" x14ac:dyDescent="0.25">
      <c r="A121" s="1653"/>
      <c r="B121" s="1667"/>
      <c r="C121" s="1654"/>
      <c r="D121" s="1844"/>
      <c r="E121" s="1540">
        <f t="shared" si="15"/>
        <v>0</v>
      </c>
      <c r="F121" s="1938">
        <f t="shared" si="6"/>
        <v>0</v>
      </c>
      <c r="G121" s="1793">
        <f t="shared" si="16"/>
        <v>0</v>
      </c>
    </row>
    <row r="122" spans="1:7" hidden="1" x14ac:dyDescent="0.25">
      <c r="A122" s="1653"/>
      <c r="B122" s="1667"/>
      <c r="C122" s="1654"/>
      <c r="D122" s="1844"/>
      <c r="E122" s="1540">
        <f t="shared" si="15"/>
        <v>0</v>
      </c>
      <c r="F122" s="1938">
        <f t="shared" si="6"/>
        <v>0</v>
      </c>
      <c r="G122" s="1793">
        <f t="shared" si="16"/>
        <v>0</v>
      </c>
    </row>
    <row r="123" spans="1:7" hidden="1" x14ac:dyDescent="0.25">
      <c r="A123" s="1653"/>
      <c r="B123" s="1667"/>
      <c r="C123" s="1654"/>
      <c r="D123" s="1844"/>
      <c r="E123" s="1540">
        <f t="shared" si="15"/>
        <v>0</v>
      </c>
      <c r="F123" s="1938">
        <f t="shared" si="6"/>
        <v>0</v>
      </c>
      <c r="G123" s="1793">
        <f t="shared" si="16"/>
        <v>0</v>
      </c>
    </row>
    <row r="124" spans="1:7" hidden="1" x14ac:dyDescent="0.25">
      <c r="A124" s="1653"/>
      <c r="B124" s="1667"/>
      <c r="C124" s="1654"/>
      <c r="D124" s="1844"/>
      <c r="E124" s="1540">
        <f t="shared" si="15"/>
        <v>0</v>
      </c>
      <c r="F124" s="1938">
        <f t="shared" si="6"/>
        <v>0</v>
      </c>
      <c r="G124" s="1793">
        <f t="shared" si="16"/>
        <v>0</v>
      </c>
    </row>
    <row r="125" spans="1:7" hidden="1" x14ac:dyDescent="0.25">
      <c r="A125" s="1653"/>
      <c r="B125" s="1667"/>
      <c r="C125" s="1654"/>
      <c r="D125" s="1844"/>
      <c r="E125" s="1540">
        <f t="shared" si="15"/>
        <v>0</v>
      </c>
      <c r="F125" s="1938">
        <f t="shared" si="6"/>
        <v>0</v>
      </c>
      <c r="G125" s="1793">
        <f t="shared" si="16"/>
        <v>0</v>
      </c>
    </row>
    <row r="126" spans="1:7" hidden="1" x14ac:dyDescent="0.25">
      <c r="A126" s="1653"/>
      <c r="B126" s="1667"/>
      <c r="C126" s="1654"/>
      <c r="D126" s="1844"/>
      <c r="E126" s="1540">
        <f t="shared" si="15"/>
        <v>0</v>
      </c>
      <c r="F126" s="1938">
        <f t="shared" si="6"/>
        <v>0</v>
      </c>
      <c r="G126" s="1793">
        <f t="shared" si="16"/>
        <v>0</v>
      </c>
    </row>
    <row r="127" spans="1:7" hidden="1" x14ac:dyDescent="0.25">
      <c r="A127" s="1653"/>
      <c r="B127" s="1667"/>
      <c r="C127" s="1654"/>
      <c r="D127" s="1844"/>
      <c r="E127" s="1540">
        <f t="shared" ref="E127:E135" si="17">IF(D127&lt;=25000,D127,IF(D127&gt;25000,25000,0))</f>
        <v>0</v>
      </c>
      <c r="F127" s="1938">
        <f t="shared" si="6"/>
        <v>0</v>
      </c>
      <c r="G127" s="1793">
        <f t="shared" ref="G127:G135" si="18">IF(F127=0,0,D127-F127)</f>
        <v>0</v>
      </c>
    </row>
    <row r="128" spans="1:7" hidden="1" x14ac:dyDescent="0.25">
      <c r="A128" s="1653"/>
      <c r="B128" s="1667"/>
      <c r="C128" s="1654"/>
      <c r="D128" s="1844"/>
      <c r="E128" s="1540">
        <f t="shared" si="17"/>
        <v>0</v>
      </c>
      <c r="F128" s="1938">
        <f t="shared" si="6"/>
        <v>0</v>
      </c>
      <c r="G128" s="1793">
        <f t="shared" si="18"/>
        <v>0</v>
      </c>
    </row>
    <row r="129" spans="1:7" hidden="1" x14ac:dyDescent="0.25">
      <c r="A129" s="1653"/>
      <c r="B129" s="1667"/>
      <c r="C129" s="1654"/>
      <c r="D129" s="1844"/>
      <c r="E129" s="1540">
        <f t="shared" si="17"/>
        <v>0</v>
      </c>
      <c r="F129" s="1938">
        <f t="shared" si="6"/>
        <v>0</v>
      </c>
      <c r="G129" s="1793">
        <f t="shared" si="18"/>
        <v>0</v>
      </c>
    </row>
    <row r="130" spans="1:7" hidden="1" x14ac:dyDescent="0.25">
      <c r="A130" s="1653"/>
      <c r="B130" s="1667"/>
      <c r="C130" s="1654"/>
      <c r="D130" s="1844"/>
      <c r="E130" s="1540">
        <f t="shared" si="17"/>
        <v>0</v>
      </c>
      <c r="F130" s="1938">
        <f t="shared" si="6"/>
        <v>0</v>
      </c>
      <c r="G130" s="1793">
        <f t="shared" si="18"/>
        <v>0</v>
      </c>
    </row>
    <row r="131" spans="1:7" hidden="1" x14ac:dyDescent="0.25">
      <c r="A131" s="1653"/>
      <c r="B131" s="1667"/>
      <c r="C131" s="1654"/>
      <c r="D131" s="1844"/>
      <c r="E131" s="1540">
        <f t="shared" si="17"/>
        <v>0</v>
      </c>
      <c r="F131" s="1938">
        <f t="shared" si="6"/>
        <v>0</v>
      </c>
      <c r="G131" s="1793">
        <f t="shared" si="18"/>
        <v>0</v>
      </c>
    </row>
    <row r="132" spans="1:7" hidden="1" x14ac:dyDescent="0.25">
      <c r="A132" s="1653"/>
      <c r="B132" s="1837"/>
      <c r="C132" s="1654"/>
      <c r="D132" s="1844"/>
      <c r="E132" s="1540">
        <f t="shared" si="17"/>
        <v>0</v>
      </c>
      <c r="F132" s="1938">
        <f t="shared" si="6"/>
        <v>0</v>
      </c>
      <c r="G132" s="1793">
        <f t="shared" si="18"/>
        <v>0</v>
      </c>
    </row>
    <row r="133" spans="1:7" hidden="1" x14ac:dyDescent="0.25">
      <c r="A133" s="1653"/>
      <c r="B133" s="1837"/>
      <c r="C133" s="1654"/>
      <c r="D133" s="1844"/>
      <c r="E133" s="1540">
        <f t="shared" si="17"/>
        <v>0</v>
      </c>
      <c r="F133" s="1938">
        <f t="shared" si="6"/>
        <v>0</v>
      </c>
      <c r="G133" s="1793">
        <f t="shared" si="18"/>
        <v>0</v>
      </c>
    </row>
    <row r="134" spans="1:7" hidden="1" x14ac:dyDescent="0.25">
      <c r="A134" s="1653"/>
      <c r="B134" s="1667"/>
      <c r="C134" s="1654"/>
      <c r="D134" s="1844"/>
      <c r="E134" s="1540">
        <f t="shared" si="17"/>
        <v>0</v>
      </c>
      <c r="F134" s="1938">
        <f t="shared" si="6"/>
        <v>0</v>
      </c>
      <c r="G134" s="1793">
        <f t="shared" si="18"/>
        <v>0</v>
      </c>
    </row>
    <row r="135" spans="1:7" hidden="1" x14ac:dyDescent="0.25">
      <c r="A135" s="1653"/>
      <c r="B135" s="1667"/>
      <c r="C135" s="1654"/>
      <c r="D135" s="1844"/>
      <c r="E135" s="1540">
        <f t="shared" si="17"/>
        <v>0</v>
      </c>
      <c r="F135" s="1938">
        <f t="shared" si="6"/>
        <v>0</v>
      </c>
      <c r="G135" s="1793">
        <f t="shared" si="18"/>
        <v>0</v>
      </c>
    </row>
    <row r="136" spans="1:7" hidden="1" x14ac:dyDescent="0.25">
      <c r="A136" s="1653"/>
      <c r="B136" s="1667"/>
      <c r="C136" s="1654"/>
      <c r="D136" s="1844"/>
      <c r="E136" s="1540">
        <f t="shared" ref="E136:E140" si="19">IF(D136&lt;=25000,D136,IF(D136&gt;25000,25000,0))</f>
        <v>0</v>
      </c>
      <c r="F136" s="1938">
        <f t="shared" si="6"/>
        <v>0</v>
      </c>
      <c r="G136" s="1793">
        <f t="shared" ref="G136:G140" si="20">IF(F136=0,0,D136-F136)</f>
        <v>0</v>
      </c>
    </row>
    <row r="137" spans="1:7" hidden="1" x14ac:dyDescent="0.25">
      <c r="A137" s="1653"/>
      <c r="B137" s="1667"/>
      <c r="C137" s="1654"/>
      <c r="D137" s="1844"/>
      <c r="E137" s="1540">
        <f t="shared" si="19"/>
        <v>0</v>
      </c>
      <c r="F137" s="1938">
        <f t="shared" si="6"/>
        <v>0</v>
      </c>
      <c r="G137" s="1793">
        <f t="shared" si="20"/>
        <v>0</v>
      </c>
    </row>
    <row r="138" spans="1:7" hidden="1" x14ac:dyDescent="0.25">
      <c r="A138" s="1653"/>
      <c r="B138" s="1667"/>
      <c r="C138" s="1654"/>
      <c r="D138" s="1844"/>
      <c r="E138" s="1540">
        <f t="shared" si="19"/>
        <v>0</v>
      </c>
      <c r="F138" s="1938">
        <f t="shared" si="6"/>
        <v>0</v>
      </c>
      <c r="G138" s="1793">
        <f t="shared" si="20"/>
        <v>0</v>
      </c>
    </row>
    <row r="139" spans="1:7" hidden="1" x14ac:dyDescent="0.25">
      <c r="A139" s="1653"/>
      <c r="B139" s="1667"/>
      <c r="C139" s="1654"/>
      <c r="D139" s="1844"/>
      <c r="E139" s="1540">
        <f t="shared" si="19"/>
        <v>0</v>
      </c>
      <c r="F139" s="1938">
        <f t="shared" si="6"/>
        <v>0</v>
      </c>
      <c r="G139" s="1793">
        <f t="shared" si="20"/>
        <v>0</v>
      </c>
    </row>
    <row r="140" spans="1:7" hidden="1" x14ac:dyDescent="0.25">
      <c r="A140" s="1653"/>
      <c r="B140" s="1667"/>
      <c r="C140" s="1654"/>
      <c r="D140" s="1844"/>
      <c r="E140" s="1540">
        <f t="shared" si="19"/>
        <v>0</v>
      </c>
      <c r="F140" s="1938">
        <f t="shared" si="6"/>
        <v>0</v>
      </c>
      <c r="G140" s="1793">
        <f t="shared" si="20"/>
        <v>0</v>
      </c>
    </row>
    <row r="141" spans="1:7" hidden="1"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2"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1353</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1676</v>
      </c>
      <c r="B5" s="2291"/>
      <c r="C5" s="2291"/>
      <c r="D5" s="2291"/>
      <c r="E5" s="2291"/>
      <c r="F5" s="2291"/>
      <c r="G5" s="229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1926</v>
      </c>
      <c r="B10" s="971"/>
      <c r="C10" s="976"/>
      <c r="D10" s="972"/>
      <c r="E10" s="973"/>
      <c r="F10" s="974"/>
      <c r="G10" s="975"/>
      <c r="H10" s="162"/>
      <c r="I10" s="162"/>
    </row>
    <row r="11" spans="1:9" s="668" customFormat="1" ht="22.5" customHeight="1" x14ac:dyDescent="0.2">
      <c r="A11" s="2295" t="s">
        <v>1969</v>
      </c>
      <c r="B11" s="2296"/>
      <c r="C11" s="2296"/>
      <c r="D11" s="2297"/>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1373</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6701831</v>
      </c>
      <c r="F19" s="1799"/>
      <c r="G19" s="1801">
        <f>'Expenditures 15-22'!K33-SUM('Expenditures 15-22'!G33,'Expenditures 15-22'!I33)+'Expenditures 15-22'!D229</f>
        <v>6701831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3648229</v>
      </c>
      <c r="F21" s="1802"/>
      <c r="G21" s="1805">
        <f>'Expenditures 15-22'!K42-SUM('Expenditures 15-22'!G42,'Expenditures 15-22'!I42)+'Expenditures 15-22'!K120-SUM('Expenditures 15-22'!G120,'Expenditures 15-22'!I120)+'Expenditures 15-22'!K180-SUM('Expenditures 15-22'!G180,'Expenditures 15-22'!I180)+'Expenditures 15-22'!D238</f>
        <v>3648229</v>
      </c>
      <c r="H21" s="987"/>
      <c r="I21" s="162"/>
    </row>
    <row r="22" spans="1:9" s="668" customFormat="1" ht="12" customHeight="1" x14ac:dyDescent="0.2">
      <c r="A22" s="994" t="s">
        <v>564</v>
      </c>
      <c r="B22" s="995"/>
      <c r="C22" s="993">
        <v>2200</v>
      </c>
      <c r="D22" s="1802"/>
      <c r="E22" s="1804">
        <f>'Expenditures 15-22'!K47-SUM('Expenditures 15-22'!G47,'Expenditures 15-22'!I47)+'Expenditures 15-22'!D243</f>
        <v>850355</v>
      </c>
      <c r="F22" s="1802"/>
      <c r="G22" s="1805">
        <f>'Expenditures 15-22'!K47-SUM('Expenditures 15-22'!G47,'Expenditures 15-22'!I47)+'Expenditures 15-22'!D243</f>
        <v>850355</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1479636</v>
      </c>
      <c r="F23" s="1802"/>
      <c r="G23" s="1804">
        <f>'Expenditures 15-22'!K53-SUM('Expenditures 15-22'!G53,'Expenditures 15-22'!I53)+'Expenditures 15-22'!D257+'Expenditures 15-22'!K330-SUM('Expenditures 15-22'!G330,'Expenditures 15-22'!I330)</f>
        <v>1479636</v>
      </c>
      <c r="H23" s="987"/>
      <c r="I23" s="162"/>
    </row>
    <row r="24" spans="1:9" s="668" customFormat="1" ht="12" customHeight="1" x14ac:dyDescent="0.2">
      <c r="A24" s="994" t="s">
        <v>566</v>
      </c>
      <c r="B24" s="995"/>
      <c r="C24" s="993">
        <v>2400</v>
      </c>
      <c r="D24" s="1802"/>
      <c r="E24" s="1804">
        <f>'Expenditures 15-22'!K57-SUM('Expenditures 15-22'!G57,'Expenditures 15-22'!I57)+'Expenditures 15-22'!D261</f>
        <v>139529</v>
      </c>
      <c r="F24" s="1802"/>
      <c r="G24" s="1805">
        <f>'Expenditures 15-22'!K57-SUM('Expenditures 15-22'!G57,'Expenditures 15-22'!I57)+'Expenditures 15-22'!D261</f>
        <v>139529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109187</v>
      </c>
      <c r="E26" s="1804">
        <f>'Expenditures 15-22'!K122-SUM('Expenditures 15-22'!G122,'Expenditures 15-22'!I122)+E7</f>
        <v>0</v>
      </c>
      <c r="F26" s="1804">
        <f>'Expenditures 15-22'!K59-SUM('Expenditures 15-22'!G59,'Expenditures 15-22'!I59)+'Expenditures 15-22'!D263-E7</f>
        <v>109187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153222</v>
      </c>
      <c r="E27" s="1804">
        <f>E8</f>
        <v>0</v>
      </c>
      <c r="F27" s="1804">
        <f>'Expenditures 15-22'!K60-SUM('Expenditures 15-22'!G60,'Expenditures 15-22'!I60)+'Expenditures 15-22'!D264-E8</f>
        <v>153222</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149015</v>
      </c>
      <c r="F28" s="1806">
        <f>'Expenditures 15-22'!K61-SUM('Expenditures 15-22'!G61,'Expenditures 15-22'!I61)+'Expenditures 15-22'!K124-SUM('Expenditures 15-22'!G124,'Expenditures 15-22'!I124)+'Expenditures 15-22'!D266-E9</f>
        <v>149015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120515</v>
      </c>
      <c r="F39" s="1802"/>
      <c r="G39" s="1804">
        <f>'Expenditures 15-22'!K75-SUM('Expenditures 15-22'!G75,'Expenditures 15-22'!I75)+'Expenditures 15-22'!K130-SUM('Expenditures 15-22'!G130,'Expenditures 15-22'!I130)+'Expenditures 15-22'!K185-SUM('Expenditures 15-22'!G185,'Expenditures 15-22'!I185)+'Expenditures 15-22'!D280</f>
        <v>120515</v>
      </c>
    </row>
    <row r="40" spans="1:7" ht="12" customHeight="1" x14ac:dyDescent="0.2">
      <c r="A40" s="990" t="s">
        <v>1817</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262409</v>
      </c>
      <c r="E41" s="1806">
        <f>SUM(E19:E40)</f>
        <v>13089110</v>
      </c>
      <c r="F41" s="1806">
        <f>SUM(F19:F39)</f>
        <v>411424</v>
      </c>
      <c r="G41" s="1806">
        <f>SUM(G19:G40)</f>
        <v>12940095</v>
      </c>
    </row>
    <row r="42" spans="1:7" x14ac:dyDescent="0.2">
      <c r="A42" s="987"/>
      <c r="B42" s="162"/>
      <c r="C42" s="1001"/>
      <c r="D42" s="2293" t="s">
        <v>522</v>
      </c>
      <c r="E42" s="2294"/>
      <c r="F42" s="1002" t="s">
        <v>523</v>
      </c>
      <c r="G42" s="1003"/>
    </row>
    <row r="43" spans="1:7" ht="12" customHeight="1" x14ac:dyDescent="0.2">
      <c r="A43" s="987"/>
      <c r="B43" s="162"/>
      <c r="C43" s="1001"/>
      <c r="D43" s="1807" t="s">
        <v>473</v>
      </c>
      <c r="E43" s="1808">
        <f>D41</f>
        <v>262409</v>
      </c>
      <c r="F43" s="1807" t="s">
        <v>473</v>
      </c>
      <c r="G43" s="1808">
        <f>F41</f>
        <v>411424</v>
      </c>
    </row>
    <row r="44" spans="1:7" ht="12" customHeight="1" x14ac:dyDescent="0.2">
      <c r="A44" s="987"/>
      <c r="B44" s="162"/>
      <c r="C44" s="1001"/>
      <c r="D44" s="1807" t="s">
        <v>474</v>
      </c>
      <c r="E44" s="1808">
        <f>E41</f>
        <v>13089110</v>
      </c>
      <c r="F44" s="1807" t="s">
        <v>474</v>
      </c>
      <c r="G44" s="1808">
        <f>G41</f>
        <v>12940095</v>
      </c>
    </row>
    <row r="45" spans="1:7" ht="12" customHeight="1" x14ac:dyDescent="0.2">
      <c r="A45" s="987"/>
      <c r="B45" s="162"/>
      <c r="C45" s="162"/>
      <c r="D45" s="1809" t="s">
        <v>1006</v>
      </c>
      <c r="E45" s="1810">
        <f>(E43/E44)</f>
        <v>2.0047887136711358E-2</v>
      </c>
      <c r="F45" s="1809" t="s">
        <v>1006</v>
      </c>
      <c r="G45" s="1810">
        <f>(G43/G44)</f>
        <v>3.1794511554976992E-2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Normal="100" workbookViewId="0">
      <pane ySplit="4" topLeftCell="A5" activePane="bottomLeft" state="frozen"/>
      <selection pane="bottomLeft" activeCell="N14" sqref="N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2" t="s">
        <v>1376</v>
      </c>
      <c r="B1" s="2312"/>
      <c r="C1" s="2312"/>
      <c r="D1" s="2312"/>
      <c r="E1" s="2312"/>
      <c r="F1" s="2312"/>
    </row>
    <row r="2" spans="1:10" x14ac:dyDescent="0.2">
      <c r="A2" s="1887" t="s">
        <v>1905</v>
      </c>
      <c r="B2" s="1848"/>
      <c r="C2" s="1887"/>
      <c r="D2" s="1848"/>
      <c r="E2" s="1848"/>
      <c r="F2" s="1849"/>
    </row>
    <row r="3" spans="1:10" x14ac:dyDescent="0.2">
      <c r="A3" s="1887" t="s">
        <v>1970</v>
      </c>
      <c r="B3" s="1848"/>
      <c r="C3" s="1887"/>
      <c r="D3" s="1848"/>
      <c r="E3" s="1848"/>
      <c r="F3" s="1849"/>
    </row>
    <row r="4" spans="1:10" ht="3.75" customHeight="1" x14ac:dyDescent="0.2">
      <c r="A4" s="1848"/>
      <c r="B4" s="1848"/>
      <c r="C4" s="1848"/>
      <c r="D4" s="1848"/>
      <c r="E4" s="1848"/>
      <c r="F4" s="1849"/>
    </row>
    <row r="5" spans="1:10" ht="15" x14ac:dyDescent="0.25">
      <c r="A5" s="2313" t="s">
        <v>1543</v>
      </c>
      <c r="B5" s="2314"/>
      <c r="C5" s="2315"/>
      <c r="D5" s="2315"/>
      <c r="E5" s="2315"/>
      <c r="F5" s="2315"/>
    </row>
    <row r="6" spans="1:10" ht="12" customHeight="1" x14ac:dyDescent="0.25">
      <c r="A6" s="1850"/>
      <c r="B6" s="1851"/>
      <c r="C6" s="2316" t="str">
        <f>COVER!A17</f>
        <v>Spec Educ Assoc of Peoria County</v>
      </c>
      <c r="D6" s="2316"/>
      <c r="E6" s="2316"/>
      <c r="F6" s="1852"/>
    </row>
    <row r="7" spans="1:10" ht="11.25" customHeight="1" thickBot="1" x14ac:dyDescent="0.3">
      <c r="A7" s="1850"/>
      <c r="B7" s="1851"/>
      <c r="C7" s="2317">
        <f>COVER!A13</f>
        <v>4872000061</v>
      </c>
      <c r="D7" s="2317"/>
      <c r="E7" s="2317"/>
      <c r="F7" s="1852"/>
    </row>
    <row r="8" spans="1:10" ht="25.5" customHeight="1" thickBot="1" x14ac:dyDescent="0.25">
      <c r="A8" s="1893" t="s">
        <v>1901</v>
      </c>
      <c r="B8" s="1853" t="s">
        <v>2059</v>
      </c>
      <c r="C8" s="1889" t="s">
        <v>1678</v>
      </c>
      <c r="D8" s="1888" t="s">
        <v>1679</v>
      </c>
      <c r="E8" s="1890" t="s">
        <v>1377</v>
      </c>
      <c r="F8" s="1888" t="s">
        <v>1680</v>
      </c>
      <c r="H8" s="1854" t="b">
        <v>0</v>
      </c>
    </row>
    <row r="9" spans="1:10" ht="15.75" customHeight="1" x14ac:dyDescent="0.2">
      <c r="A9" s="1855" t="s">
        <v>1539</v>
      </c>
      <c r="B9" s="1856"/>
      <c r="C9" s="1857"/>
      <c r="D9" s="1857"/>
      <c r="E9" s="1858"/>
      <c r="F9" s="1859"/>
    </row>
    <row r="10" spans="1:10" ht="27.75" customHeight="1" x14ac:dyDescent="0.2">
      <c r="A10" s="1860" t="s">
        <v>1677</v>
      </c>
      <c r="B10" s="1861"/>
      <c r="C10" s="1862"/>
      <c r="D10" s="1862"/>
      <c r="E10" s="1891" t="s">
        <v>1378</v>
      </c>
      <c r="F10" s="1892" t="s">
        <v>1379</v>
      </c>
    </row>
    <row r="11" spans="1:10" ht="12" customHeight="1" x14ac:dyDescent="0.2">
      <c r="A11" s="1863" t="s">
        <v>1380</v>
      </c>
      <c r="B11" s="1864"/>
      <c r="C11" s="1865"/>
      <c r="D11" s="1865"/>
      <c r="E11" s="1866"/>
      <c r="F11" s="1867"/>
      <c r="H11" s="1878">
        <f>IF(C11="X",5,0)</f>
        <v>0</v>
      </c>
      <c r="I11" s="1878">
        <f>IF(D11="X",5,0)</f>
        <v>0</v>
      </c>
      <c r="J11" s="1878">
        <f>IF(E11="X",5,0)</f>
        <v>0</v>
      </c>
    </row>
    <row r="12" spans="1:10" ht="12" customHeight="1" x14ac:dyDescent="0.2">
      <c r="A12" s="1863" t="s">
        <v>1381</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1382</v>
      </c>
      <c r="B13" s="1864"/>
      <c r="C13" s="1865"/>
      <c r="D13" s="1865"/>
      <c r="E13" s="1868"/>
      <c r="F13" s="1867"/>
      <c r="H13" s="1878">
        <f t="shared" si="0"/>
        <v>0</v>
      </c>
      <c r="I13" s="1878">
        <f t="shared" si="1"/>
        <v>0</v>
      </c>
      <c r="J13" s="1878">
        <f t="shared" si="2"/>
        <v>0</v>
      </c>
    </row>
    <row r="14" spans="1:10" ht="12" customHeight="1" x14ac:dyDescent="0.2">
      <c r="A14" s="1863" t="s">
        <v>1383</v>
      </c>
      <c r="B14" s="1864"/>
      <c r="C14" s="1865"/>
      <c r="D14" s="1865"/>
      <c r="E14" s="1868"/>
      <c r="F14" s="1867"/>
      <c r="H14" s="1878">
        <f t="shared" si="0"/>
        <v>0</v>
      </c>
      <c r="I14" s="1878">
        <f t="shared" si="1"/>
        <v>0</v>
      </c>
      <c r="J14" s="1878">
        <f t="shared" si="2"/>
        <v>0</v>
      </c>
    </row>
    <row r="15" spans="1:10" ht="12" customHeight="1" x14ac:dyDescent="0.2">
      <c r="A15" s="1863" t="s">
        <v>1384</v>
      </c>
      <c r="B15" s="1864"/>
      <c r="C15" s="1865"/>
      <c r="D15" s="1865"/>
      <c r="E15" s="1868"/>
      <c r="F15" s="1867"/>
      <c r="H15" s="1878">
        <f t="shared" si="0"/>
        <v>0</v>
      </c>
      <c r="I15" s="1878">
        <f t="shared" si="1"/>
        <v>0</v>
      </c>
      <c r="J15" s="1878">
        <f t="shared" si="2"/>
        <v>0</v>
      </c>
    </row>
    <row r="16" spans="1:10" ht="12" customHeight="1" x14ac:dyDescent="0.2">
      <c r="A16" s="1863" t="s">
        <v>1385</v>
      </c>
      <c r="B16" s="1864"/>
      <c r="C16" s="1865"/>
      <c r="D16" s="1865"/>
      <c r="E16" s="1868"/>
      <c r="F16" s="1867"/>
      <c r="H16" s="1878">
        <f t="shared" si="0"/>
        <v>0</v>
      </c>
      <c r="I16" s="1878">
        <f t="shared" si="1"/>
        <v>0</v>
      </c>
      <c r="J16" s="1878">
        <f t="shared" si="2"/>
        <v>0</v>
      </c>
    </row>
    <row r="17" spans="1:12" ht="12" customHeight="1" x14ac:dyDescent="0.2">
      <c r="A17" s="1863" t="s">
        <v>1386</v>
      </c>
      <c r="B17" s="1864"/>
      <c r="C17" s="1865"/>
      <c r="D17" s="1865"/>
      <c r="E17" s="1868"/>
      <c r="F17" s="1867"/>
      <c r="H17" s="1878">
        <f t="shared" si="0"/>
        <v>0</v>
      </c>
      <c r="I17" s="1878">
        <f t="shared" si="1"/>
        <v>0</v>
      </c>
      <c r="J17" s="1878">
        <f t="shared" si="2"/>
        <v>0</v>
      </c>
    </row>
    <row r="18" spans="1:12" ht="12" customHeight="1" x14ac:dyDescent="0.2">
      <c r="A18" s="1863" t="s">
        <v>1387</v>
      </c>
      <c r="B18" s="1864"/>
      <c r="C18" s="1865"/>
      <c r="D18" s="1865"/>
      <c r="E18" s="1868"/>
      <c r="F18" s="1867"/>
      <c r="H18" s="1878">
        <f t="shared" si="0"/>
        <v>0</v>
      </c>
      <c r="I18" s="1878">
        <f t="shared" si="1"/>
        <v>0</v>
      </c>
      <c r="J18" s="1878">
        <f t="shared" si="2"/>
        <v>0</v>
      </c>
    </row>
    <row r="19" spans="1:12" ht="12" customHeight="1" x14ac:dyDescent="0.2">
      <c r="A19" s="1863" t="s">
        <v>1524</v>
      </c>
      <c r="B19" s="1864"/>
      <c r="C19" s="1865"/>
      <c r="D19" s="1865"/>
      <c r="E19" s="1868"/>
      <c r="F19" s="1867"/>
      <c r="H19" s="1878">
        <f t="shared" si="0"/>
        <v>0</v>
      </c>
      <c r="I19" s="1878">
        <f t="shared" si="1"/>
        <v>0</v>
      </c>
      <c r="J19" s="1878">
        <f t="shared" si="2"/>
        <v>0</v>
      </c>
    </row>
    <row r="20" spans="1:12" ht="12" customHeight="1" x14ac:dyDescent="0.2">
      <c r="A20" s="1863" t="s">
        <v>1525</v>
      </c>
      <c r="B20" s="1864"/>
      <c r="C20" s="1865"/>
      <c r="D20" s="1865"/>
      <c r="E20" s="1868"/>
      <c r="F20" s="1867"/>
      <c r="H20" s="1878">
        <f t="shared" si="0"/>
        <v>0</v>
      </c>
      <c r="I20" s="1878">
        <f t="shared" si="1"/>
        <v>0</v>
      </c>
      <c r="J20" s="1878">
        <f t="shared" si="2"/>
        <v>0</v>
      </c>
    </row>
    <row r="21" spans="1:12" ht="12" customHeight="1" x14ac:dyDescent="0.2">
      <c r="A21" s="1863" t="s">
        <v>1526</v>
      </c>
      <c r="B21" s="1864"/>
      <c r="C21" s="1865"/>
      <c r="D21" s="1865"/>
      <c r="E21" s="1868"/>
      <c r="F21" s="1867"/>
      <c r="H21" s="1878">
        <f t="shared" si="0"/>
        <v>0</v>
      </c>
      <c r="I21" s="1878">
        <f t="shared" si="1"/>
        <v>0</v>
      </c>
      <c r="J21" s="1878">
        <f t="shared" si="2"/>
        <v>0</v>
      </c>
    </row>
    <row r="22" spans="1:12" ht="12" customHeight="1" x14ac:dyDescent="0.2">
      <c r="A22" s="1863" t="s">
        <v>1527</v>
      </c>
      <c r="B22" s="1864"/>
      <c r="C22" s="1865"/>
      <c r="D22" s="1865"/>
      <c r="E22" s="1868"/>
      <c r="F22" s="1867"/>
      <c r="H22" s="1878">
        <f t="shared" si="0"/>
        <v>0</v>
      </c>
      <c r="I22" s="1878">
        <f t="shared" si="1"/>
        <v>0</v>
      </c>
      <c r="J22" s="1878">
        <f t="shared" si="2"/>
        <v>0</v>
      </c>
    </row>
    <row r="23" spans="1:12" ht="12" customHeight="1" x14ac:dyDescent="0.2">
      <c r="A23" s="1863" t="s">
        <v>1528</v>
      </c>
      <c r="B23" s="1864"/>
      <c r="C23" s="1865"/>
      <c r="D23" s="1865"/>
      <c r="E23" s="1868"/>
      <c r="F23" s="1867"/>
      <c r="H23" s="1878">
        <f t="shared" si="0"/>
        <v>0</v>
      </c>
      <c r="I23" s="1878">
        <f t="shared" si="1"/>
        <v>0</v>
      </c>
      <c r="J23" s="1878">
        <f t="shared" si="2"/>
        <v>0</v>
      </c>
    </row>
    <row r="24" spans="1:12" ht="12" customHeight="1" x14ac:dyDescent="0.2">
      <c r="A24" s="1863" t="s">
        <v>1529</v>
      </c>
      <c r="B24" s="1864"/>
      <c r="C24" s="1865"/>
      <c r="D24" s="1865"/>
      <c r="E24" s="1868"/>
      <c r="F24" s="1867"/>
      <c r="H24" s="1878">
        <f t="shared" si="0"/>
        <v>0</v>
      </c>
      <c r="I24" s="1878">
        <f t="shared" si="1"/>
        <v>0</v>
      </c>
      <c r="J24" s="1878">
        <f t="shared" si="2"/>
        <v>0</v>
      </c>
    </row>
    <row r="25" spans="1:12" ht="12" customHeight="1" x14ac:dyDescent="0.2">
      <c r="A25" s="1863" t="s">
        <v>1530</v>
      </c>
      <c r="B25" s="1864"/>
      <c r="C25" s="1865"/>
      <c r="D25" s="1865"/>
      <c r="E25" s="1868"/>
      <c r="F25" s="1867"/>
      <c r="H25" s="1878">
        <f t="shared" si="0"/>
        <v>0</v>
      </c>
      <c r="I25" s="1878">
        <f t="shared" si="1"/>
        <v>0</v>
      </c>
      <c r="J25" s="1878">
        <f t="shared" si="2"/>
        <v>0</v>
      </c>
    </row>
    <row r="26" spans="1:12" ht="12" customHeight="1" x14ac:dyDescent="0.2">
      <c r="A26" s="1863" t="s">
        <v>1531</v>
      </c>
      <c r="B26" s="1864"/>
      <c r="C26" s="1865"/>
      <c r="D26" s="1865"/>
      <c r="E26" s="1868"/>
      <c r="F26" s="1867"/>
      <c r="H26" s="1878">
        <f t="shared" si="0"/>
        <v>0</v>
      </c>
      <c r="I26" s="1878">
        <f t="shared" si="1"/>
        <v>0</v>
      </c>
      <c r="J26" s="1878">
        <f t="shared" si="2"/>
        <v>0</v>
      </c>
    </row>
    <row r="27" spans="1:12" ht="18.75" x14ac:dyDescent="0.2">
      <c r="A27" s="1863" t="s">
        <v>1532</v>
      </c>
      <c r="B27" s="1864"/>
      <c r="C27" s="1865"/>
      <c r="D27" s="1865"/>
      <c r="E27" s="1868"/>
      <c r="F27" s="1867"/>
      <c r="H27" s="1878">
        <f t="shared" si="0"/>
        <v>0</v>
      </c>
      <c r="I27" s="1878">
        <f t="shared" si="1"/>
        <v>0</v>
      </c>
      <c r="J27" s="1878">
        <f t="shared" si="2"/>
        <v>0</v>
      </c>
    </row>
    <row r="28" spans="1:12" ht="12" customHeight="1" x14ac:dyDescent="0.2">
      <c r="A28" s="1863" t="s">
        <v>1533</v>
      </c>
      <c r="B28" s="1864"/>
      <c r="C28" s="1865"/>
      <c r="D28" s="1865"/>
      <c r="E28" s="1868"/>
      <c r="F28" s="1867"/>
      <c r="H28" s="1878">
        <f t="shared" si="0"/>
        <v>0</v>
      </c>
      <c r="I28" s="1878">
        <f t="shared" si="1"/>
        <v>0</v>
      </c>
      <c r="J28" s="1878">
        <f t="shared" si="2"/>
        <v>0</v>
      </c>
    </row>
    <row r="29" spans="1:12" ht="12" customHeight="1" x14ac:dyDescent="0.2">
      <c r="A29" s="1863" t="s">
        <v>1534</v>
      </c>
      <c r="B29" s="1864"/>
      <c r="C29" s="1865"/>
      <c r="D29" s="1865"/>
      <c r="E29" s="1868"/>
      <c r="F29" s="1867"/>
      <c r="H29" s="1878">
        <f t="shared" si="0"/>
        <v>0</v>
      </c>
      <c r="I29" s="1878">
        <f t="shared" si="1"/>
        <v>0</v>
      </c>
      <c r="J29" s="1878">
        <f t="shared" si="2"/>
        <v>0</v>
      </c>
    </row>
    <row r="30" spans="1:12" ht="12" customHeight="1" x14ac:dyDescent="0.2">
      <c r="A30" s="1863" t="s">
        <v>1535</v>
      </c>
      <c r="B30" s="1864"/>
      <c r="C30" s="1865"/>
      <c r="D30" s="1865"/>
      <c r="E30" s="1868"/>
      <c r="F30" s="1867"/>
      <c r="H30" s="1878">
        <f t="shared" si="0"/>
        <v>0</v>
      </c>
      <c r="I30" s="1878">
        <f t="shared" si="1"/>
        <v>0</v>
      </c>
      <c r="J30" s="1878">
        <f t="shared" si="2"/>
        <v>0</v>
      </c>
    </row>
    <row r="31" spans="1:12" ht="12" customHeight="1" x14ac:dyDescent="0.2">
      <c r="A31" s="1863" t="s">
        <v>1536</v>
      </c>
      <c r="B31" s="1864"/>
      <c r="C31" s="1865"/>
      <c r="D31" s="1865"/>
      <c r="E31" s="1868"/>
      <c r="F31" s="1867"/>
      <c r="H31" s="1878">
        <f t="shared" si="0"/>
        <v>0</v>
      </c>
      <c r="I31" s="1878">
        <f t="shared" si="1"/>
        <v>0</v>
      </c>
      <c r="J31" s="1878">
        <f t="shared" si="2"/>
        <v>0</v>
      </c>
      <c r="L31" s="1869"/>
    </row>
    <row r="32" spans="1:12" ht="12" customHeight="1" x14ac:dyDescent="0.2">
      <c r="A32" s="1863" t="s">
        <v>1537</v>
      </c>
      <c r="B32" s="1864"/>
      <c r="C32" s="1865"/>
      <c r="D32" s="1865"/>
      <c r="E32" s="1868"/>
      <c r="F32" s="1867"/>
      <c r="H32" s="1878">
        <f t="shared" si="0"/>
        <v>0</v>
      </c>
      <c r="I32" s="1878">
        <f t="shared" si="1"/>
        <v>0</v>
      </c>
      <c r="J32" s="1878">
        <f t="shared" si="2"/>
        <v>0</v>
      </c>
    </row>
    <row r="33" spans="1:11" ht="12" customHeight="1" x14ac:dyDescent="0.2">
      <c r="A33" s="1863" t="s">
        <v>1538</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0</v>
      </c>
      <c r="I34" s="1878">
        <f>SUM(I11:I32)</f>
        <v>0</v>
      </c>
      <c r="J34" s="1878">
        <f>SUM(J11:J32)</f>
        <v>0</v>
      </c>
      <c r="K34" s="1878">
        <f>SUM(H34:J34)</f>
        <v>0</v>
      </c>
    </row>
    <row r="35" spans="1:11" ht="12" customHeight="1" x14ac:dyDescent="0.2">
      <c r="A35" s="1871" t="s">
        <v>1389</v>
      </c>
      <c r="B35" s="1872"/>
      <c r="C35" s="2318"/>
      <c r="D35" s="2318"/>
      <c r="E35" s="2318"/>
      <c r="F35" s="2319"/>
    </row>
    <row r="36" spans="1:11" ht="12" customHeight="1" x14ac:dyDescent="0.2">
      <c r="A36" s="2301"/>
      <c r="B36" s="2302"/>
      <c r="C36" s="2302"/>
      <c r="D36" s="2302"/>
      <c r="E36" s="2302"/>
      <c r="F36" s="2303"/>
    </row>
    <row r="37" spans="1:11" ht="12" customHeight="1" x14ac:dyDescent="0.2">
      <c r="A37" s="2301"/>
      <c r="B37" s="2302"/>
      <c r="C37" s="2302"/>
      <c r="D37" s="2302"/>
      <c r="E37" s="2302"/>
      <c r="F37" s="2303"/>
    </row>
    <row r="38" spans="1:11" ht="12" customHeight="1" x14ac:dyDescent="0.2">
      <c r="A38" s="2304"/>
      <c r="B38" s="2305"/>
      <c r="C38" s="2305"/>
      <c r="D38" s="2305"/>
      <c r="E38" s="2305"/>
      <c r="F38" s="2306"/>
    </row>
    <row r="39" spans="1:11" ht="4.5" hidden="1" customHeight="1" x14ac:dyDescent="0.2">
      <c r="A39" s="1873"/>
      <c r="B39" s="1873"/>
      <c r="C39" s="1873"/>
      <c r="D39" s="1873"/>
      <c r="E39" s="1873"/>
      <c r="F39" s="1873"/>
    </row>
    <row r="40" spans="1:11" s="1870" customFormat="1" ht="12" customHeight="1" x14ac:dyDescent="0.25">
      <c r="A40" s="1874" t="s">
        <v>1388</v>
      </c>
      <c r="B40" s="1875"/>
      <c r="C40" s="2307"/>
      <c r="D40" s="2307"/>
      <c r="E40" s="2307"/>
      <c r="F40" s="2308"/>
      <c r="H40" s="1879"/>
      <c r="I40" s="1879"/>
      <c r="J40" s="1879"/>
      <c r="K40" s="1879"/>
    </row>
    <row r="41" spans="1:11" s="1870" customFormat="1" ht="12" customHeight="1" x14ac:dyDescent="0.25">
      <c r="A41" s="2309"/>
      <c r="B41" s="2310"/>
      <c r="C41" s="2310"/>
      <c r="D41" s="2310"/>
      <c r="E41" s="2310"/>
      <c r="F41" s="2311"/>
      <c r="H41" s="1879"/>
      <c r="I41" s="1879"/>
      <c r="J41" s="1879"/>
      <c r="K41" s="1879"/>
    </row>
    <row r="42" spans="1:11" s="1870" customFormat="1" ht="12" customHeight="1" x14ac:dyDescent="0.25">
      <c r="A42" s="2309"/>
      <c r="B42" s="2310"/>
      <c r="C42" s="2310"/>
      <c r="D42" s="2310"/>
      <c r="E42" s="2310"/>
      <c r="F42" s="2311"/>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rstPageNumber="31" orientation="landscape" useFirstPageNumber="1" r:id="rId1"/>
  <headerFooter>
    <oddHeader>&amp;RPage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5" t="str">
        <f>COVER!A17</f>
        <v>Spec Educ Assoc of Peoria County</v>
      </c>
      <c r="J6" s="2326"/>
      <c r="Q6" s="1664"/>
    </row>
    <row r="7" spans="1:17" x14ac:dyDescent="0.2">
      <c r="A7" s="2327" t="s">
        <v>869</v>
      </c>
      <c r="B7" s="2328"/>
      <c r="C7" s="2328"/>
      <c r="D7" s="2328"/>
      <c r="E7" s="2329"/>
      <c r="F7" s="1017"/>
      <c r="G7" s="1009"/>
      <c r="H7" s="1016" t="s">
        <v>372</v>
      </c>
      <c r="I7" s="2330">
        <f>COVER!A13</f>
        <v>4872000061</v>
      </c>
      <c r="J7" s="233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1971</v>
      </c>
      <c r="F9" s="1023"/>
      <c r="G9" s="1023"/>
      <c r="H9" s="1896" t="s">
        <v>1972</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1482036</v>
      </c>
      <c r="F12" s="1039"/>
      <c r="G12" s="1811">
        <f t="shared" ref="G12:G18" si="0">SUM(E12:F12)</f>
        <v>1482036</v>
      </c>
      <c r="H12" s="1040" t="s">
        <v>2091</v>
      </c>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t="s">
        <v>2091</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t="s">
        <v>2091</v>
      </c>
      <c r="I14" s="1039"/>
      <c r="J14" s="1811">
        <f t="shared" si="1"/>
        <v>0</v>
      </c>
    </row>
    <row r="15" spans="1:17" ht="15" customHeight="1" x14ac:dyDescent="0.2">
      <c r="A15" s="1035">
        <v>4</v>
      </c>
      <c r="B15" s="1036" t="s">
        <v>1068</v>
      </c>
      <c r="C15" s="1037"/>
      <c r="D15" s="1038">
        <v>2510</v>
      </c>
      <c r="E15" s="1811">
        <f>'Expenditures 15-22'!K59</f>
        <v>109187</v>
      </c>
      <c r="F15" s="1811">
        <f>'Expenditures 15-22'!K122</f>
        <v>0</v>
      </c>
      <c r="G15" s="1811">
        <f t="shared" si="0"/>
        <v>109187</v>
      </c>
      <c r="H15" s="1040" t="s">
        <v>2091</v>
      </c>
      <c r="I15" s="1040" t="s">
        <v>2091</v>
      </c>
      <c r="J15" s="1811">
        <f t="shared" si="1"/>
        <v>0</v>
      </c>
    </row>
    <row r="16" spans="1:17" ht="15" customHeight="1" x14ac:dyDescent="0.2">
      <c r="A16" s="1035">
        <v>5</v>
      </c>
      <c r="B16" s="1036" t="s">
        <v>101</v>
      </c>
      <c r="C16" s="1037"/>
      <c r="D16" s="1038">
        <v>2570</v>
      </c>
      <c r="E16" s="1811">
        <f>'Expenditures 15-22'!K64</f>
        <v>0</v>
      </c>
      <c r="F16" s="1039"/>
      <c r="G16" s="1811">
        <f t="shared" si="0"/>
        <v>0</v>
      </c>
      <c r="H16" s="1040" t="s">
        <v>2091</v>
      </c>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t="s">
        <v>2091</v>
      </c>
      <c r="I17" s="1039"/>
      <c r="J17" s="1811">
        <f t="shared" si="1"/>
        <v>0</v>
      </c>
    </row>
    <row r="18" spans="1:10" ht="22.5" customHeight="1" x14ac:dyDescent="0.2">
      <c r="A18" s="1042">
        <v>7</v>
      </c>
      <c r="B18" s="2334" t="s">
        <v>7</v>
      </c>
      <c r="C18" s="2335"/>
      <c r="D18" s="2336"/>
      <c r="E18" s="1043"/>
      <c r="F18" s="1043"/>
      <c r="G18" s="1812">
        <f t="shared" si="0"/>
        <v>0</v>
      </c>
      <c r="H18" s="1040" t="s">
        <v>2091</v>
      </c>
      <c r="I18" s="1040" t="s">
        <v>2091</v>
      </c>
      <c r="J18" s="1811">
        <f t="shared" si="1"/>
        <v>0</v>
      </c>
    </row>
    <row r="19" spans="1:10" ht="12.75" customHeight="1" thickBot="1" x14ac:dyDescent="0.25">
      <c r="A19" s="1035">
        <v>8</v>
      </c>
      <c r="B19" s="1044" t="s">
        <v>1161</v>
      </c>
      <c r="D19" s="1045"/>
      <c r="E19" s="1813">
        <f t="shared" ref="E19:J19" si="2">SUM(E12:E17)-E18</f>
        <v>1591223</v>
      </c>
      <c r="F19" s="1813">
        <f t="shared" si="2"/>
        <v>0</v>
      </c>
      <c r="G19" s="1813">
        <f t="shared" si="2"/>
        <v>1591223</v>
      </c>
      <c r="H19" s="1813" t="e">
        <f t="shared" si="2"/>
        <v>#VALUE!</v>
      </c>
      <c r="I19" s="1813" t="e">
        <f t="shared" si="2"/>
        <v>#VALUE!</v>
      </c>
      <c r="J19" s="1813">
        <f t="shared" si="2"/>
        <v>0</v>
      </c>
    </row>
    <row r="20" spans="1:10" ht="13.5" thickTop="1" x14ac:dyDescent="0.2">
      <c r="A20" s="1035">
        <v>9</v>
      </c>
      <c r="B20" s="2337" t="s">
        <v>1973</v>
      </c>
      <c r="C20" s="2337"/>
      <c r="D20" s="2338"/>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1974</v>
      </c>
      <c r="B23" s="1047"/>
    </row>
    <row r="24" spans="1:10" x14ac:dyDescent="0.2">
      <c r="A24" s="1011" t="s">
        <v>1987</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1506</v>
      </c>
      <c r="G27" s="2339"/>
    </row>
    <row r="28" spans="1:10" ht="28.5" customHeight="1" x14ac:dyDescent="0.2">
      <c r="B28" s="1047"/>
      <c r="C28" s="2341"/>
      <c r="D28" s="2341"/>
      <c r="E28" s="1054"/>
      <c r="F28" s="2341"/>
      <c r="G28" s="2341"/>
    </row>
    <row r="29" spans="1:10" x14ac:dyDescent="0.2">
      <c r="B29" s="1047"/>
      <c r="C29" s="1055" t="s">
        <v>1558</v>
      </c>
      <c r="E29" s="1056"/>
      <c r="F29" s="2340" t="s">
        <v>1507</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1975</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Normal="10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2118</v>
      </c>
    </row>
    <row r="6" spans="1:2" x14ac:dyDescent="0.2">
      <c r="A6" s="1068">
        <v>2</v>
      </c>
      <c r="B6" s="329" t="s">
        <v>2119</v>
      </c>
    </row>
    <row r="7" spans="1:2" x14ac:dyDescent="0.2">
      <c r="A7" s="1068">
        <v>3</v>
      </c>
      <c r="B7" s="329" t="s">
        <v>2116</v>
      </c>
    </row>
    <row r="8" spans="1:2" x14ac:dyDescent="0.2">
      <c r="A8" s="1068">
        <v>4</v>
      </c>
      <c r="B8" s="329" t="s">
        <v>2120</v>
      </c>
    </row>
    <row r="9" spans="1:2" x14ac:dyDescent="0.2">
      <c r="A9" s="1068">
        <v>5</v>
      </c>
      <c r="B9" s="329" t="s">
        <v>2117</v>
      </c>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Spec Educ Assoc of Peoria County</v>
      </c>
    </row>
    <row r="66" spans="1:2" x14ac:dyDescent="0.2">
      <c r="B66" s="1070">
        <f>COVER!A13</f>
        <v>4872000061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1852</v>
      </c>
      <c r="C4" s="162" t="s">
        <v>1169</v>
      </c>
      <c r="D4" s="169" t="s">
        <v>10</v>
      </c>
      <c r="E4" s="170" t="s">
        <v>22</v>
      </c>
    </row>
    <row r="5" spans="1:5" x14ac:dyDescent="0.2">
      <c r="A5" s="168" t="s">
        <v>1854</v>
      </c>
      <c r="C5" s="162" t="s">
        <v>1169</v>
      </c>
      <c r="D5" s="169" t="s">
        <v>10</v>
      </c>
      <c r="E5" s="170" t="s">
        <v>22</v>
      </c>
    </row>
    <row r="6" spans="1:5" x14ac:dyDescent="0.2">
      <c r="A6" s="168" t="s">
        <v>1853</v>
      </c>
      <c r="C6" s="162" t="s">
        <v>1169</v>
      </c>
      <c r="D6" s="167" t="s">
        <v>11</v>
      </c>
      <c r="E6" s="170" t="s">
        <v>941</v>
      </c>
    </row>
    <row r="7" spans="1:5" x14ac:dyDescent="0.2">
      <c r="A7" s="168" t="s">
        <v>1855</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1856</v>
      </c>
      <c r="C11" s="162" t="s">
        <v>1169</v>
      </c>
      <c r="D11" s="169" t="s">
        <v>14</v>
      </c>
      <c r="E11" s="170" t="s">
        <v>1156</v>
      </c>
    </row>
    <row r="12" spans="1:5" x14ac:dyDescent="0.2">
      <c r="B12" s="169" t="s">
        <v>1857</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1858</v>
      </c>
      <c r="C15" s="162" t="s">
        <v>1169</v>
      </c>
      <c r="D15" s="169" t="s">
        <v>17</v>
      </c>
      <c r="E15" s="170" t="s">
        <v>636</v>
      </c>
    </row>
    <row r="16" spans="1:5" x14ac:dyDescent="0.2">
      <c r="A16" s="172"/>
      <c r="B16" s="162" t="s">
        <v>1859</v>
      </c>
      <c r="C16" s="162" t="s">
        <v>1169</v>
      </c>
      <c r="D16" s="169" t="s">
        <v>681</v>
      </c>
      <c r="E16" s="170" t="s">
        <v>1040</v>
      </c>
    </row>
    <row r="17" spans="1:5" x14ac:dyDescent="0.2">
      <c r="B17" s="167" t="s">
        <v>988</v>
      </c>
      <c r="C17" s="162" t="s">
        <v>1169</v>
      </c>
    </row>
    <row r="18" spans="1:5" x14ac:dyDescent="0.2">
      <c r="B18" s="167" t="s">
        <v>1865</v>
      </c>
      <c r="D18" s="169" t="s">
        <v>18</v>
      </c>
      <c r="E18" s="170" t="s">
        <v>1041</v>
      </c>
    </row>
    <row r="19" spans="1:5" x14ac:dyDescent="0.2">
      <c r="A19" s="168" t="s">
        <v>1099</v>
      </c>
      <c r="C19" s="162" t="s">
        <v>1169</v>
      </c>
      <c r="D19" s="169"/>
      <c r="E19" s="171"/>
    </row>
    <row r="20" spans="1:5" x14ac:dyDescent="0.2">
      <c r="B20" s="167" t="s">
        <v>1860</v>
      </c>
      <c r="C20" s="162" t="s">
        <v>1169</v>
      </c>
      <c r="D20" s="169" t="s">
        <v>19</v>
      </c>
      <c r="E20" s="170" t="s">
        <v>51</v>
      </c>
    </row>
    <row r="21" spans="1:5" x14ac:dyDescent="0.2">
      <c r="B21" s="167" t="s">
        <v>1861</v>
      </c>
      <c r="C21" s="162" t="s">
        <v>1169</v>
      </c>
      <c r="D21" s="169" t="s">
        <v>20</v>
      </c>
      <c r="E21" s="170" t="s">
        <v>1607</v>
      </c>
    </row>
    <row r="22" spans="1:5" x14ac:dyDescent="0.2">
      <c r="A22" s="168"/>
      <c r="B22" s="162" t="s">
        <v>1849</v>
      </c>
      <c r="C22" s="162" t="s">
        <v>1169</v>
      </c>
      <c r="D22" s="167" t="s">
        <v>1851</v>
      </c>
      <c r="E22" s="1836" t="s">
        <v>1608</v>
      </c>
    </row>
    <row r="23" spans="1:5" x14ac:dyDescent="0.2">
      <c r="A23" s="168"/>
      <c r="B23" s="162" t="s">
        <v>1850</v>
      </c>
      <c r="D23" s="167" t="s">
        <v>637</v>
      </c>
      <c r="E23" s="1836" t="s">
        <v>959</v>
      </c>
    </row>
    <row r="24" spans="1:5" x14ac:dyDescent="0.2">
      <c r="A24" s="168" t="s">
        <v>1606</v>
      </c>
      <c r="C24" s="162" t="s">
        <v>1169</v>
      </c>
      <c r="D24" s="167" t="s">
        <v>1390</v>
      </c>
      <c r="E24" s="170" t="s">
        <v>960</v>
      </c>
    </row>
    <row r="25" spans="1:5" x14ac:dyDescent="0.2">
      <c r="A25" s="168" t="s">
        <v>1862</v>
      </c>
      <c r="C25" s="162" t="s">
        <v>1169</v>
      </c>
      <c r="D25" s="169" t="s">
        <v>21</v>
      </c>
      <c r="E25" s="170" t="s">
        <v>1042</v>
      </c>
    </row>
    <row r="26" spans="1:5" x14ac:dyDescent="0.2">
      <c r="A26" s="168" t="s">
        <v>1863</v>
      </c>
      <c r="C26" s="162" t="s">
        <v>1169</v>
      </c>
      <c r="D26" s="169" t="s">
        <v>563</v>
      </c>
      <c r="E26" s="170" t="s">
        <v>1043</v>
      </c>
    </row>
    <row r="27" spans="1:5" x14ac:dyDescent="0.2">
      <c r="A27" s="168" t="s">
        <v>1864</v>
      </c>
      <c r="C27" s="162" t="s">
        <v>1169</v>
      </c>
      <c r="D27" s="169" t="s">
        <v>557</v>
      </c>
      <c r="E27" s="170" t="s">
        <v>683</v>
      </c>
    </row>
    <row r="28" spans="1:5" x14ac:dyDescent="0.2">
      <c r="A28" s="168" t="s">
        <v>1866</v>
      </c>
      <c r="D28" s="169" t="s">
        <v>684</v>
      </c>
      <c r="E28" s="170" t="s">
        <v>1363</v>
      </c>
    </row>
    <row r="29" spans="1:5" x14ac:dyDescent="0.2">
      <c r="A29" s="168" t="s">
        <v>1867</v>
      </c>
      <c r="D29" s="169" t="s">
        <v>1391</v>
      </c>
      <c r="E29" s="170" t="s">
        <v>1372</v>
      </c>
    </row>
    <row r="30" spans="1:5" x14ac:dyDescent="0.2">
      <c r="A30" s="173" t="s">
        <v>1868</v>
      </c>
      <c r="C30" s="162" t="s">
        <v>1169</v>
      </c>
      <c r="D30" s="169" t="s">
        <v>40</v>
      </c>
      <c r="E30" s="170" t="s">
        <v>982</v>
      </c>
    </row>
    <row r="31" spans="1:5" x14ac:dyDescent="0.2">
      <c r="A31" s="168" t="s">
        <v>1518</v>
      </c>
      <c r="C31" s="162" t="s">
        <v>1169</v>
      </c>
      <c r="D31" s="167"/>
      <c r="E31" s="171"/>
    </row>
    <row r="32" spans="1:5" x14ac:dyDescent="0.2">
      <c r="B32" s="167" t="s">
        <v>1869</v>
      </c>
      <c r="C32" s="162" t="s">
        <v>1169</v>
      </c>
      <c r="D32" s="169" t="s">
        <v>1519</v>
      </c>
      <c r="E32" s="170" t="s">
        <v>1392</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1605</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1895</v>
      </c>
    </row>
    <row r="45" spans="1:5" ht="6.75" customHeight="1" x14ac:dyDescent="0.2">
      <c r="A45" s="187"/>
      <c r="B45" s="186"/>
    </row>
    <row r="46" spans="1:5" x14ac:dyDescent="0.2">
      <c r="A46" s="185" t="s">
        <v>984</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5" t="s">
        <v>1770</v>
      </c>
    </row>
    <row r="60" spans="1:3" x14ac:dyDescent="0.2">
      <c r="A60" s="196"/>
      <c r="B60" s="1485" t="s">
        <v>1771</v>
      </c>
    </row>
    <row r="61" spans="1:3" ht="6" customHeight="1" x14ac:dyDescent="0.2">
      <c r="A61" s="197"/>
      <c r="B61" s="189"/>
    </row>
    <row r="62" spans="1:3" x14ac:dyDescent="0.2">
      <c r="A62" s="169" t="s">
        <v>1613</v>
      </c>
      <c r="B62" s="198" t="s">
        <v>1767</v>
      </c>
    </row>
    <row r="63" spans="1:3" x14ac:dyDescent="0.2">
      <c r="A63" s="188"/>
      <c r="B63" s="169" t="s">
        <v>1782</v>
      </c>
    </row>
    <row r="64" spans="1:3" x14ac:dyDescent="0.2">
      <c r="A64" s="195"/>
      <c r="B64" s="1487"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6" t="s">
        <v>1616</v>
      </c>
    </row>
    <row r="72" spans="1:9" ht="9" customHeight="1" x14ac:dyDescent="0.2">
      <c r="A72" s="192"/>
      <c r="B72" s="199"/>
    </row>
    <row r="73" spans="1:9" x14ac:dyDescent="0.2">
      <c r="A73" s="189" t="s">
        <v>1617</v>
      </c>
      <c r="B73" s="169" t="s">
        <v>1778</v>
      </c>
    </row>
    <row r="74" spans="1:9" x14ac:dyDescent="0.2">
      <c r="A74" s="189"/>
      <c r="B74" s="169" t="s">
        <v>1777</v>
      </c>
    </row>
    <row r="75" spans="1:9" ht="8.25" customHeight="1" x14ac:dyDescent="0.2">
      <c r="A75" s="189"/>
      <c r="B75" s="189"/>
    </row>
    <row r="76" spans="1:9" ht="12.2" customHeight="1" x14ac:dyDescent="0.2">
      <c r="A76" s="189" t="s">
        <v>1618</v>
      </c>
      <c r="B76" s="198" t="s">
        <v>1779</v>
      </c>
    </row>
    <row r="77" spans="1:9" ht="12.2" customHeight="1" x14ac:dyDescent="0.2">
      <c r="A77" s="190"/>
      <c r="B77" s="169" t="s">
        <v>1619</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1411</v>
      </c>
      <c r="D6" s="24"/>
    </row>
    <row r="7" spans="1:4" ht="13.5" customHeight="1" x14ac:dyDescent="0.2">
      <c r="A7" s="23"/>
      <c r="B7" s="25"/>
      <c r="C7" s="65" t="s">
        <v>1412</v>
      </c>
      <c r="D7" s="24"/>
    </row>
    <row r="8" spans="1:4" ht="13.5" customHeight="1" x14ac:dyDescent="0.2">
      <c r="A8" s="23"/>
      <c r="B8" s="146" t="s">
        <v>943</v>
      </c>
      <c r="C8" s="65" t="s">
        <v>1397</v>
      </c>
      <c r="D8" s="24"/>
    </row>
    <row r="9" spans="1:4" ht="13.5" customHeight="1" x14ac:dyDescent="0.2">
      <c r="A9" s="14"/>
      <c r="B9" s="144" t="s">
        <v>944</v>
      </c>
      <c r="C9" s="142" t="s">
        <v>1316</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1396</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1490</v>
      </c>
    </row>
    <row r="15" spans="1:6" x14ac:dyDescent="0.2">
      <c r="A15" s="389" t="s">
        <v>857</v>
      </c>
    </row>
    <row r="16" spans="1:6" s="1071" customFormat="1" ht="45" customHeight="1" x14ac:dyDescent="0.2">
      <c r="A16" s="1073"/>
      <c r="B16" s="1073" t="s">
        <v>1681</v>
      </c>
    </row>
    <row r="17" spans="1:2" ht="6" customHeight="1" x14ac:dyDescent="0.2"/>
    <row r="18" spans="1:2" ht="24.75" customHeight="1" x14ac:dyDescent="0.2">
      <c r="A18" s="2344" t="s">
        <v>1682</v>
      </c>
      <c r="B18" s="234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1687</v>
      </c>
      <c r="B1" s="2346"/>
      <c r="C1" s="2346"/>
      <c r="D1" s="2346"/>
      <c r="E1" s="2346"/>
      <c r="F1" s="2347"/>
    </row>
    <row r="2" spans="1:8" ht="45" customHeight="1" x14ac:dyDescent="0.2">
      <c r="A2" s="2355" t="s">
        <v>1979</v>
      </c>
      <c r="B2" s="2356"/>
      <c r="C2" s="2356"/>
      <c r="D2" s="2356"/>
      <c r="E2" s="2356"/>
      <c r="F2" s="2357"/>
      <c r="G2" s="1074"/>
      <c r="H2" s="1074"/>
    </row>
    <row r="3" spans="1:8" ht="57" customHeight="1" x14ac:dyDescent="0.2">
      <c r="A3" s="2358" t="s">
        <v>1683</v>
      </c>
      <c r="B3" s="2359"/>
      <c r="C3" s="2359"/>
      <c r="D3" s="2359"/>
      <c r="E3" s="2359"/>
      <c r="F3" s="2360"/>
      <c r="G3" s="1074"/>
      <c r="H3" s="1074"/>
    </row>
    <row r="4" spans="1:8" ht="14.25" customHeight="1" x14ac:dyDescent="0.2">
      <c r="A4" s="2364" t="s">
        <v>1980</v>
      </c>
      <c r="B4" s="2365"/>
      <c r="C4" s="2365"/>
      <c r="D4" s="2365"/>
      <c r="E4" s="2365"/>
      <c r="F4" s="2366"/>
      <c r="G4" s="1074"/>
      <c r="H4" s="1074"/>
    </row>
    <row r="5" spans="1:8" ht="14.25" customHeight="1" x14ac:dyDescent="0.2">
      <c r="A5" s="2367" t="s">
        <v>1976</v>
      </c>
      <c r="B5" s="2368"/>
      <c r="C5" s="2368"/>
      <c r="D5" s="2368"/>
      <c r="E5" s="2368"/>
      <c r="F5" s="2369"/>
      <c r="G5" s="1074"/>
      <c r="H5" s="1074"/>
    </row>
    <row r="6" spans="1:8" s="1075" customFormat="1" ht="41.25" customHeight="1" x14ac:dyDescent="0.2">
      <c r="A6" s="2361" t="s">
        <v>1688</v>
      </c>
      <c r="B6" s="2362"/>
      <c r="C6" s="2362"/>
      <c r="D6" s="2362"/>
      <c r="E6" s="2362"/>
      <c r="F6" s="2363"/>
    </row>
    <row r="7" spans="1:8" ht="42" customHeight="1" x14ac:dyDescent="0.2">
      <c r="A7" s="1076" t="s">
        <v>481</v>
      </c>
      <c r="B7" s="1077" t="s">
        <v>1493</v>
      </c>
      <c r="C7" s="1077" t="s">
        <v>1494</v>
      </c>
      <c r="D7" s="1077" t="s">
        <v>1492</v>
      </c>
      <c r="E7" s="1077" t="s">
        <v>1495</v>
      </c>
      <c r="F7" s="1077" t="s">
        <v>1364</v>
      </c>
    </row>
    <row r="8" spans="1:8" s="1079" customFormat="1" ht="14.25" customHeight="1" x14ac:dyDescent="0.2">
      <c r="A8" s="1078" t="s">
        <v>1365</v>
      </c>
      <c r="B8" s="1815">
        <f>'Acct Summary 7-8'!C8</f>
        <v>16118473</v>
      </c>
      <c r="C8" s="1815">
        <f>'Acct Summary 7-8'!D8</f>
        <v>0</v>
      </c>
      <c r="D8" s="1815">
        <f>'Acct Summary 7-8'!F8</f>
        <v>0</v>
      </c>
      <c r="E8" s="1815">
        <f>'Acct Summary 7-8'!I8</f>
        <v>0</v>
      </c>
      <c r="F8" s="1815">
        <f>SUM(B8:E8)</f>
        <v>16118473</v>
      </c>
    </row>
    <row r="9" spans="1:8" s="1079" customFormat="1" ht="14.25" customHeight="1" thickBot="1" x14ac:dyDescent="0.25">
      <c r="A9" s="1078" t="s">
        <v>1366</v>
      </c>
      <c r="B9" s="1816">
        <f>'Acct Summary 7-8'!C17</f>
        <v>14341392</v>
      </c>
      <c r="C9" s="1816">
        <f>'Acct Summary 7-8'!D17</f>
        <v>0</v>
      </c>
      <c r="D9" s="1816">
        <f>'Acct Summary 7-8'!F17</f>
        <v>0</v>
      </c>
      <c r="E9" s="1815"/>
      <c r="F9" s="1815">
        <f>SUM(B9:E9)</f>
        <v>14341392</v>
      </c>
    </row>
    <row r="10" spans="1:8" s="1079" customFormat="1" ht="14.25" thickTop="1" thickBot="1" x14ac:dyDescent="0.25">
      <c r="A10" s="1080" t="s">
        <v>1367</v>
      </c>
      <c r="B10" s="1817">
        <f>(B8-B9)</f>
        <v>1777081</v>
      </c>
      <c r="C10" s="1817">
        <f>(C8-C9)</f>
        <v>0</v>
      </c>
      <c r="D10" s="1817">
        <f>(D8-D9)</f>
        <v>0</v>
      </c>
      <c r="E10" s="1816">
        <f>(E8-E9)</f>
        <v>0</v>
      </c>
      <c r="F10" s="1818">
        <f>SUM(F8-F9)</f>
        <v>1777081</v>
      </c>
    </row>
    <row r="11" spans="1:8" s="1079" customFormat="1" ht="14.25" thickTop="1" thickBot="1" x14ac:dyDescent="0.25">
      <c r="A11" s="1081" t="s">
        <v>1977</v>
      </c>
      <c r="B11" s="1819">
        <f>'Acct Summary 7-8'!C81</f>
        <v>6199696</v>
      </c>
      <c r="C11" s="1819">
        <f>'Acct Summary 7-8'!D81</f>
        <v>0</v>
      </c>
      <c r="D11" s="1819">
        <f>'Acct Summary 7-8'!F81</f>
        <v>0</v>
      </c>
      <c r="E11" s="1819">
        <f>'Acct Summary 7-8'!I81</f>
        <v>0</v>
      </c>
      <c r="F11" s="1820">
        <f>SUM(B11:E11)</f>
        <v>6199696</v>
      </c>
    </row>
    <row r="12" spans="1:8" ht="16.5" customHeight="1" thickTop="1" x14ac:dyDescent="0.2">
      <c r="A12" s="1082"/>
      <c r="B12" s="1083"/>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4"/>
      <c r="B13" s="1085"/>
      <c r="C13" s="2349"/>
      <c r="D13" s="2350"/>
      <c r="E13" s="2350"/>
      <c r="F13" s="2351"/>
      <c r="H13" s="1074"/>
    </row>
    <row r="14" spans="1:8" ht="19.5" customHeight="1" x14ac:dyDescent="0.2">
      <c r="A14" s="1084"/>
      <c r="B14" s="1085"/>
      <c r="C14" s="2349"/>
      <c r="D14" s="2350"/>
      <c r="E14" s="2350"/>
      <c r="F14" s="2351"/>
      <c r="H14" s="1074"/>
    </row>
    <row r="15" spans="1:8" ht="17.25" customHeight="1" x14ac:dyDescent="0.2">
      <c r="A15" s="1084"/>
      <c r="B15" s="1085"/>
      <c r="C15" s="2352"/>
      <c r="D15" s="2353"/>
      <c r="E15" s="2353"/>
      <c r="F15" s="2354"/>
      <c r="H15" s="1074"/>
    </row>
    <row r="16" spans="1:8" s="310" customFormat="1" ht="51.75" hidden="1" customHeight="1" x14ac:dyDescent="0.2">
      <c r="A16" s="2348" t="s">
        <v>1684</v>
      </c>
      <c r="B16" s="2348"/>
      <c r="C16" s="2348"/>
      <c r="D16" s="2348"/>
      <c r="E16" s="2348"/>
      <c r="F16" s="310" t="s">
        <v>1368</v>
      </c>
    </row>
    <row r="17" spans="1:6" hidden="1" x14ac:dyDescent="0.2">
      <c r="A17" s="316" t="s">
        <v>1685</v>
      </c>
      <c r="F17" s="1086" t="s">
        <v>1369</v>
      </c>
    </row>
    <row r="18" spans="1:6" hidden="1" x14ac:dyDescent="0.2">
      <c r="A18" s="316" t="s">
        <v>1686</v>
      </c>
      <c r="F18" s="316" t="s">
        <v>1407</v>
      </c>
    </row>
    <row r="19" spans="1:6" hidden="1" x14ac:dyDescent="0.2">
      <c r="A19" s="316" t="s">
        <v>1406</v>
      </c>
      <c r="F19" s="316" t="s">
        <v>1371</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0" t="s">
        <v>665</v>
      </c>
      <c r="B3" s="2371"/>
      <c r="C3" s="2371"/>
      <c r="D3" s="2372"/>
    </row>
    <row r="4" spans="1:4" x14ac:dyDescent="0.2">
      <c r="A4" s="1152" t="s">
        <v>1689</v>
      </c>
      <c r="B4" s="1153"/>
      <c r="C4" s="1154"/>
      <c r="D4" s="1155"/>
    </row>
    <row r="5" spans="1:4" ht="21" customHeight="1" x14ac:dyDescent="0.2">
      <c r="A5" s="1148"/>
      <c r="B5" s="1149">
        <v>1</v>
      </c>
      <c r="C5" s="1150" t="s">
        <v>1829</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1" t="s">
        <v>1501</v>
      </c>
      <c r="D7" s="2382"/>
    </row>
    <row r="8" spans="1:4" s="668" customFormat="1" ht="12.75" x14ac:dyDescent="0.2">
      <c r="A8" s="1138"/>
      <c r="B8" s="1093"/>
      <c r="C8" s="1096" t="s">
        <v>1500</v>
      </c>
      <c r="D8" s="1097"/>
    </row>
    <row r="9" spans="1:4" s="668" customFormat="1" ht="14.25" customHeight="1" x14ac:dyDescent="0.2">
      <c r="A9" s="1138"/>
      <c r="B9" s="1093">
        <f>B7+1</f>
        <v>4</v>
      </c>
      <c r="C9" s="1094" t="s">
        <v>1906</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1502</v>
      </c>
      <c r="D14" s="1137"/>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6" t="s">
        <v>1690</v>
      </c>
      <c r="B17" s="1157"/>
      <c r="C17" s="1158"/>
      <c r="D17" s="1159"/>
    </row>
    <row r="18" spans="1:10" s="668" customFormat="1" ht="12.75" customHeight="1" x14ac:dyDescent="0.2">
      <c r="A18" s="1160" t="s">
        <v>1691</v>
      </c>
      <c r="B18" s="1161"/>
      <c r="C18" s="1162"/>
      <c r="D18" s="1163"/>
    </row>
    <row r="19" spans="1:10" ht="6.75" customHeight="1" thickBot="1" x14ac:dyDescent="0.25">
      <c r="A19" s="1164"/>
      <c r="B19" s="1165"/>
      <c r="C19" s="1166"/>
      <c r="D19" s="1167"/>
    </row>
    <row r="20" spans="1:10" s="1171" customFormat="1" ht="12.75" thickTop="1" x14ac:dyDescent="0.2">
      <c r="A20" s="1168"/>
      <c r="B20" s="1169" t="s">
        <v>1692</v>
      </c>
      <c r="C20" s="1170"/>
      <c r="D20" s="1173" t="s">
        <v>710</v>
      </c>
    </row>
    <row r="21" spans="1:10" x14ac:dyDescent="0.2">
      <c r="A21" s="1098"/>
      <c r="B21" s="1099">
        <v>1</v>
      </c>
      <c r="C21" s="2385" t="s">
        <v>314</v>
      </c>
      <c r="D21" s="2386"/>
    </row>
    <row r="22" spans="1:10" ht="12.75" x14ac:dyDescent="0.2">
      <c r="A22" s="1139"/>
      <c r="B22" s="1140">
        <v>2</v>
      </c>
      <c r="C22" s="2383" t="s">
        <v>1521</v>
      </c>
      <c r="D22" s="238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1329</v>
      </c>
      <c r="D24" s="1142" t="str">
        <f>IF(COVER!O11="X","OK",IF(AND('Aud Quest 2'!J90=0,'Aud Quest 2'!I77&lt;DATE(2017,12,31)),"ENTER ACCOUNTING INFO",IF(AND('Aud Quest 2'!J90&gt;0,'Aud Quest 2'!I77&lt;DATE(2017,12,31)),"OK")))</f>
        <v>OK</v>
      </c>
    </row>
    <row r="25" spans="1:10" x14ac:dyDescent="0.2">
      <c r="A25" s="1100"/>
      <c r="B25" s="1101"/>
      <c r="C25" s="1102" t="s">
        <v>1523</v>
      </c>
      <c r="D25" s="1103" t="str">
        <f>IF(AND(COVER!J29="X",COVER!J30="X",COVER!L30&lt;&gt;"X"),"OK",IF(AND(COVER!J29="X",COVER!J30&lt;&gt;"X",COVER!L30="X"),"OK",IF(AND(COVER!L29="X",COVER!J30&lt;&gt;"X"),"OK","PLEASE CHECK YES or NO.")))</f>
        <v>OK</v>
      </c>
    </row>
    <row r="26" spans="1:10" x14ac:dyDescent="0.2">
      <c r="A26" s="1100"/>
      <c r="B26" s="1143"/>
      <c r="C26" s="1104" t="s">
        <v>1522</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7" t="s">
        <v>536</v>
      </c>
      <c r="D43" s="2388"/>
    </row>
    <row r="44" spans="1:12" x14ac:dyDescent="0.2">
      <c r="A44" s="1119"/>
      <c r="B44" s="1121"/>
      <c r="C44" s="1122" t="s">
        <v>1332</v>
      </c>
      <c r="D44" s="1123" t="str">
        <f>IF(SUM('Assets-Liab 5-6'!C13)&lt;&gt;SUM('Assets-Liab 5-6'!C41),"ERROR!","OK")</f>
        <v>OK</v>
      </c>
    </row>
    <row r="45" spans="1:12" x14ac:dyDescent="0.2">
      <c r="A45" s="1119"/>
      <c r="B45" s="1121"/>
      <c r="C45" s="1122" t="s">
        <v>1333</v>
      </c>
      <c r="D45" s="1123" t="str">
        <f>IF(SUM('Assets-Liab 5-6'!D13)&lt;&gt;SUM('Assets-Liab 5-6'!D41),"ERROR!","OK")</f>
        <v>OK</v>
      </c>
    </row>
    <row r="46" spans="1:12" x14ac:dyDescent="0.2">
      <c r="A46" s="1119"/>
      <c r="B46" s="1121"/>
      <c r="C46" s="1122" t="s">
        <v>1334</v>
      </c>
      <c r="D46" s="1123" t="str">
        <f>IF(SUM('Assets-Liab 5-6'!E13)&lt;&gt;SUM('Assets-Liab 5-6'!E41),"ERROR!","OK")</f>
        <v>OK</v>
      </c>
    </row>
    <row r="47" spans="1:12" x14ac:dyDescent="0.2">
      <c r="A47" s="1119"/>
      <c r="B47" s="1121"/>
      <c r="C47" s="1122" t="s">
        <v>1335</v>
      </c>
      <c r="D47" s="1123" t="str">
        <f>IF(SUM('Assets-Liab 5-6'!F13)&lt;&gt;SUM('Assets-Liab 5-6'!F41),"ERROR!","OK")</f>
        <v>OK</v>
      </c>
    </row>
    <row r="48" spans="1:12" x14ac:dyDescent="0.2">
      <c r="A48" s="1119"/>
      <c r="B48" s="1121"/>
      <c r="C48" s="1122" t="s">
        <v>1336</v>
      </c>
      <c r="D48" s="1123" t="str">
        <f>IF(SUM('Assets-Liab 5-6'!G13)&lt;&gt;SUM('Assets-Liab 5-6'!G41),"ERROR!","OK")</f>
        <v>OK</v>
      </c>
    </row>
    <row r="49" spans="1:4" x14ac:dyDescent="0.2">
      <c r="A49" s="1119"/>
      <c r="B49" s="1121"/>
      <c r="C49" s="1122" t="s">
        <v>1337</v>
      </c>
      <c r="D49" s="1123" t="str">
        <f>IF(SUM('Assets-Liab 5-6'!H13)&lt;&gt;SUM('Assets-Liab 5-6'!H41),"ERROR!","OK")</f>
        <v>OK</v>
      </c>
    </row>
    <row r="50" spans="1:4" x14ac:dyDescent="0.2">
      <c r="A50" s="1119"/>
      <c r="B50" s="1121"/>
      <c r="C50" s="1122" t="s">
        <v>1338</v>
      </c>
      <c r="D50" s="1123" t="str">
        <f>IF(SUM('Assets-Liab 5-6'!I13)&lt;&gt;SUM('Assets-Liab 5-6'!I41),"ERROR!","OK")</f>
        <v>OK</v>
      </c>
    </row>
    <row r="51" spans="1:4" x14ac:dyDescent="0.2">
      <c r="A51" s="1119"/>
      <c r="B51" s="1121"/>
      <c r="C51" s="1122" t="s">
        <v>1339</v>
      </c>
      <c r="D51" s="1123" t="str">
        <f>IF(SUM('Assets-Liab 5-6'!J13)&lt;&gt;SUM('Assets-Liab 5-6'!J41),"ERROR!","OK")</f>
        <v>OK</v>
      </c>
    </row>
    <row r="52" spans="1:4" x14ac:dyDescent="0.2">
      <c r="A52" s="1119"/>
      <c r="B52" s="1121"/>
      <c r="C52" s="1122" t="s">
        <v>1340</v>
      </c>
      <c r="D52" s="1123" t="str">
        <f>IF(SUM('Assets-Liab 5-6'!K13)&lt;&gt;SUM('Assets-Liab 5-6'!K41),"ERROR!","OK")</f>
        <v>OK</v>
      </c>
    </row>
    <row r="53" spans="1:4" x14ac:dyDescent="0.2">
      <c r="A53" s="1119"/>
      <c r="B53" s="1121"/>
      <c r="C53" s="1122" t="s">
        <v>1341</v>
      </c>
      <c r="D53" s="1123" t="str">
        <f>IF(SUM('Assets-Liab 5-6'!L13)&lt;&gt;('Assets-Liab 5-6'!L41),"ERROR!","OK")</f>
        <v>OK</v>
      </c>
    </row>
    <row r="54" spans="1:4" x14ac:dyDescent="0.2">
      <c r="A54" s="1119"/>
      <c r="B54" s="1121"/>
      <c r="C54" s="1122" t="s">
        <v>1342</v>
      </c>
      <c r="D54" s="1123" t="str">
        <f>IF(SUM('Assets-Liab 5-6'!M23)&lt;&gt;('Assets-Liab 5-6'!M41),"ERROR!","OK")</f>
        <v>OK</v>
      </c>
    </row>
    <row r="55" spans="1:4" x14ac:dyDescent="0.2">
      <c r="A55" s="1119"/>
      <c r="B55" s="1121"/>
      <c r="C55" s="1122" t="s">
        <v>1343</v>
      </c>
      <c r="D55" s="1123" t="str">
        <f>IF(SUM('Assets-Liab 5-6'!N23)&lt;&gt;('Assets-Liab 5-6'!N41),"ERROR!","OK")</f>
        <v>OK</v>
      </c>
    </row>
    <row r="56" spans="1:4" x14ac:dyDescent="0.2">
      <c r="A56" s="1100"/>
      <c r="B56" s="1120">
        <f>B43+1</f>
        <v>6</v>
      </c>
      <c r="C56" s="2379" t="s">
        <v>784</v>
      </c>
      <c r="D56" s="2380"/>
    </row>
    <row r="57" spans="1:4" s="1116" customFormat="1" x14ac:dyDescent="0.2">
      <c r="A57" s="1100"/>
      <c r="B57" s="1110"/>
      <c r="C57" s="1118" t="s">
        <v>1344</v>
      </c>
      <c r="D57" s="1124" t="str">
        <f>IF('Assets-Liab 5-6'!C38+'Assets-Liab 5-6'!C39='Acct Summary 7-8'!C81,"OK","ERROR!")</f>
        <v>OK</v>
      </c>
    </row>
    <row r="58" spans="1:4" x14ac:dyDescent="0.2">
      <c r="A58" s="1100"/>
      <c r="B58" s="1110"/>
      <c r="C58" s="1118" t="s">
        <v>1345</v>
      </c>
      <c r="D58" s="1124" t="str">
        <f>IF((('Assets-Liab 5-6'!D38+'Assets-Liab 5-6'!D39) ='Acct Summary 7-8'!D81), "OK", "ERROR!" )</f>
        <v>OK</v>
      </c>
    </row>
    <row r="59" spans="1:4" s="1116" customFormat="1" x14ac:dyDescent="0.2">
      <c r="A59" s="1100"/>
      <c r="B59" s="1110"/>
      <c r="C59" s="1118" t="s">
        <v>1346</v>
      </c>
      <c r="D59" s="1124" t="str">
        <f>IF((('Assets-Liab 5-6'!E38 + 'Assets-Liab 5-6'!E39) ='Acct Summary 7-8'!E81), "OK", "ERROR!" )</f>
        <v>OK</v>
      </c>
    </row>
    <row r="60" spans="1:4" x14ac:dyDescent="0.2">
      <c r="A60" s="1100"/>
      <c r="B60" s="1110"/>
      <c r="C60" s="1118" t="s">
        <v>1347</v>
      </c>
      <c r="D60" s="1124" t="str">
        <f>IF((('Assets-Liab 5-6'!F38 + 'Assets-Liab 5-6'!F39) ='Acct Summary 7-8'!F81), "OK", "ERROR!" )</f>
        <v>OK</v>
      </c>
    </row>
    <row r="61" spans="1:4" ht="12.75" customHeight="1" x14ac:dyDescent="0.2">
      <c r="A61" s="1100"/>
      <c r="B61" s="1110"/>
      <c r="C61" s="1118" t="s">
        <v>1360</v>
      </c>
      <c r="D61" s="1124" t="str">
        <f>IF((('Assets-Liab 5-6'!G38 + 'Assets-Liab 5-6'!G39) ='Acct Summary 7-8'!G81), "OK", "ERROR!" )</f>
        <v>OK</v>
      </c>
    </row>
    <row r="62" spans="1:4" x14ac:dyDescent="0.2">
      <c r="A62" s="1100"/>
      <c r="B62" s="1110"/>
      <c r="C62" s="1118" t="s">
        <v>1348</v>
      </c>
      <c r="D62" s="1124" t="str">
        <f>IF((('Assets-Liab 5-6'!H38 + 'Assets-Liab 5-6'!H39) ='Acct Summary 7-8'!H81), "OK", "ERROR!" )</f>
        <v>OK</v>
      </c>
    </row>
    <row r="63" spans="1:4" ht="12.75" customHeight="1" x14ac:dyDescent="0.2">
      <c r="A63" s="1100"/>
      <c r="B63" s="1110"/>
      <c r="C63" s="1118" t="s">
        <v>1349</v>
      </c>
      <c r="D63" s="1124" t="str">
        <f>IF((('Assets-Liab 5-6'!I38 + 'Assets-Liab 5-6'!I39) ='Acct Summary 7-8'!I81), "OK", "ERROR!" )</f>
        <v>OK</v>
      </c>
    </row>
    <row r="64" spans="1:4" x14ac:dyDescent="0.2">
      <c r="A64" s="1100"/>
      <c r="B64" s="1110"/>
      <c r="C64" s="1118" t="s">
        <v>1350</v>
      </c>
      <c r="D64" s="1124" t="str">
        <f>IF((('Assets-Liab 5-6'!J38 + 'Assets-Liab 5-6'!J39) ='Acct Summary 7-8'!J81), "OK", "ERROR!" )</f>
        <v>OK</v>
      </c>
    </row>
    <row r="65" spans="1:4" x14ac:dyDescent="0.2">
      <c r="A65" s="1117"/>
      <c r="B65" s="1110"/>
      <c r="C65" s="1118" t="s">
        <v>1361</v>
      </c>
      <c r="D65" s="1124" t="str">
        <f>IF((('Assets-Liab 5-6'!K38 + 'Assets-Liab 5-6'!K39) ='Acct Summary 7-8'!K81), "OK", "ERROR!" )</f>
        <v>OK</v>
      </c>
    </row>
    <row r="66" spans="1:4" x14ac:dyDescent="0.2">
      <c r="A66" s="1098"/>
      <c r="B66" s="1140">
        <f>B56+1+1</f>
        <v>8</v>
      </c>
      <c r="C66" s="1146" t="s">
        <v>1907</v>
      </c>
      <c r="D66" s="1125"/>
    </row>
    <row r="67" spans="1:4" x14ac:dyDescent="0.2">
      <c r="A67" s="1119"/>
      <c r="B67" s="1140"/>
      <c r="C67" s="1147" t="s">
        <v>1021</v>
      </c>
      <c r="D67" s="1125"/>
    </row>
    <row r="68" spans="1:4" x14ac:dyDescent="0.2">
      <c r="A68" s="1100"/>
      <c r="B68" s="1110"/>
      <c r="C68" s="1102" t="s">
        <v>1908</v>
      </c>
      <c r="D68" s="1124" t="str">
        <f>IF('Short-Term Long-Term Debt 24'!F49=SUM(,'Acct Summary 7-8'!C33:K33),"OK","ERROR!")</f>
        <v>OK</v>
      </c>
    </row>
    <row r="69" spans="1:4" x14ac:dyDescent="0.2">
      <c r="A69" s="1100"/>
      <c r="B69" s="1110"/>
      <c r="C69" s="1102" t="s">
        <v>1909</v>
      </c>
      <c r="D69" s="1124" t="str">
        <f>IF('Expenditures 15-22'!H170&lt;&gt;'Short-Term Long-Term Debt 24'!H49,"ERROR!","OK")</f>
        <v>OK</v>
      </c>
    </row>
    <row r="70" spans="1:4" x14ac:dyDescent="0.2">
      <c r="A70" s="1098"/>
      <c r="B70" s="1120">
        <f>B66+1</f>
        <v>9</v>
      </c>
      <c r="C70" s="2379" t="s">
        <v>1693</v>
      </c>
      <c r="D70" s="2380"/>
    </row>
    <row r="71" spans="1:4" x14ac:dyDescent="0.2">
      <c r="A71" s="1098"/>
      <c r="B71" s="1120"/>
      <c r="C71" s="1102" t="s">
        <v>1351</v>
      </c>
      <c r="D71" s="1126" t="str">
        <f>IF(SUM('Acct Summary 7-8'!C27:K27) =SUM( 'Acct Summary 7-8'!C49:K49),"OK", "ERROR")</f>
        <v>OK</v>
      </c>
    </row>
    <row r="72" spans="1:4" x14ac:dyDescent="0.2">
      <c r="A72" s="1100"/>
      <c r="B72" s="1110"/>
      <c r="C72" s="1118" t="s">
        <v>1352</v>
      </c>
      <c r="D72" s="1124" t="str">
        <f>IF(SUM('Acct Summary 7-8'!C28:K28)=SUM('Acct Summary 7-8'!C50:K50),"OK","ERROR!")</f>
        <v>OK</v>
      </c>
    </row>
    <row r="73" spans="1:4" ht="24" x14ac:dyDescent="0.2">
      <c r="A73" s="1127"/>
      <c r="B73" s="1110"/>
      <c r="C73" s="1118" t="s">
        <v>1694</v>
      </c>
      <c r="D73" s="1126" t="str">
        <f>IF(SUM('Acct Summary 7-8'!C42:K42)&gt;=SUM( 'Acct Summary 7-8'!C74:K74),"OK", "ERROR")</f>
        <v>OK</v>
      </c>
    </row>
    <row r="74" spans="1:4" x14ac:dyDescent="0.2">
      <c r="A74" s="1098"/>
      <c r="B74" s="1120">
        <f>B70+1</f>
        <v>10</v>
      </c>
      <c r="C74" s="1114" t="s">
        <v>1910</v>
      </c>
      <c r="D74" s="1128"/>
    </row>
    <row r="75" spans="1:4" x14ac:dyDescent="0.2">
      <c r="A75" s="1100"/>
      <c r="B75" s="1110"/>
      <c r="C75" s="1118" t="s">
        <v>1374</v>
      </c>
      <c r="D75" s="1124" t="str">
        <f>IF(SUM('Assets-Liab 5-6'!C38:H38)&gt;=SUM('Rest Tax Levies-Tort Im 25'!G25:K25),"OK","ERROR")</f>
        <v>OK</v>
      </c>
    </row>
    <row r="76" spans="1:4" x14ac:dyDescent="0.2">
      <c r="A76" s="1100"/>
      <c r="B76" s="1110"/>
      <c r="C76" s="1118" t="s">
        <v>1415</v>
      </c>
      <c r="D76" s="1124" t="str">
        <f>IF(SUM('Assets-Liab 5-6'!C39:K39)&gt;0,"OK","ENTRY IS REQUIRED!")</f>
        <v>OK</v>
      </c>
    </row>
    <row r="77" spans="1:4" x14ac:dyDescent="0.2">
      <c r="A77" s="1100"/>
      <c r="B77" s="1129">
        <f>B74+1</f>
        <v>11</v>
      </c>
      <c r="C77" s="1174" t="s">
        <v>1375</v>
      </c>
      <c r="D77" s="1124"/>
    </row>
    <row r="78" spans="1:4" x14ac:dyDescent="0.2">
      <c r="A78" s="1100"/>
      <c r="B78" s="1110"/>
      <c r="C78" s="1118" t="s">
        <v>1911</v>
      </c>
      <c r="D78" s="1124" t="str">
        <f>IF(ISNUMBER('Acct Summary 7-8'!C9),"OK","ENTRY IS REQUIRED!")</f>
        <v>OK</v>
      </c>
    </row>
    <row r="79" spans="1:4" x14ac:dyDescent="0.2">
      <c r="A79" s="1119"/>
      <c r="B79" s="1120">
        <f>B74+1+1</f>
        <v>12</v>
      </c>
      <c r="C79" s="1130" t="s">
        <v>1896</v>
      </c>
      <c r="D79" s="1131" t="str">
        <f>IF(OR(COVER!$B$6="X",'PCTC-OEPP 27-28'!F78&gt;0),"OK","PLEASE ENTER 9 MO ADA.")</f>
        <v>OK</v>
      </c>
    </row>
    <row r="80" spans="1:4" x14ac:dyDescent="0.2">
      <c r="A80" s="1098"/>
      <c r="B80" s="1120">
        <v>13</v>
      </c>
      <c r="C80" s="1130" t="s">
        <v>1912</v>
      </c>
      <c r="D80" s="1131" t="str">
        <f>IF('Contracts Paid in CY 29'!D142&gt;0,"OK","PLEASE ENTER CONTRACTS PAID IN CURRENT YEAR.")</f>
        <v>PLEASE ENTER CONTRACTS PAID IN CURRENT YEAR.</v>
      </c>
    </row>
    <row r="81" spans="1:4" x14ac:dyDescent="0.2">
      <c r="A81" s="1098"/>
      <c r="B81" s="1120">
        <v>14</v>
      </c>
      <c r="C81" s="1130" t="s">
        <v>1421</v>
      </c>
      <c r="D81" s="1123" t="str">
        <f>IF('Shared Outsourced Services 31'!B8="X","OK",IF('Shared Outsourced Services 31'!K34&gt;0,"OK","ENTRY REQUIRED!"))</f>
        <v>OK</v>
      </c>
    </row>
    <row r="82" spans="1:4" x14ac:dyDescent="0.2">
      <c r="A82" s="1119"/>
      <c r="B82" s="1120">
        <v>15</v>
      </c>
      <c r="C82" s="1130" t="s">
        <v>1420</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4872000061</v>
      </c>
    </row>
    <row r="3" spans="1:2" x14ac:dyDescent="0.2">
      <c r="A3" t="s">
        <v>956</v>
      </c>
      <c r="B3" s="138" t="str">
        <f>COVER!A15</f>
        <v>Peoria</v>
      </c>
    </row>
    <row r="4" spans="1:2" x14ac:dyDescent="0.2">
      <c r="A4" t="s">
        <v>1007</v>
      </c>
      <c r="B4" s="138" t="str">
        <f>COVER!A17</f>
        <v>Spec Educ Assoc of Peoria County</v>
      </c>
    </row>
    <row r="5" spans="1:2" x14ac:dyDescent="0.2">
      <c r="A5" t="s">
        <v>704</v>
      </c>
      <c r="B5" s="138" t="str">
        <f>COVER!A38</f>
        <v>Lora Haas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476</v>
      </c>
      <c r="B14" s="138" t="str">
        <f>IF(COVER!J31="x","Yes",IF(COVER!L31="x","No",0))</f>
        <v>Yes</v>
      </c>
    </row>
    <row r="15" spans="1:2" x14ac:dyDescent="0.2">
      <c r="A15" t="s">
        <v>577</v>
      </c>
      <c r="B15" s="138" t="str">
        <f>COVER!T23</f>
        <v>066-004450</v>
      </c>
    </row>
    <row r="16" spans="1:2" x14ac:dyDescent="0.2">
      <c r="A16" t="s">
        <v>422</v>
      </c>
      <c r="B16" s="138" t="str">
        <f>COVER!T13</f>
        <v>CliftonLarsonAllen LLP</v>
      </c>
    </row>
    <row r="17" spans="1:2" x14ac:dyDescent="0.2">
      <c r="A17" t="s">
        <v>884</v>
      </c>
      <c r="B17" s="138" t="str">
        <f>COVER!T15</f>
        <v>Adam Pulley</v>
      </c>
    </row>
    <row r="18" spans="1:2" x14ac:dyDescent="0.2">
      <c r="A18" t="s">
        <v>1150</v>
      </c>
      <c r="B18" s="138" t="str">
        <f>COVER!T17</f>
        <v>301 SW Adams Street, Suite 1000</v>
      </c>
    </row>
    <row r="19" spans="1:2" x14ac:dyDescent="0.2">
      <c r="A19" t="s">
        <v>886</v>
      </c>
      <c r="B19" s="138" t="str">
        <f>COVER!T25</f>
        <v>adam.pulley@claconnect.com</v>
      </c>
    </row>
    <row r="20" spans="1:2" x14ac:dyDescent="0.2">
      <c r="A20" t="s">
        <v>887</v>
      </c>
      <c r="B20" s="138" t="str">
        <f>COVER!T19</f>
        <v>Peoria</v>
      </c>
    </row>
    <row r="21" spans="1:2" x14ac:dyDescent="0.2">
      <c r="A21" t="s">
        <v>479</v>
      </c>
      <c r="B21" s="138" t="str">
        <f>COVER!X19</f>
        <v>IL</v>
      </c>
    </row>
    <row r="22" spans="1:2" x14ac:dyDescent="0.2">
      <c r="A22" t="s">
        <v>888</v>
      </c>
      <c r="B22" s="138">
        <f>COVER!Z19</f>
        <v>61602</v>
      </c>
    </row>
    <row r="23" spans="1:2" x14ac:dyDescent="0.2">
      <c r="A23" t="s">
        <v>1152</v>
      </c>
      <c r="B23" s="138" t="str">
        <f>COVER!T21</f>
        <v>309-671-4500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1478</v>
      </c>
      <c r="B49" s="138" t="str">
        <f>IF('Aud Quest 2'!B53="x","Yes",IF('Aud Quest 2'!B53&lt;&gt;"x","0"))</f>
        <v>0</v>
      </c>
    </row>
    <row r="50" spans="1:4" x14ac:dyDescent="0.2">
      <c r="A50" s="1" t="s">
        <v>1477</v>
      </c>
      <c r="B50" s="150">
        <f>'Aud Quest 2'!H53</f>
        <v>0</v>
      </c>
    </row>
    <row r="51" spans="1:4" x14ac:dyDescent="0.2">
      <c r="A51" s="1" t="s">
        <v>1479</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23414</v>
      </c>
      <c r="D76" s="2" t="str">
        <f t="shared" si="0"/>
        <v>Error?</v>
      </c>
    </row>
    <row r="77" spans="1:4" x14ac:dyDescent="0.2">
      <c r="A77" s="5">
        <v>16</v>
      </c>
      <c r="B77" s="138">
        <f>'Assets-Liab 5-6'!C13</f>
        <v>6199696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6199696</v>
      </c>
      <c r="D92" s="2" t="str">
        <f t="shared" si="0"/>
        <v>Error?</v>
      </c>
    </row>
    <row r="93" spans="1:4" x14ac:dyDescent="0.2">
      <c r="A93" s="5">
        <v>32</v>
      </c>
      <c r="B93" s="138">
        <f>'Assets-Liab 5-6'!C41</f>
        <v>6199696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587373</v>
      </c>
      <c r="D274" s="2" t="str">
        <f t="shared" si="3"/>
        <v>Error?</v>
      </c>
    </row>
    <row r="275" spans="1:4" x14ac:dyDescent="0.2">
      <c r="A275" s="5">
        <v>214</v>
      </c>
      <c r="B275" s="138">
        <f>'Assets-Liab 5-6'!M18</f>
        <v>0</v>
      </c>
      <c r="D275" s="2" t="str">
        <f t="shared" si="3"/>
        <v>Error?</v>
      </c>
    </row>
    <row r="276" spans="1:4" x14ac:dyDescent="0.2">
      <c r="A276" s="5">
        <v>215</v>
      </c>
      <c r="B276" s="138">
        <f>'Assets-Liab 5-6'!M19</f>
        <v>169510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756883</v>
      </c>
      <c r="C279" s="2" t="s">
        <v>573</v>
      </c>
      <c r="D279" s="2" t="str">
        <f t="shared" si="3"/>
        <v>Error?</v>
      </c>
    </row>
    <row r="280" spans="1:4" x14ac:dyDescent="0.2">
      <c r="A280" s="5">
        <v>219</v>
      </c>
      <c r="B280" s="138">
        <f>'Assets-Liab 5-6'!M40</f>
        <v>756883</v>
      </c>
      <c r="D280" s="2" t="str">
        <f t="shared" si="3"/>
        <v>Error?</v>
      </c>
    </row>
    <row r="281" spans="1:4" x14ac:dyDescent="0.2">
      <c r="A281" s="5">
        <v>220</v>
      </c>
      <c r="B281" s="138">
        <f>'Assets-Liab 5-6'!M41</f>
        <v>756883</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145077</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5575279</v>
      </c>
      <c r="C720" s="2" t="s">
        <v>573</v>
      </c>
      <c r="D720" s="2" t="str">
        <f t="shared" si="10"/>
        <v>Error?</v>
      </c>
    </row>
    <row r="721" spans="1:4" x14ac:dyDescent="0.2">
      <c r="A721" s="5">
        <v>660</v>
      </c>
      <c r="B721" s="138">
        <f>'Expenditures 15-22'!C36</f>
        <v>922564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889232</v>
      </c>
      <c r="D723" s="2" t="str">
        <f t="shared" si="10"/>
        <v>Error?</v>
      </c>
    </row>
    <row r="724" spans="1:4" x14ac:dyDescent="0.2">
      <c r="A724" s="5">
        <v>663</v>
      </c>
      <c r="B724" s="138">
        <f>'Expenditures 15-22'!C39</f>
        <v>599945</v>
      </c>
      <c r="D724" s="2" t="str">
        <f t="shared" si="10"/>
        <v>Error?</v>
      </c>
    </row>
    <row r="725" spans="1:4" x14ac:dyDescent="0.2">
      <c r="A725" s="5">
        <v>664</v>
      </c>
      <c r="B725" s="138">
        <f>'Expenditures 15-22'!C40</f>
        <v>787351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3199092</v>
      </c>
      <c r="C727" s="2" t="s">
        <v>573</v>
      </c>
      <c r="D727" s="2" t="str">
        <f t="shared" si="10"/>
        <v>Error?</v>
      </c>
    </row>
    <row r="728" spans="1:4" x14ac:dyDescent="0.2">
      <c r="A728" s="5">
        <v>667</v>
      </c>
      <c r="B728" s="138">
        <f>'Expenditures 15-22'!C44</f>
        <v>656493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656493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943087</v>
      </c>
      <c r="D733" s="2" t="str">
        <f t="shared" si="10"/>
        <v>Error?</v>
      </c>
    </row>
    <row r="734" spans="1:4" x14ac:dyDescent="0.2">
      <c r="A734" s="5">
        <v>673</v>
      </c>
      <c r="B734" s="138">
        <f>'Expenditures 15-22'!C53</f>
        <v>943087</v>
      </c>
      <c r="C734" s="2" t="s">
        <v>573</v>
      </c>
      <c r="D734" s="2" t="str">
        <f t="shared" si="10"/>
        <v>Error?</v>
      </c>
    </row>
    <row r="735" spans="1:4" x14ac:dyDescent="0.2">
      <c r="A735" s="5">
        <v>674</v>
      </c>
      <c r="B735" s="138">
        <f>'Expenditures 15-22'!C55</f>
        <v>104914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104914</v>
      </c>
      <c r="C737" s="2" t="s">
        <v>573</v>
      </c>
      <c r="D737" s="2" t="str">
        <f t="shared" si="10"/>
        <v>Error?</v>
      </c>
    </row>
    <row r="738" spans="1:4" x14ac:dyDescent="0.2">
      <c r="A738" s="5">
        <v>677</v>
      </c>
      <c r="B738" s="138">
        <f>'Expenditures 15-22'!C59</f>
        <v>97955</v>
      </c>
      <c r="D738" s="2" t="str">
        <f t="shared" si="10"/>
        <v>Error?</v>
      </c>
    </row>
    <row r="739" spans="1:4" x14ac:dyDescent="0.2">
      <c r="A739" s="5">
        <v>678</v>
      </c>
      <c r="B739" s="138">
        <f>'Expenditures 15-22'!C60</f>
        <v>74319</v>
      </c>
      <c r="D739" s="2" t="str">
        <f t="shared" si="10"/>
        <v>Error?</v>
      </c>
    </row>
    <row r="740" spans="1:4" x14ac:dyDescent="0.2">
      <c r="A740" s="5">
        <v>679</v>
      </c>
      <c r="B740" s="138">
        <f>'Expenditures 15-22'!C61</f>
        <v>3293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175567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5079153</v>
      </c>
      <c r="C755" s="2" t="s">
        <v>573</v>
      </c>
      <c r="D755" s="2" t="str">
        <f t="shared" si="10"/>
        <v>Error?</v>
      </c>
    </row>
    <row r="756" spans="1:4" x14ac:dyDescent="0.2">
      <c r="A756" s="5">
        <v>695</v>
      </c>
      <c r="B756" s="138">
        <f>'Expenditures 15-22'!C75</f>
        <v>93621</v>
      </c>
      <c r="D756" s="2" t="str">
        <f t="shared" si="10"/>
        <v>Error?</v>
      </c>
    </row>
    <row r="757" spans="1:4" x14ac:dyDescent="0.2">
      <c r="A757" s="5">
        <v>696</v>
      </c>
      <c r="B757" s="138">
        <f>'Expenditures 15-22'!C114</f>
        <v>10748053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40041</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880698</v>
      </c>
      <c r="C778" s="2" t="s">
        <v>573</v>
      </c>
      <c r="D778" s="2" t="str">
        <f t="shared" si="11"/>
        <v>Error?</v>
      </c>
    </row>
    <row r="779" spans="1:4" x14ac:dyDescent="0.2">
      <c r="A779" s="5">
        <v>718</v>
      </c>
      <c r="B779" s="138">
        <f>'Expenditures 15-22'!D36</f>
        <v>84369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135476</v>
      </c>
      <c r="D781" s="2" t="str">
        <f t="shared" si="11"/>
        <v>Error?</v>
      </c>
    </row>
    <row r="782" spans="1:4" x14ac:dyDescent="0.2">
      <c r="A782" s="5">
        <v>721</v>
      </c>
      <c r="B782" s="138">
        <f>'Expenditures 15-22'!D39</f>
        <v>40083</v>
      </c>
      <c r="D782" s="2" t="str">
        <f t="shared" si="11"/>
        <v>Error?</v>
      </c>
    </row>
    <row r="783" spans="1:4" x14ac:dyDescent="0.2">
      <c r="A783" s="5">
        <v>722</v>
      </c>
      <c r="B783" s="138">
        <f>'Expenditures 15-22'!D40</f>
        <v>83449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343377</v>
      </c>
      <c r="C785" s="2" t="s">
        <v>573</v>
      </c>
      <c r="D785" s="2" t="str">
        <f t="shared" si="11"/>
        <v>Error?</v>
      </c>
    </row>
    <row r="786" spans="1:4" x14ac:dyDescent="0.2">
      <c r="A786" s="5">
        <v>725</v>
      </c>
      <c r="B786" s="138">
        <f>'Expenditures 15-22'!D44</f>
        <v>112034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112034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195159</v>
      </c>
      <c r="D791" s="2" t="str">
        <f t="shared" si="11"/>
        <v>Error?</v>
      </c>
    </row>
    <row r="792" spans="1:4" x14ac:dyDescent="0.2">
      <c r="A792" s="5">
        <v>731</v>
      </c>
      <c r="B792" s="138">
        <f>'Expenditures 15-22'!D53</f>
        <v>195159</v>
      </c>
      <c r="C792" s="2" t="s">
        <v>573</v>
      </c>
      <c r="D792" s="2" t="str">
        <f t="shared" si="11"/>
        <v>Error?</v>
      </c>
    </row>
    <row r="793" spans="1:4" x14ac:dyDescent="0.2">
      <c r="A793" s="5">
        <v>732</v>
      </c>
      <c r="B793" s="138">
        <f>'Expenditures 15-22'!D55</f>
        <v>20618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20618</v>
      </c>
      <c r="C795" s="2" t="s">
        <v>573</v>
      </c>
      <c r="D795" s="2" t="str">
        <f t="shared" si="11"/>
        <v>Error?</v>
      </c>
    </row>
    <row r="796" spans="1:4" x14ac:dyDescent="0.2">
      <c r="A796" s="5">
        <v>735</v>
      </c>
      <c r="B796" s="138">
        <f>'Expenditures 15-22'!D59</f>
        <v>10650</v>
      </c>
      <c r="D796" s="2" t="str">
        <f t="shared" si="11"/>
        <v>Error?</v>
      </c>
    </row>
    <row r="797" spans="1:4" x14ac:dyDescent="0.2">
      <c r="A797" s="5">
        <v>736</v>
      </c>
      <c r="B797" s="138">
        <f>'Expenditures 15-22'!D60</f>
        <v>31228</v>
      </c>
      <c r="D797" s="2" t="str">
        <f t="shared" si="11"/>
        <v>Error?</v>
      </c>
    </row>
    <row r="798" spans="1:4" x14ac:dyDescent="0.2">
      <c r="A798" s="5">
        <v>737</v>
      </c>
      <c r="B798" s="138">
        <f>'Expenditures 15-22'!D61</f>
        <v>253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42131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713319</v>
      </c>
      <c r="C813" s="2" t="s">
        <v>573</v>
      </c>
      <c r="D813" s="2" t="str">
        <f t="shared" si="11"/>
        <v>Error?</v>
      </c>
    </row>
    <row r="814" spans="1:4" x14ac:dyDescent="0.2">
      <c r="A814" s="5">
        <v>753</v>
      </c>
      <c r="B814" s="138">
        <f>'Expenditures 15-22'!D75</f>
        <v>17820</v>
      </c>
      <c r="D814" s="2" t="str">
        <f t="shared" si="11"/>
        <v>Error?</v>
      </c>
    </row>
    <row r="815" spans="1:4" x14ac:dyDescent="0.2">
      <c r="A815" s="5">
        <v>754</v>
      </c>
      <c r="B815" s="138">
        <f>'Expenditures 15-22'!D114</f>
        <v>1611837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34186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204618</v>
      </c>
      <c r="C836" s="2" t="s">
        <v>573</v>
      </c>
      <c r="D836" s="2" t="str">
        <f t="shared" si="12"/>
        <v>Error?</v>
      </c>
    </row>
    <row r="837" spans="1:4" x14ac:dyDescent="0.2">
      <c r="A837" s="5">
        <v>776</v>
      </c>
      <c r="B837" s="138">
        <f>'Expenditures 15-22'!E36</f>
        <v>10555</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21920</v>
      </c>
      <c r="D839" s="2" t="str">
        <f t="shared" si="12"/>
        <v>Error?</v>
      </c>
    </row>
    <row r="840" spans="1:4" x14ac:dyDescent="0.2">
      <c r="A840" s="5">
        <v>779</v>
      </c>
      <c r="B840" s="138">
        <f>'Expenditures 15-22'!E39</f>
        <v>14657</v>
      </c>
      <c r="D840" s="2" t="str">
        <f t="shared" si="12"/>
        <v>Error?</v>
      </c>
    </row>
    <row r="841" spans="1:4" x14ac:dyDescent="0.2">
      <c r="A841" s="5">
        <v>780</v>
      </c>
      <c r="B841" s="138">
        <f>'Expenditures 15-22'!E40</f>
        <v>8406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55538</v>
      </c>
      <c r="C843" s="2" t="s">
        <v>573</v>
      </c>
      <c r="D843" s="2" t="str">
        <f t="shared" si="12"/>
        <v>Error?</v>
      </c>
    </row>
    <row r="844" spans="1:4" x14ac:dyDescent="0.2">
      <c r="A844" s="5">
        <v>783</v>
      </c>
      <c r="B844" s="138">
        <f>'Expenditures 15-22'!E44</f>
        <v>70055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70055</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313967</v>
      </c>
      <c r="D849" s="2" t="str">
        <f t="shared" si="12"/>
        <v>Error?</v>
      </c>
    </row>
    <row r="850" spans="1:4" x14ac:dyDescent="0.2">
      <c r="A850" s="5">
        <v>789</v>
      </c>
      <c r="B850" s="138">
        <f>'Expenditures 15-22'!E53</f>
        <v>313967</v>
      </c>
      <c r="C850" s="2" t="s">
        <v>573</v>
      </c>
      <c r="D850" s="2" t="str">
        <f t="shared" si="12"/>
        <v>Error?</v>
      </c>
    </row>
    <row r="851" spans="1:4" x14ac:dyDescent="0.2">
      <c r="A851" s="5">
        <v>790</v>
      </c>
      <c r="B851" s="138">
        <f>'Expenditures 15-22'!E55</f>
        <v>8982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8982</v>
      </c>
      <c r="C853" s="2" t="s">
        <v>573</v>
      </c>
      <c r="D853" s="2" t="str">
        <f t="shared" si="12"/>
        <v>Error?</v>
      </c>
    </row>
    <row r="854" spans="1:4" x14ac:dyDescent="0.2">
      <c r="A854" s="5">
        <v>793</v>
      </c>
      <c r="B854" s="138">
        <f>'Expenditures 15-22'!E59</f>
        <v>582</v>
      </c>
      <c r="D854" s="2" t="str">
        <f t="shared" si="12"/>
        <v>Error?</v>
      </c>
    </row>
    <row r="855" spans="1:4" x14ac:dyDescent="0.2">
      <c r="A855" s="5">
        <v>794</v>
      </c>
      <c r="B855" s="138">
        <f>'Expenditures 15-22'!E60</f>
        <v>47455</v>
      </c>
      <c r="D855" s="2" t="str">
        <f t="shared" si="12"/>
        <v>Error?</v>
      </c>
    </row>
    <row r="856" spans="1:4" x14ac:dyDescent="0.2">
      <c r="A856" s="5">
        <v>795</v>
      </c>
      <c r="B856" s="138">
        <f>'Expenditures 15-22'!E61</f>
        <v>141452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189489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638031</v>
      </c>
      <c r="C871" s="2" t="s">
        <v>573</v>
      </c>
      <c r="D871" s="2" t="str">
        <f t="shared" si="12"/>
        <v>Error?</v>
      </c>
    </row>
    <row r="872" spans="1:4" x14ac:dyDescent="0.2">
      <c r="A872" s="5">
        <v>811</v>
      </c>
      <c r="B872" s="138">
        <f>'Expenditures 15-22'!E75</f>
        <v>2528</v>
      </c>
      <c r="D872" s="2" t="str">
        <f t="shared" si="12"/>
        <v>Error?</v>
      </c>
    </row>
    <row r="873" spans="1:4" x14ac:dyDescent="0.2">
      <c r="A873" s="5">
        <v>812</v>
      </c>
      <c r="B873" s="138">
        <f>'Expenditures 15-22'!E114</f>
        <v>845177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8741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41236</v>
      </c>
      <c r="C894" s="2" t="s">
        <v>573</v>
      </c>
      <c r="D894" s="2" t="str">
        <f t="shared" si="12"/>
        <v>Error?</v>
      </c>
    </row>
    <row r="895" spans="1:4" x14ac:dyDescent="0.2">
      <c r="A895" s="5">
        <v>834</v>
      </c>
      <c r="B895" s="138">
        <f>'Expenditures 15-22'!F36</f>
        <v>3833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17905</v>
      </c>
      <c r="D897" s="2" t="str">
        <f t="shared" si="13"/>
        <v>Error?</v>
      </c>
    </row>
    <row r="898" spans="1:4" x14ac:dyDescent="0.2">
      <c r="A898" s="5">
        <v>837</v>
      </c>
      <c r="B898" s="138">
        <f>'Expenditures 15-22'!F39</f>
        <v>10925</v>
      </c>
      <c r="D898" s="2" t="str">
        <f t="shared" si="13"/>
        <v>Error?</v>
      </c>
    </row>
    <row r="899" spans="1:4" x14ac:dyDescent="0.2">
      <c r="A899" s="5">
        <v>838</v>
      </c>
      <c r="B899" s="138">
        <f>'Expenditures 15-22'!F40</f>
        <v>17559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50222</v>
      </c>
      <c r="C901" s="2" t="s">
        <v>573</v>
      </c>
      <c r="D901" s="2" t="str">
        <f t="shared" si="13"/>
        <v>Error?</v>
      </c>
    </row>
    <row r="902" spans="1:4" x14ac:dyDescent="0.2">
      <c r="A902" s="5">
        <v>841</v>
      </c>
      <c r="B902" s="138">
        <f>'Expenditures 15-22'!F44</f>
        <v>8888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8888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24908</v>
      </c>
      <c r="D907" s="2" t="str">
        <f t="shared" si="13"/>
        <v>Error?</v>
      </c>
    </row>
    <row r="908" spans="1:4" x14ac:dyDescent="0.2">
      <c r="A908" s="5">
        <v>847</v>
      </c>
      <c r="B908" s="138">
        <f>'Expenditures 15-22'!F53</f>
        <v>24908</v>
      </c>
      <c r="C908" s="2" t="s">
        <v>573</v>
      </c>
      <c r="D908" s="2" t="str">
        <f t="shared" si="13"/>
        <v>Error?</v>
      </c>
    </row>
    <row r="909" spans="1:4" x14ac:dyDescent="0.2">
      <c r="A909" s="5">
        <v>848</v>
      </c>
      <c r="B909" s="138">
        <f>'Expenditures 15-22'!F55</f>
        <v>5015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5015</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220</v>
      </c>
      <c r="D913" s="2" t="str">
        <f t="shared" si="13"/>
        <v>Error?</v>
      </c>
    </row>
    <row r="914" spans="1:4" x14ac:dyDescent="0.2">
      <c r="A914" s="5">
        <v>853</v>
      </c>
      <c r="B914" s="138">
        <f>'Expenditures 15-22'!F61</f>
        <v>4017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4237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93270</v>
      </c>
      <c r="C929" s="2" t="s">
        <v>573</v>
      </c>
      <c r="D929" s="2" t="str">
        <f t="shared" si="13"/>
        <v>Error?</v>
      </c>
    </row>
    <row r="930" spans="1:4" x14ac:dyDescent="0.2">
      <c r="A930" s="5">
        <v>869</v>
      </c>
      <c r="B930" s="138">
        <f>'Expenditures 15-22'!F75</f>
        <v>6546</v>
      </c>
      <c r="D930" s="2" t="str">
        <f t="shared" si="13"/>
        <v>Error?</v>
      </c>
    </row>
    <row r="931" spans="1:4" x14ac:dyDescent="0.2">
      <c r="A931" s="5">
        <v>870</v>
      </c>
      <c r="B931" s="138">
        <f>'Expenditures 15-22'!F114</f>
        <v>141052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34870</v>
      </c>
      <c r="C952" s="2" t="s">
        <v>573</v>
      </c>
      <c r="D952" s="2" t="str">
        <f t="shared" si="13"/>
        <v>Error?</v>
      </c>
    </row>
    <row r="953" spans="1:4" x14ac:dyDescent="0.2">
      <c r="A953" s="5">
        <v>892</v>
      </c>
      <c r="B953" s="138">
        <f>'Expenditures 15-22'!G36</f>
        <v>4900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13125</v>
      </c>
      <c r="D955" s="2" t="str">
        <f t="shared" si="13"/>
        <v>Error?</v>
      </c>
    </row>
    <row r="956" spans="1:4" x14ac:dyDescent="0.2">
      <c r="A956" s="5">
        <v>895</v>
      </c>
      <c r="B956" s="138">
        <f>'Expenditures 15-22'!G39</f>
        <v>4000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22025</v>
      </c>
      <c r="C959" s="2" t="s">
        <v>573</v>
      </c>
      <c r="D959" s="2" t="str">
        <f t="shared" ref="D959:D1022" si="14">IF(ISBLANK(B959),"OK",IF(A959-B959=0,"OK","Error?"))</f>
        <v>Error?</v>
      </c>
    </row>
    <row r="960" spans="1:4" x14ac:dyDescent="0.2">
      <c r="A960" s="5">
        <v>899</v>
      </c>
      <c r="B960" s="138">
        <f>'Expenditures 15-22'!G44</f>
        <v>1404</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1404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2400</v>
      </c>
      <c r="D965" s="2" t="str">
        <f t="shared" si="14"/>
        <v>Error?</v>
      </c>
    </row>
    <row r="966" spans="1:4" x14ac:dyDescent="0.2">
      <c r="A966" s="5">
        <v>905</v>
      </c>
      <c r="B966" s="138">
        <f>'Expenditures 15-22'!G53</f>
        <v>2400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608725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608725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634554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669424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2885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2885</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2515</v>
      </c>
      <c r="D1023" s="2" t="str">
        <f t="shared" ref="D1023:D1086" si="15">IF(ISBLANK(B1023),"OK",IF(A1023-B1023=0,"OK","Error?"))</f>
        <v>Error?</v>
      </c>
    </row>
    <row r="1024" spans="1:4" x14ac:dyDescent="0.2">
      <c r="A1024" s="5">
        <v>963</v>
      </c>
      <c r="B1024" s="138">
        <f>'Expenditures 15-22'!H53</f>
        <v>2515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5400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309758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315158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228045</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6736701</v>
      </c>
      <c r="C1108" s="2" t="s">
        <v>573</v>
      </c>
      <c r="D1108" s="2" t="str">
        <f t="shared" si="16"/>
        <v>Error?</v>
      </c>
    </row>
    <row r="1109" spans="1:4" x14ac:dyDescent="0.2">
      <c r="A1109" s="5">
        <v>1048</v>
      </c>
      <c r="B1109" s="138">
        <f>'Expenditures 15-22'!K36</f>
        <v>1026221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1077658</v>
      </c>
      <c r="C1111" s="2" t="s">
        <v>573</v>
      </c>
      <c r="D1111" s="2" t="str">
        <f t="shared" si="16"/>
        <v>Error?</v>
      </c>
    </row>
    <row r="1112" spans="1:4" x14ac:dyDescent="0.2">
      <c r="A1112" s="5">
        <v>1051</v>
      </c>
      <c r="B1112" s="138">
        <f>'Expenditures 15-22'!K39</f>
        <v>669610</v>
      </c>
      <c r="C1112" s="2" t="s">
        <v>573</v>
      </c>
      <c r="D1112" s="2" t="str">
        <f t="shared" si="16"/>
        <v>Error?</v>
      </c>
    </row>
    <row r="1113" spans="1:4" x14ac:dyDescent="0.2">
      <c r="A1113" s="5">
        <v>1052</v>
      </c>
      <c r="B1113" s="138">
        <f>'Expenditures 15-22'!K40</f>
        <v>896765</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3670254</v>
      </c>
      <c r="C1115" s="2" t="s">
        <v>573</v>
      </c>
      <c r="D1115" s="2" t="str">
        <f t="shared" si="16"/>
        <v>Error?</v>
      </c>
    </row>
    <row r="1116" spans="1:4" x14ac:dyDescent="0.2">
      <c r="A1116" s="5">
        <v>1055</v>
      </c>
      <c r="B1116" s="138">
        <f>'Expenditures 15-22'!K44</f>
        <v>851759</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851759</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1482036</v>
      </c>
      <c r="C1121" s="2" t="s">
        <v>573</v>
      </c>
      <c r="D1121" s="2" t="str">
        <f t="shared" si="16"/>
        <v>Error?</v>
      </c>
    </row>
    <row r="1122" spans="1:4" x14ac:dyDescent="0.2">
      <c r="A1122" s="5">
        <v>1061</v>
      </c>
      <c r="B1122" s="138">
        <f>'Expenditures 15-22'!K53</f>
        <v>1482036</v>
      </c>
      <c r="C1122" s="2" t="s">
        <v>573</v>
      </c>
      <c r="D1122" s="2" t="str">
        <f t="shared" si="16"/>
        <v>Error?</v>
      </c>
    </row>
    <row r="1123" spans="1:4" x14ac:dyDescent="0.2">
      <c r="A1123" s="5">
        <v>1062</v>
      </c>
      <c r="B1123" s="138">
        <f>'Expenditures 15-22'!K55</f>
        <v>139529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139529</v>
      </c>
      <c r="C1125" s="2" t="s">
        <v>573</v>
      </c>
      <c r="D1125" s="2" t="str">
        <f t="shared" si="16"/>
        <v>Error?</v>
      </c>
    </row>
    <row r="1126" spans="1:4" x14ac:dyDescent="0.2">
      <c r="A1126" s="5">
        <v>1065</v>
      </c>
      <c r="B1126" s="138">
        <f>'Expenditures 15-22'!K59</f>
        <v>109187</v>
      </c>
      <c r="C1126" s="2" t="s">
        <v>573</v>
      </c>
      <c r="D1126" s="2" t="str">
        <f t="shared" si="16"/>
        <v>Error?</v>
      </c>
    </row>
    <row r="1127" spans="1:4" x14ac:dyDescent="0.2">
      <c r="A1127" s="5">
        <v>1066</v>
      </c>
      <c r="B1127" s="138">
        <f>'Expenditures 15-22'!K60</f>
        <v>153222</v>
      </c>
      <c r="C1127" s="2" t="s">
        <v>573</v>
      </c>
      <c r="D1127" s="2" t="str">
        <f t="shared" si="16"/>
        <v>Error?</v>
      </c>
    </row>
    <row r="1128" spans="1:4" x14ac:dyDescent="0.2">
      <c r="A1128" s="5">
        <v>1067</v>
      </c>
      <c r="B1128" s="138">
        <f>'Expenditures 15-22'!K61</f>
        <v>768431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1030840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7174418</v>
      </c>
      <c r="C1143" s="2" t="s">
        <v>573</v>
      </c>
      <c r="D1143" s="2" t="str">
        <f t="shared" si="16"/>
        <v>Error?</v>
      </c>
    </row>
    <row r="1144" spans="1:4" x14ac:dyDescent="0.2">
      <c r="A1144" s="5">
        <v>1083</v>
      </c>
      <c r="B1144" s="138">
        <f>'Expenditures 15-22'!K75</f>
        <v>120515</v>
      </c>
      <c r="C1144" s="2" t="s">
        <v>573</v>
      </c>
      <c r="D1144" s="2" t="str">
        <f t="shared" si="16"/>
        <v>Error?</v>
      </c>
    </row>
    <row r="1145" spans="1:4" x14ac:dyDescent="0.2">
      <c r="A1145" s="5">
        <v>1084</v>
      </c>
      <c r="B1145" s="138">
        <f>'Expenditures 15-22'!K102</f>
        <v>309758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14341392</v>
      </c>
      <c r="C1152" s="2" t="s">
        <v>573</v>
      </c>
      <c r="D1152" s="2" t="str">
        <f t="shared" si="17"/>
        <v>Error?</v>
      </c>
    </row>
    <row r="1153" spans="1:4" x14ac:dyDescent="0.2">
      <c r="A1153" s="5">
        <v>1092</v>
      </c>
      <c r="B1153" s="138">
        <f>'Expenditures 15-22'!K115</f>
        <v>1777081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4422615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6199696</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362895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362895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599360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70064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669424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26105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26105</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599360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406854</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1006214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222764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222764</v>
      </c>
      <c r="C2037" s="2" t="s">
        <v>573</v>
      </c>
      <c r="D2037" s="2" t="str">
        <f t="shared" si="30"/>
        <v>Error?</v>
      </c>
    </row>
    <row r="2038" spans="1:4" x14ac:dyDescent="0.2">
      <c r="A2038" s="10">
        <v>1977</v>
      </c>
      <c r="D2038" s="2" t="str">
        <f t="shared" si="30"/>
        <v>OK</v>
      </c>
    </row>
    <row r="2039" spans="1:4" x14ac:dyDescent="0.2">
      <c r="A2039" s="5">
        <v>1978</v>
      </c>
      <c r="B2039" s="138">
        <f>'Cap Outlay Deprec 26'!I8</f>
        <v>11987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40685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52672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26105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26105</v>
      </c>
      <c r="C2049" s="2" t="s">
        <v>573</v>
      </c>
      <c r="D2049" s="2" t="str">
        <f t="shared" si="31"/>
        <v>Error?</v>
      </c>
    </row>
    <row r="2050" spans="1:4" x14ac:dyDescent="0.2">
      <c r="A2050" s="10">
        <v>1989</v>
      </c>
      <c r="D2050" s="2" t="str">
        <f t="shared" si="31"/>
        <v>OK</v>
      </c>
    </row>
    <row r="2051" spans="1:4" x14ac:dyDescent="0.2">
      <c r="A2051" s="5">
        <v>1990</v>
      </c>
      <c r="B2051" s="138">
        <f>'Cap Outlay Deprec 26'!K8</f>
        <v>11987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237344</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249331</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587373</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169510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756883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309758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309758</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10020452</v>
      </c>
      <c r="C2551" s="2" t="s">
        <v>573</v>
      </c>
      <c r="D2551" s="2" t="str">
        <f t="shared" si="38"/>
        <v>Error?</v>
      </c>
    </row>
    <row r="2552" spans="1:4" x14ac:dyDescent="0.2">
      <c r="A2552" s="10">
        <v>2491</v>
      </c>
      <c r="D2552" s="2" t="str">
        <f t="shared" si="38"/>
        <v>OK</v>
      </c>
    </row>
    <row r="2553" spans="1:4" x14ac:dyDescent="0.2">
      <c r="A2553" s="5">
        <v>2492</v>
      </c>
      <c r="B2553" s="138">
        <f>'Acct Summary 7-8'!C6</f>
        <v>1470389</v>
      </c>
      <c r="C2553" s="2" t="s">
        <v>573</v>
      </c>
      <c r="D2553" s="2" t="str">
        <f t="shared" si="38"/>
        <v>Error?</v>
      </c>
    </row>
    <row r="2554" spans="1:4" x14ac:dyDescent="0.2">
      <c r="A2554" s="5">
        <v>2493</v>
      </c>
      <c r="B2554" s="138">
        <f>'Acct Summary 7-8'!C7</f>
        <v>4627632</v>
      </c>
      <c r="C2554" s="2" t="s">
        <v>573</v>
      </c>
      <c r="D2554" s="2" t="str">
        <f t="shared" si="38"/>
        <v>Error?</v>
      </c>
    </row>
    <row r="2555" spans="1:4" x14ac:dyDescent="0.2">
      <c r="A2555" s="5">
        <v>2494</v>
      </c>
      <c r="B2555" s="138">
        <f>'Acct Summary 7-8'!C8</f>
        <v>16118473</v>
      </c>
      <c r="C2555" s="2" t="s">
        <v>573</v>
      </c>
      <c r="D2555" s="2" t="str">
        <f t="shared" si="38"/>
        <v>Error?</v>
      </c>
    </row>
    <row r="2556" spans="1:4" x14ac:dyDescent="0.2">
      <c r="A2556" s="5">
        <v>2495</v>
      </c>
      <c r="B2556" s="138">
        <f>'Acct Summary 7-8'!C12</f>
        <v>6736701</v>
      </c>
      <c r="C2556" s="2" t="s">
        <v>573</v>
      </c>
      <c r="D2556" s="2" t="str">
        <f t="shared" si="38"/>
        <v>Error?</v>
      </c>
    </row>
    <row r="2557" spans="1:4" x14ac:dyDescent="0.2">
      <c r="A2557" s="5">
        <v>2496</v>
      </c>
      <c r="B2557" s="138">
        <f>'Acct Summary 7-8'!C13</f>
        <v>7174418</v>
      </c>
      <c r="C2557" s="2" t="s">
        <v>573</v>
      </c>
      <c r="D2557" s="2" t="str">
        <f t="shared" si="38"/>
        <v>Error?</v>
      </c>
    </row>
    <row r="2558" spans="1:4" x14ac:dyDescent="0.2">
      <c r="A2558" s="5">
        <v>2497</v>
      </c>
      <c r="B2558" s="138">
        <f>'Acct Summary 7-8'!C14</f>
        <v>120515</v>
      </c>
      <c r="C2558" s="2" t="s">
        <v>573</v>
      </c>
      <c r="D2558" s="2" t="str">
        <f t="shared" si="38"/>
        <v>Error?</v>
      </c>
    </row>
    <row r="2559" spans="1:4" x14ac:dyDescent="0.2">
      <c r="A2559" s="5">
        <v>2498</v>
      </c>
      <c r="B2559" s="138">
        <f>'Acct Summary 7-8'!C15</f>
        <v>309758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14341392</v>
      </c>
      <c r="C2561" s="2" t="s">
        <v>573</v>
      </c>
      <c r="D2561" s="2" t="str">
        <f t="shared" si="39"/>
        <v>Error?</v>
      </c>
    </row>
    <row r="2562" spans="1:4" x14ac:dyDescent="0.2">
      <c r="A2562" s="5">
        <v>2501</v>
      </c>
      <c r="B2562" s="138">
        <f>'Acct Summary 7-8'!C20</f>
        <v>1777081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309758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309758</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1777081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5430202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840657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170432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32495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34870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6508656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6176282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4422744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20541217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4422744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18764136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1932</v>
      </c>
    </row>
    <row r="4236" spans="1:5" x14ac:dyDescent="0.2">
      <c r="A4236" s="10">
        <v>4175</v>
      </c>
      <c r="D4236" s="2" t="str">
        <f t="shared" si="65"/>
        <v>OK</v>
      </c>
      <c r="E4236" s="4" t="s">
        <v>1932</v>
      </c>
    </row>
    <row r="4237" spans="1:5" x14ac:dyDescent="0.2">
      <c r="A4237" s="10">
        <v>4176</v>
      </c>
      <c r="D4237" s="2" t="str">
        <f t="shared" si="65"/>
        <v>OK</v>
      </c>
      <c r="E4237" s="4" t="s">
        <v>1932</v>
      </c>
    </row>
    <row r="4238" spans="1:5" x14ac:dyDescent="0.2">
      <c r="A4238" s="10">
        <v>4177</v>
      </c>
      <c r="D4238" s="2" t="str">
        <f t="shared" si="65"/>
        <v>OK</v>
      </c>
      <c r="E4238" s="4" t="s">
        <v>1932</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6199696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196809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455443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1932</v>
      </c>
    </row>
    <row r="4400" spans="1:5" x14ac:dyDescent="0.2">
      <c r="A4400" s="10">
        <v>4339</v>
      </c>
      <c r="D4400" s="2" t="str">
        <f t="shared" si="67"/>
        <v>OK</v>
      </c>
      <c r="E4400" s="4" t="s">
        <v>1932</v>
      </c>
    </row>
    <row r="4401" spans="1:5" x14ac:dyDescent="0.2">
      <c r="A4401" s="10">
        <v>4340</v>
      </c>
      <c r="D4401" s="2" t="str">
        <f t="shared" si="67"/>
        <v>OK</v>
      </c>
      <c r="E4401" s="4" t="s">
        <v>1932</v>
      </c>
    </row>
    <row r="4402" spans="1:5" x14ac:dyDescent="0.2">
      <c r="A4402" s="10">
        <v>4341</v>
      </c>
      <c r="D4402" s="2" t="str">
        <f t="shared" si="67"/>
        <v>OK</v>
      </c>
      <c r="E4402" s="4" t="s">
        <v>1932</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73549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9861562</v>
      </c>
      <c r="D5082" s="2" t="str">
        <f t="shared" si="78"/>
        <v>Error?</v>
      </c>
    </row>
    <row r="5083" spans="1:4" x14ac:dyDescent="0.2">
      <c r="A5083" s="5">
        <v>5022</v>
      </c>
      <c r="B5083" s="138">
        <f>'Revenues 9-14'!C34</f>
        <v>55145</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9916707</v>
      </c>
      <c r="C5087" s="2" t="s">
        <v>573</v>
      </c>
      <c r="D5087" s="2" t="str">
        <f t="shared" si="78"/>
        <v>Error?</v>
      </c>
    </row>
    <row r="5088" spans="1:4" x14ac:dyDescent="0.2">
      <c r="A5088" s="5">
        <v>5027</v>
      </c>
      <c r="B5088" s="138">
        <f>'Revenues 9-14'!C65</f>
        <v>57128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57128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9848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36769</v>
      </c>
      <c r="D5119" s="2" t="str">
        <f t="shared" ref="D5119:D5182" si="79">IF(ISBLANK(B5119),"OK",IF(A5119-B5119=0,"OK","Error?"))</f>
        <v>Error?</v>
      </c>
    </row>
    <row r="5120" spans="1:4" x14ac:dyDescent="0.2">
      <c r="A5120" s="5">
        <v>5059</v>
      </c>
      <c r="B5120" s="138">
        <f>'Revenues 9-14'!C108</f>
        <v>46617</v>
      </c>
      <c r="C5120" s="2" t="s">
        <v>573</v>
      </c>
      <c r="D5120" s="2" t="str">
        <f t="shared" si="79"/>
        <v>Error?</v>
      </c>
    </row>
    <row r="5121" spans="1:4" x14ac:dyDescent="0.2">
      <c r="A5121" s="5">
        <v>5060</v>
      </c>
      <c r="B5121" s="138">
        <f>'Revenues 9-14'!C109</f>
        <v>10020452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1470389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1470389</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1932</v>
      </c>
    </row>
    <row r="5200" spans="1:5" x14ac:dyDescent="0.2">
      <c r="A5200" s="10">
        <v>5139</v>
      </c>
      <c r="D5200" s="2" t="str">
        <f t="shared" si="80"/>
        <v>OK</v>
      </c>
      <c r="E5200" s="4" t="s">
        <v>1932</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1470389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1932</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116944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3784887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3901831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1932</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4627632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4627632</v>
      </c>
      <c r="C5326" s="2" t="s">
        <v>573</v>
      </c>
      <c r="D5326" s="2" t="str">
        <f t="shared" si="82"/>
        <v>Error?</v>
      </c>
    </row>
    <row r="5327" spans="1:5" x14ac:dyDescent="0.2">
      <c r="A5327" s="5">
        <v>5266</v>
      </c>
      <c r="B5327" s="138">
        <f>'Revenues 9-14'!C268</f>
        <v>16118473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1932</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1932</v>
      </c>
    </row>
    <row r="5631" spans="1:5" x14ac:dyDescent="0.2">
      <c r="A5631" s="10">
        <v>5570</v>
      </c>
      <c r="D5631" s="2" t="str">
        <f t="shared" ref="D5631:D5694" si="87">IF(ISBLANK(B5631),"OK",IF(A5631-B5631=0,"OK","Error?"))</f>
        <v>OK</v>
      </c>
      <c r="E5631" s="4" t="s">
        <v>1932</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1932</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1932</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1932</v>
      </c>
    </row>
    <row r="5768" spans="1:5" x14ac:dyDescent="0.2">
      <c r="A5768" s="10">
        <v>5707</v>
      </c>
      <c r="D5768" s="2" t="str">
        <f t="shared" si="89"/>
        <v>OK</v>
      </c>
      <c r="E5768" s="4" t="s">
        <v>1932</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1932</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1932</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1777081</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0.28664002234948294</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1931</v>
      </c>
    </row>
    <row r="6383" spans="1:6" x14ac:dyDescent="0.2">
      <c r="A6383" s="129">
        <v>6322</v>
      </c>
      <c r="D6383" s="2" t="str">
        <f t="shared" si="98"/>
        <v>OK</v>
      </c>
      <c r="E6383" s="2" t="s">
        <v>190</v>
      </c>
      <c r="F6383" s="1" t="s">
        <v>1931</v>
      </c>
    </row>
    <row r="6384" spans="1:6" x14ac:dyDescent="0.2">
      <c r="A6384" s="129">
        <v>6323</v>
      </c>
      <c r="D6384" s="2" t="str">
        <f t="shared" si="98"/>
        <v>OK</v>
      </c>
      <c r="E6384" s="2" t="s">
        <v>190</v>
      </c>
      <c r="F6384" s="1" t="s">
        <v>1931</v>
      </c>
    </row>
    <row r="6385" spans="1:6" x14ac:dyDescent="0.2">
      <c r="A6385" s="129">
        <v>6324</v>
      </c>
      <c r="D6385" s="2" t="str">
        <f t="shared" si="98"/>
        <v>OK</v>
      </c>
      <c r="E6385" s="2" t="s">
        <v>190</v>
      </c>
      <c r="F6385" s="1" t="s">
        <v>1931</v>
      </c>
    </row>
    <row r="6386" spans="1:6" x14ac:dyDescent="0.2">
      <c r="A6386" s="129">
        <v>6325</v>
      </c>
      <c r="D6386" s="2" t="str">
        <f t="shared" si="98"/>
        <v>OK</v>
      </c>
      <c r="E6386" s="2" t="s">
        <v>190</v>
      </c>
      <c r="F6386" s="1" t="s">
        <v>1931</v>
      </c>
    </row>
    <row r="6387" spans="1:6" x14ac:dyDescent="0.2">
      <c r="A6387" s="129">
        <v>6326</v>
      </c>
      <c r="D6387" s="2" t="str">
        <f t="shared" si="98"/>
        <v>OK</v>
      </c>
      <c r="E6387" s="2" t="s">
        <v>190</v>
      </c>
      <c r="F6387" s="1" t="s">
        <v>1931</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1931</v>
      </c>
    </row>
    <row r="6411" spans="1:6" x14ac:dyDescent="0.2">
      <c r="A6411" s="129">
        <v>6350</v>
      </c>
      <c r="D6411" s="2" t="str">
        <f t="shared" si="99"/>
        <v>OK</v>
      </c>
      <c r="E6411" s="2" t="s">
        <v>190</v>
      </c>
      <c r="F6411" s="1" t="s">
        <v>1931</v>
      </c>
    </row>
    <row r="6412" spans="1:6" x14ac:dyDescent="0.2">
      <c r="A6412" s="129">
        <v>6351</v>
      </c>
      <c r="D6412" s="2" t="str">
        <f t="shared" si="99"/>
        <v>OK</v>
      </c>
      <c r="E6412" s="2" t="s">
        <v>190</v>
      </c>
      <c r="F6412" s="1" t="s">
        <v>1931</v>
      </c>
    </row>
    <row r="6413" spans="1:6" x14ac:dyDescent="0.2">
      <c r="A6413" s="129">
        <v>6352</v>
      </c>
      <c r="D6413" s="2" t="str">
        <f t="shared" si="99"/>
        <v>OK</v>
      </c>
      <c r="E6413" s="2" t="s">
        <v>190</v>
      </c>
      <c r="F6413" s="1" t="s">
        <v>1931</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1931</v>
      </c>
    </row>
    <row r="6842" spans="1:5" x14ac:dyDescent="0.2">
      <c r="A6842" s="129">
        <v>6781</v>
      </c>
      <c r="D6842" s="2" t="str">
        <f t="shared" si="105"/>
        <v>OK</v>
      </c>
      <c r="E6842" s="1" t="s">
        <v>1931</v>
      </c>
    </row>
    <row r="6843" spans="1:5" x14ac:dyDescent="0.2">
      <c r="A6843" s="129">
        <v>6782</v>
      </c>
      <c r="D6843" s="2" t="str">
        <f t="shared" si="105"/>
        <v>OK</v>
      </c>
      <c r="E6843" s="1" t="s">
        <v>1931</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10691</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10691</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10691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10691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10691</v>
      </c>
      <c r="D7624" s="2" t="str">
        <f t="shared" si="124"/>
        <v>Error?</v>
      </c>
      <c r="E7624" s="2" t="s">
        <v>19</v>
      </c>
    </row>
    <row r="7625" spans="1:5" x14ac:dyDescent="0.2">
      <c r="A7625">
        <f t="shared" si="123"/>
        <v>7564</v>
      </c>
      <c r="B7625" s="138">
        <f>'Cap Outlay Deprec 26'!I17</f>
        <v>1069.0999999999999</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53741.1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1848</v>
      </c>
    </row>
    <row r="7775" spans="1:5" x14ac:dyDescent="0.2">
      <c r="A7775">
        <v>7714</v>
      </c>
      <c r="B7775" s="138">
        <f>'Expenditures 15-22'!H133</f>
        <v>0</v>
      </c>
      <c r="D7775" s="2" t="str">
        <f t="shared" si="127"/>
        <v>Error?</v>
      </c>
      <c r="E7775" s="4" t="s">
        <v>1848</v>
      </c>
    </row>
    <row r="7776" spans="1:5" x14ac:dyDescent="0.2">
      <c r="A7776">
        <v>7715</v>
      </c>
      <c r="B7776" s="138">
        <f>'Expenditures 15-22'!K133</f>
        <v>0</v>
      </c>
      <c r="D7776" s="2" t="str">
        <f t="shared" si="127"/>
        <v>Error?</v>
      </c>
      <c r="E7776" s="4" t="s">
        <v>1848</v>
      </c>
    </row>
    <row r="7777" spans="1:5" x14ac:dyDescent="0.2">
      <c r="A7777">
        <v>7716</v>
      </c>
      <c r="B7777" s="138">
        <f>'Expenditures 15-22'!H157</f>
        <v>0</v>
      </c>
      <c r="D7777" s="2" t="str">
        <f t="shared" si="127"/>
        <v>Error?</v>
      </c>
      <c r="E7777" s="4" t="s">
        <v>1848</v>
      </c>
    </row>
    <row r="7778" spans="1:5" x14ac:dyDescent="0.2">
      <c r="A7778">
        <v>7717</v>
      </c>
      <c r="B7778" s="138">
        <f>'Expenditures 15-22'!K157</f>
        <v>0</v>
      </c>
      <c r="D7778" s="2" t="str">
        <f t="shared" si="127"/>
        <v>Error?</v>
      </c>
      <c r="E7778" s="4" t="s">
        <v>1848</v>
      </c>
    </row>
    <row r="7779" spans="1:5" x14ac:dyDescent="0.2">
      <c r="A7779">
        <v>7718</v>
      </c>
      <c r="B7779" s="138">
        <f>'Expenditures 15-22'!H158</f>
        <v>0</v>
      </c>
      <c r="D7779" s="2" t="str">
        <f t="shared" si="127"/>
        <v>Error?</v>
      </c>
      <c r="E7779" s="4" t="s">
        <v>1848</v>
      </c>
    </row>
    <row r="7780" spans="1:5" x14ac:dyDescent="0.2">
      <c r="A7780">
        <v>7719</v>
      </c>
      <c r="B7780" s="138">
        <f>'Expenditures 15-22'!K158</f>
        <v>0</v>
      </c>
      <c r="D7780" s="2" t="str">
        <f t="shared" si="127"/>
        <v>Error?</v>
      </c>
      <c r="E7780" s="4" t="s">
        <v>1848</v>
      </c>
    </row>
    <row r="7781" spans="1:5" x14ac:dyDescent="0.2">
      <c r="A7781">
        <v>7720</v>
      </c>
      <c r="B7781" s="138">
        <f>'Expenditures 15-22'!H159</f>
        <v>0</v>
      </c>
      <c r="D7781" s="2" t="str">
        <f t="shared" si="127"/>
        <v>Error?</v>
      </c>
      <c r="E7781" s="4" t="s">
        <v>1848</v>
      </c>
    </row>
    <row r="7782" spans="1:5" x14ac:dyDescent="0.2">
      <c r="A7782">
        <v>7721</v>
      </c>
      <c r="B7782" s="138">
        <f>'Expenditures 15-22'!K159</f>
        <v>0</v>
      </c>
      <c r="D7782" s="2" t="str">
        <f t="shared" si="127"/>
        <v>Error?</v>
      </c>
      <c r="E7782" s="4" t="s">
        <v>1848</v>
      </c>
    </row>
    <row r="7783" spans="1:5" x14ac:dyDescent="0.2">
      <c r="A7783">
        <v>7722</v>
      </c>
      <c r="B7783" s="138">
        <f>'Expenditures 15-22'!D282</f>
        <v>0</v>
      </c>
      <c r="D7783" s="2" t="str">
        <f t="shared" si="127"/>
        <v>Error?</v>
      </c>
      <c r="E7783" s="4" t="s">
        <v>1848</v>
      </c>
    </row>
    <row r="7784" spans="1:5" x14ac:dyDescent="0.2">
      <c r="A7784">
        <v>7723</v>
      </c>
      <c r="B7784" s="138">
        <f>'Expenditures 15-22'!K282</f>
        <v>0</v>
      </c>
      <c r="D7784" s="2" t="str">
        <f t="shared" si="127"/>
        <v>Error?</v>
      </c>
      <c r="E7784" s="4" t="s">
        <v>1848</v>
      </c>
    </row>
    <row r="7785" spans="1:5" x14ac:dyDescent="0.2">
      <c r="A7785">
        <v>7724</v>
      </c>
      <c r="B7785" s="138">
        <f>'Expenditures 15-22'!H332</f>
        <v>0</v>
      </c>
      <c r="D7785" s="2" t="str">
        <f t="shared" si="127"/>
        <v>Error?</v>
      </c>
      <c r="E7785" s="4" t="s">
        <v>1848</v>
      </c>
    </row>
    <row r="7786" spans="1:5" x14ac:dyDescent="0.2">
      <c r="A7786">
        <v>7725</v>
      </c>
      <c r="B7786" s="138">
        <f>'Expenditures 15-22'!K332</f>
        <v>0</v>
      </c>
      <c r="D7786" s="2" t="str">
        <f t="shared" si="127"/>
        <v>Error?</v>
      </c>
      <c r="E7786" s="4" t="s">
        <v>1848</v>
      </c>
    </row>
    <row r="7787" spans="1:5" x14ac:dyDescent="0.2">
      <c r="A7787">
        <v>7726</v>
      </c>
      <c r="B7787" s="138">
        <f>'Expenditures 15-22'!H333</f>
        <v>0</v>
      </c>
      <c r="D7787" s="2" t="str">
        <f t="shared" si="127"/>
        <v>Error?</v>
      </c>
      <c r="E7787" s="4" t="s">
        <v>1848</v>
      </c>
    </row>
    <row r="7788" spans="1:5" x14ac:dyDescent="0.2">
      <c r="A7788">
        <v>7727</v>
      </c>
      <c r="B7788" s="138">
        <f>'Expenditures 15-22'!K333</f>
        <v>0</v>
      </c>
      <c r="D7788" s="2" t="str">
        <f t="shared" si="127"/>
        <v>Error?</v>
      </c>
      <c r="E7788" s="4" t="s">
        <v>1848</v>
      </c>
    </row>
    <row r="7789" spans="1:5" x14ac:dyDescent="0.2">
      <c r="A7789">
        <v>7728</v>
      </c>
      <c r="B7789" s="138">
        <f>'Expenditures 15-22'!H334</f>
        <v>0</v>
      </c>
      <c r="D7789" s="2" t="str">
        <f t="shared" si="127"/>
        <v>Error?</v>
      </c>
      <c r="E7789" s="4" t="s">
        <v>1848</v>
      </c>
    </row>
    <row r="7790" spans="1:5" x14ac:dyDescent="0.2">
      <c r="A7790">
        <v>7729</v>
      </c>
      <c r="B7790" s="138">
        <f>'Expenditures 15-22'!K334</f>
        <v>0</v>
      </c>
      <c r="D7790" s="2" t="str">
        <f t="shared" si="127"/>
        <v>Error?</v>
      </c>
      <c r="E7790" s="4" t="s">
        <v>1848</v>
      </c>
    </row>
    <row r="7791" spans="1:5" x14ac:dyDescent="0.2">
      <c r="A7791">
        <v>7730</v>
      </c>
      <c r="B7791" s="138">
        <f>'Expenditures 15-22'!H354</f>
        <v>0</v>
      </c>
      <c r="D7791" s="2" t="str">
        <f t="shared" si="127"/>
        <v>Error?</v>
      </c>
      <c r="E7791" s="4" t="s">
        <v>1848</v>
      </c>
    </row>
    <row r="7792" spans="1:5" x14ac:dyDescent="0.2">
      <c r="A7792">
        <v>7731</v>
      </c>
      <c r="B7792" s="138">
        <f>'Expenditures 15-22'!K354</f>
        <v>0</v>
      </c>
      <c r="D7792" s="2" t="str">
        <f t="shared" si="127"/>
        <v>Error?</v>
      </c>
      <c r="E7792" s="4" t="s">
        <v>1848</v>
      </c>
    </row>
    <row r="7793" spans="1:5" x14ac:dyDescent="0.2">
      <c r="A7793">
        <v>7732</v>
      </c>
      <c r="B7793" s="138">
        <f>'Expenditures 15-22'!H355</f>
        <v>0</v>
      </c>
      <c r="D7793" s="2" t="str">
        <f t="shared" si="127"/>
        <v>Error?</v>
      </c>
      <c r="E7793" s="4" t="s">
        <v>1848</v>
      </c>
    </row>
    <row r="7794" spans="1:5" x14ac:dyDescent="0.2">
      <c r="A7794">
        <v>7733</v>
      </c>
      <c r="B7794" s="138">
        <f>'Expenditures 15-22'!K355</f>
        <v>0</v>
      </c>
      <c r="D7794" s="2" t="str">
        <f t="shared" si="127"/>
        <v>Error?</v>
      </c>
      <c r="E7794" s="4" t="s">
        <v>1848</v>
      </c>
    </row>
    <row r="7795" spans="1:5" x14ac:dyDescent="0.2">
      <c r="A7795">
        <v>7734</v>
      </c>
      <c r="B7795" s="138">
        <f>'Expenditures 15-22'!E138</f>
        <v>0</v>
      </c>
      <c r="D7795" s="2" t="str">
        <f t="shared" si="127"/>
        <v>Error?</v>
      </c>
      <c r="E7795" s="4" t="s">
        <v>1848</v>
      </c>
    </row>
    <row r="7796" spans="1:5" x14ac:dyDescent="0.2">
      <c r="A7796">
        <v>7735</v>
      </c>
      <c r="B7796" s="138">
        <f>'Acct Summary 7-8'!J15</f>
        <v>0</v>
      </c>
      <c r="D7796" s="2" t="str">
        <f t="shared" si="127"/>
        <v>Error?</v>
      </c>
      <c r="E7796" s="4" t="s">
        <v>1848</v>
      </c>
    </row>
    <row r="7797" spans="1:5" x14ac:dyDescent="0.2">
      <c r="A7797">
        <v>7736</v>
      </c>
      <c r="B7797" s="138">
        <f>'Contracts Paid in CY 29'!D142</f>
        <v>0</v>
      </c>
      <c r="D7797" s="2" t="str">
        <f t="shared" si="127"/>
        <v>Error?</v>
      </c>
      <c r="E7797" s="4" t="s">
        <v>1897</v>
      </c>
    </row>
    <row r="7798" spans="1:5" x14ac:dyDescent="0.2">
      <c r="A7798">
        <v>7737</v>
      </c>
      <c r="B7798" s="138">
        <f>'Contracts Paid in CY 29'!F142</f>
        <v>0</v>
      </c>
      <c r="D7798" s="2" t="str">
        <f t="shared" si="127"/>
        <v>Error?</v>
      </c>
      <c r="E7798" s="4" t="s">
        <v>1897</v>
      </c>
    </row>
    <row r="7799" spans="1:5" x14ac:dyDescent="0.2">
      <c r="A7799">
        <v>7738</v>
      </c>
      <c r="B7799" s="138">
        <f>'Contracts Paid in CY 29'!G142</f>
        <v>0</v>
      </c>
      <c r="D7799" s="2" t="str">
        <f t="shared" si="127"/>
        <v>Error?</v>
      </c>
      <c r="E7799" s="4" t="s">
        <v>1897</v>
      </c>
    </row>
    <row r="7800" spans="1:5" x14ac:dyDescent="0.2">
      <c r="A7800">
        <v>7739</v>
      </c>
      <c r="D7800" s="2" t="str">
        <f t="shared" si="127"/>
        <v>OK</v>
      </c>
    </row>
    <row r="7801" spans="1:5" x14ac:dyDescent="0.2">
      <c r="A7801">
        <v>7740</v>
      </c>
      <c r="B7801" s="138">
        <f>'Revenues 9-14'!C120</f>
        <v>0</v>
      </c>
      <c r="D7801" s="2" t="str">
        <f t="shared" si="127"/>
        <v>Error?</v>
      </c>
      <c r="E7801" s="4" t="s">
        <v>1933</v>
      </c>
    </row>
    <row r="7802" spans="1:5" x14ac:dyDescent="0.2">
      <c r="A7802">
        <v>7741</v>
      </c>
      <c r="B7802" s="138">
        <f>'Revenues 9-14'!D120</f>
        <v>0</v>
      </c>
      <c r="D7802" s="2" t="str">
        <f t="shared" si="127"/>
        <v>Error?</v>
      </c>
      <c r="E7802" s="4" t="s">
        <v>1933</v>
      </c>
    </row>
    <row r="7803" spans="1:5" x14ac:dyDescent="0.2">
      <c r="A7803">
        <v>7742</v>
      </c>
      <c r="B7803" s="138">
        <f>'Revenues 9-14'!E120</f>
        <v>0</v>
      </c>
      <c r="D7803" s="2" t="str">
        <f t="shared" si="127"/>
        <v>Error?</v>
      </c>
      <c r="E7803" s="4" t="s">
        <v>1933</v>
      </c>
    </row>
    <row r="7804" spans="1:5" x14ac:dyDescent="0.2">
      <c r="A7804">
        <v>7743</v>
      </c>
      <c r="B7804" s="138">
        <f>'Revenues 9-14'!F120</f>
        <v>0</v>
      </c>
      <c r="D7804" s="2" t="str">
        <f t="shared" si="127"/>
        <v>Error?</v>
      </c>
      <c r="E7804" s="4" t="s">
        <v>1933</v>
      </c>
    </row>
    <row r="7805" spans="1:5" x14ac:dyDescent="0.2">
      <c r="A7805">
        <v>7744</v>
      </c>
      <c r="B7805" s="138">
        <f>'Revenues 9-14'!G120</f>
        <v>0</v>
      </c>
      <c r="D7805" s="2" t="str">
        <f t="shared" si="127"/>
        <v>Error?</v>
      </c>
      <c r="E7805" s="4" t="s">
        <v>1933</v>
      </c>
    </row>
    <row r="7806" spans="1:5" x14ac:dyDescent="0.2">
      <c r="A7806">
        <v>7745</v>
      </c>
      <c r="B7806" s="138">
        <f>'Revenues 9-14'!H120</f>
        <v>0</v>
      </c>
      <c r="D7806" s="2" t="str">
        <f t="shared" si="127"/>
        <v>Error?</v>
      </c>
      <c r="E7806" s="4" t="s">
        <v>1933</v>
      </c>
    </row>
    <row r="7807" spans="1:5" x14ac:dyDescent="0.2">
      <c r="A7807">
        <v>7746</v>
      </c>
      <c r="B7807" s="138">
        <f>'Revenues 9-14'!J120</f>
        <v>0</v>
      </c>
      <c r="D7807" s="2" t="str">
        <f t="shared" ref="D7807:D7816" si="128">IF(ISBLANK(B7807),"OK",IF(A7807-B7807=0,"OK","Error?"))</f>
        <v>Error?</v>
      </c>
      <c r="E7807" s="4" t="s">
        <v>1933</v>
      </c>
    </row>
    <row r="7808" spans="1:5" x14ac:dyDescent="0.2">
      <c r="A7808">
        <v>7747</v>
      </c>
      <c r="B7808" s="138">
        <f>'Revenues 9-14'!K120</f>
        <v>0</v>
      </c>
      <c r="D7808" s="2" t="str">
        <f t="shared" si="128"/>
        <v>Error?</v>
      </c>
      <c r="E7808" s="4" t="s">
        <v>1933</v>
      </c>
    </row>
    <row r="7809" spans="1:5" x14ac:dyDescent="0.2">
      <c r="A7809">
        <v>7748</v>
      </c>
      <c r="B7809" s="138">
        <f>'Revenues 9-14'!C261</f>
        <v>0</v>
      </c>
      <c r="D7809" s="2" t="str">
        <f t="shared" si="128"/>
        <v>Error?</v>
      </c>
      <c r="E7809" s="4" t="s">
        <v>1934</v>
      </c>
    </row>
    <row r="7810" spans="1:5" x14ac:dyDescent="0.2">
      <c r="A7810">
        <v>7749</v>
      </c>
      <c r="B7810" s="138">
        <f>'Revenues 9-14'!D261</f>
        <v>0</v>
      </c>
      <c r="D7810" s="2" t="str">
        <f t="shared" si="128"/>
        <v>Error?</v>
      </c>
      <c r="E7810" s="4" t="s">
        <v>1934</v>
      </c>
    </row>
    <row r="7811" spans="1:5" x14ac:dyDescent="0.2">
      <c r="A7811">
        <v>7750</v>
      </c>
      <c r="B7811" s="138">
        <f>'Revenues 9-14'!F261</f>
        <v>0</v>
      </c>
      <c r="D7811" s="2" t="str">
        <f t="shared" si="128"/>
        <v>Error?</v>
      </c>
      <c r="E7811" s="4" t="s">
        <v>1934</v>
      </c>
    </row>
    <row r="7812" spans="1:5" x14ac:dyDescent="0.2">
      <c r="A7812">
        <v>7751</v>
      </c>
      <c r="B7812" s="138">
        <f>'Revenues 9-14'!G261</f>
        <v>0</v>
      </c>
      <c r="D7812" s="2" t="str">
        <f t="shared" si="128"/>
        <v>Error?</v>
      </c>
      <c r="E7812" s="4" t="s">
        <v>1934</v>
      </c>
    </row>
    <row r="7813" spans="1:5" x14ac:dyDescent="0.2">
      <c r="A7813">
        <v>7752</v>
      </c>
      <c r="B7813" s="138">
        <f>'Revenues 9-14'!C262</f>
        <v>0</v>
      </c>
      <c r="D7813" s="2" t="str">
        <f t="shared" si="128"/>
        <v>Error?</v>
      </c>
      <c r="E7813" s="4" t="s">
        <v>1935</v>
      </c>
    </row>
    <row r="7814" spans="1:5" x14ac:dyDescent="0.2">
      <c r="A7814">
        <v>7753</v>
      </c>
      <c r="B7814" s="138">
        <f>'Revenues 9-14'!D262</f>
        <v>0</v>
      </c>
      <c r="D7814" s="2" t="str">
        <f t="shared" si="128"/>
        <v>Error?</v>
      </c>
      <c r="E7814" s="4" t="s">
        <v>1935</v>
      </c>
    </row>
    <row r="7815" spans="1:5" x14ac:dyDescent="0.2">
      <c r="A7815">
        <v>7754</v>
      </c>
      <c r="B7815" s="138">
        <f>'Revenues 9-14'!F262</f>
        <v>0</v>
      </c>
      <c r="D7815" s="2" t="str">
        <f t="shared" si="128"/>
        <v>Error?</v>
      </c>
      <c r="E7815" s="4" t="s">
        <v>1935</v>
      </c>
    </row>
    <row r="7816" spans="1:5" x14ac:dyDescent="0.2">
      <c r="A7816">
        <v>7755</v>
      </c>
      <c r="B7816" s="138">
        <f>'Revenues 9-14'!G262</f>
        <v>0</v>
      </c>
      <c r="D7816" s="2" t="str">
        <f t="shared" si="128"/>
        <v>Error?</v>
      </c>
      <c r="E7816" s="4" t="s">
        <v>1935</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4" t="s">
        <v>1191</v>
      </c>
      <c r="B2" s="2414"/>
      <c r="C2" s="2414"/>
      <c r="D2" s="2414"/>
      <c r="E2" s="2414"/>
      <c r="F2" s="2414"/>
      <c r="G2" s="2414"/>
      <c r="H2" s="2414"/>
      <c r="I2" s="2414"/>
      <c r="J2" s="2414"/>
      <c r="K2" s="2414"/>
      <c r="L2" s="2414"/>
    </row>
    <row r="3" spans="1:29" ht="13.5" customHeight="1" x14ac:dyDescent="0.2">
      <c r="A3" s="2398" t="s">
        <v>1190</v>
      </c>
      <c r="B3" s="2398"/>
      <c r="C3" s="2398"/>
      <c r="D3" s="2398"/>
      <c r="E3" s="2398"/>
      <c r="F3" s="2398"/>
      <c r="G3" s="2398"/>
      <c r="H3" s="2398"/>
      <c r="I3" s="2398"/>
      <c r="J3" s="2398"/>
      <c r="K3" s="2398"/>
      <c r="L3" s="2398"/>
    </row>
    <row r="4" spans="1:29" ht="13.5" customHeight="1" x14ac:dyDescent="0.2">
      <c r="A4" s="2414" t="s">
        <v>1981</v>
      </c>
      <c r="B4" s="2431"/>
      <c r="C4" s="2431"/>
      <c r="D4" s="2431"/>
      <c r="E4" s="2431"/>
      <c r="F4" s="2431"/>
      <c r="G4" s="2431"/>
      <c r="H4" s="2431"/>
      <c r="I4" s="2431"/>
      <c r="J4" s="2431"/>
      <c r="K4" s="2431"/>
      <c r="L4" s="243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2" t="str">
        <f>COVER!A17</f>
        <v>Spec Educ Assoc of Peoria County</v>
      </c>
      <c r="B7" s="2393"/>
      <c r="C7" s="2393"/>
      <c r="D7" s="2432"/>
      <c r="E7" s="2433">
        <f>COVER!A13</f>
        <v>4872000061</v>
      </c>
      <c r="F7" s="2434"/>
      <c r="G7" s="2399" t="str">
        <f>COVER!T23</f>
        <v>066-004450</v>
      </c>
      <c r="H7" s="2400"/>
      <c r="I7" s="2400"/>
      <c r="J7" s="2400"/>
      <c r="K7" s="2400"/>
      <c r="L7" s="2401"/>
    </row>
    <row r="8" spans="1:29" ht="13.5" customHeight="1" x14ac:dyDescent="0.2">
      <c r="A8" s="1184" t="s">
        <v>1514</v>
      </c>
      <c r="B8" s="1185"/>
      <c r="C8" s="1186"/>
      <c r="D8" s="1186"/>
      <c r="E8" s="1191"/>
      <c r="F8" s="1190"/>
      <c r="G8" s="1192" t="s">
        <v>1186</v>
      </c>
      <c r="H8" s="1193"/>
      <c r="I8" s="1193"/>
      <c r="J8" s="1193"/>
      <c r="K8" s="1193"/>
      <c r="L8" s="1194"/>
    </row>
    <row r="9" spans="1:29" ht="13.5" customHeight="1" x14ac:dyDescent="0.2">
      <c r="A9" s="2402"/>
      <c r="B9" s="2403"/>
      <c r="C9" s="2403"/>
      <c r="D9" s="2403"/>
      <c r="E9" s="2403"/>
      <c r="F9" s="2404"/>
      <c r="G9" s="2405" t="str">
        <f>COVER!T13</f>
        <v>CliftonLarsonAllen LLP</v>
      </c>
      <c r="H9" s="2406"/>
      <c r="I9" s="2406"/>
      <c r="J9" s="2406"/>
      <c r="K9" s="2406"/>
      <c r="L9" s="2407"/>
    </row>
    <row r="10" spans="1:29" ht="13.5" customHeight="1" x14ac:dyDescent="0.2">
      <c r="A10" s="2389" t="str">
        <f>COVER!A38</f>
        <v>Lora Haas</v>
      </c>
      <c r="B10" s="2390"/>
      <c r="C10" s="2390"/>
      <c r="D10" s="2390"/>
      <c r="E10" s="2390"/>
      <c r="F10" s="2391"/>
      <c r="G10" s="2405" t="str">
        <f>COVER!T17</f>
        <v>301 SW Adams Street, Suite 1000</v>
      </c>
      <c r="H10" s="2420"/>
      <c r="I10" s="2420"/>
      <c r="J10" s="2420"/>
      <c r="K10" s="2420"/>
      <c r="L10" s="2421"/>
    </row>
    <row r="11" spans="1:29" ht="13.5" customHeight="1" x14ac:dyDescent="0.2">
      <c r="A11" s="1184" t="s">
        <v>1516</v>
      </c>
      <c r="B11" s="1185"/>
      <c r="C11" s="1186"/>
      <c r="D11" s="1191"/>
      <c r="E11" s="1186"/>
      <c r="F11" s="1190"/>
      <c r="G11" s="2405" t="s">
        <v>2122</v>
      </c>
      <c r="H11" s="2420"/>
      <c r="I11" s="2420"/>
      <c r="J11" s="2420"/>
      <c r="K11" s="2420"/>
      <c r="L11" s="2421"/>
    </row>
    <row r="12" spans="1:29" ht="13.5" customHeight="1" x14ac:dyDescent="0.2">
      <c r="A12" s="2425" t="s">
        <v>1515</v>
      </c>
      <c r="B12" s="2426"/>
      <c r="C12" s="2426"/>
      <c r="D12" s="2426"/>
      <c r="E12" s="2426"/>
      <c r="F12" s="2427"/>
      <c r="G12" s="2422"/>
      <c r="H12" s="2423"/>
      <c r="I12" s="2423"/>
      <c r="J12" s="2423"/>
      <c r="K12" s="2423"/>
      <c r="L12" s="2424"/>
    </row>
    <row r="13" spans="1:29" ht="13.5" customHeight="1" x14ac:dyDescent="0.2">
      <c r="A13" s="2405"/>
      <c r="B13" s="2420"/>
      <c r="C13" s="2420"/>
      <c r="D13" s="2420"/>
      <c r="E13" s="2420"/>
      <c r="F13" s="2421"/>
      <c r="G13" s="2415" t="s">
        <v>1517</v>
      </c>
      <c r="H13" s="2416"/>
      <c r="I13" s="2428" t="str">
        <f>COVER!T25</f>
        <v>adam.pulley@claconnect.com</v>
      </c>
      <c r="J13" s="2429"/>
      <c r="K13" s="2429"/>
      <c r="L13" s="2430"/>
    </row>
    <row r="14" spans="1:29" ht="13.5" customHeight="1" x14ac:dyDescent="0.2">
      <c r="A14" s="2405" t="str">
        <f>COVER!A19</f>
        <v>4812 W Pfeiffer Road</v>
      </c>
      <c r="B14" s="2420"/>
      <c r="C14" s="2420"/>
      <c r="D14" s="2420"/>
      <c r="E14" s="2420"/>
      <c r="F14" s="2421"/>
      <c r="G14" s="1195" t="s">
        <v>1185</v>
      </c>
      <c r="H14" s="1193"/>
      <c r="I14" s="1193"/>
      <c r="J14" s="1193"/>
      <c r="K14" s="1193"/>
      <c r="L14" s="1194"/>
    </row>
    <row r="15" spans="1:29" ht="13.5" customHeight="1" x14ac:dyDescent="0.2">
      <c r="A15" s="2405" t="s">
        <v>2121</v>
      </c>
      <c r="B15" s="2420"/>
      <c r="C15" s="2420"/>
      <c r="D15" s="2420"/>
      <c r="E15" s="2420"/>
      <c r="F15" s="2421"/>
      <c r="G15" s="2417" t="str">
        <f>COVER!T15</f>
        <v>Adam Pulley</v>
      </c>
      <c r="H15" s="2418"/>
      <c r="I15" s="2418"/>
      <c r="J15" s="2418"/>
      <c r="K15" s="2418"/>
      <c r="L15" s="2419"/>
    </row>
    <row r="16" spans="1:29" ht="12.2" customHeight="1" x14ac:dyDescent="0.2">
      <c r="A16" s="2395"/>
      <c r="B16" s="2396"/>
      <c r="C16" s="2396"/>
      <c r="D16" s="2396"/>
      <c r="E16" s="2396"/>
      <c r="F16" s="2397"/>
      <c r="G16" s="2408"/>
      <c r="H16" s="2409"/>
      <c r="I16" s="2409"/>
      <c r="J16" s="2409"/>
      <c r="K16" s="2409"/>
      <c r="L16" s="2410"/>
    </row>
    <row r="17" spans="1:13" ht="12.2" customHeight="1" x14ac:dyDescent="0.2">
      <c r="A17" s="2411"/>
      <c r="B17" s="2412"/>
      <c r="C17" s="2412"/>
      <c r="D17" s="2412"/>
      <c r="E17" s="2412"/>
      <c r="F17" s="2413"/>
      <c r="G17" s="1195" t="s">
        <v>1184</v>
      </c>
      <c r="H17" s="1193"/>
      <c r="I17" s="1193"/>
      <c r="J17" s="1193"/>
      <c r="K17" s="1197" t="s">
        <v>1183</v>
      </c>
      <c r="L17" s="1190"/>
      <c r="M17" s="1183"/>
    </row>
    <row r="18" spans="1:13" ht="12.2" customHeight="1" x14ac:dyDescent="0.2">
      <c r="A18" s="2389"/>
      <c r="B18" s="2390"/>
      <c r="C18" s="2390"/>
      <c r="D18" s="2390"/>
      <c r="E18" s="2390"/>
      <c r="F18" s="2391"/>
      <c r="G18" s="2392" t="str">
        <f>COVER!T21</f>
        <v>309-671-4500</v>
      </c>
      <c r="H18" s="2393"/>
      <c r="I18" s="2393"/>
      <c r="J18" s="2393"/>
      <c r="K18" s="2392" t="str">
        <f>COVER!X21</f>
        <v>309-671-4508</v>
      </c>
      <c r="L18" s="239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1695</v>
      </c>
    </row>
    <row r="22" spans="1:13" ht="12.2" customHeight="1" x14ac:dyDescent="0.2">
      <c r="A22" s="1200"/>
    </row>
    <row r="23" spans="1:13" ht="12.2" customHeight="1" x14ac:dyDescent="0.2">
      <c r="A23" s="1200"/>
      <c r="B23" s="1201" t="s">
        <v>2059</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2059</v>
      </c>
      <c r="C26" s="1202" t="s">
        <v>1696</v>
      </c>
    </row>
    <row r="27" spans="1:13" s="1198" customFormat="1" ht="9" customHeight="1" x14ac:dyDescent="0.2">
      <c r="B27" s="1203"/>
      <c r="C27" s="1202"/>
    </row>
    <row r="28" spans="1:13" s="1198" customFormat="1" ht="12.2" customHeight="1" x14ac:dyDescent="0.2">
      <c r="A28" s="1205"/>
      <c r="B28" s="1201" t="s">
        <v>2059</v>
      </c>
      <c r="C28" s="1202" t="s">
        <v>1697</v>
      </c>
    </row>
    <row r="29" spans="1:13" s="1198" customFormat="1" ht="9" customHeight="1" x14ac:dyDescent="0.2">
      <c r="A29" s="1205"/>
      <c r="B29" s="1203"/>
      <c r="C29" s="1202"/>
    </row>
    <row r="30" spans="1:13" s="1198" customFormat="1" ht="12.2" customHeight="1" x14ac:dyDescent="0.2">
      <c r="B30" s="1201" t="s">
        <v>2059</v>
      </c>
      <c r="C30" s="1202" t="s">
        <v>1559</v>
      </c>
      <c r="D30" s="1196"/>
      <c r="E30" s="1196"/>
    </row>
    <row r="31" spans="1:13" s="1198" customFormat="1" ht="9" customHeight="1" x14ac:dyDescent="0.2">
      <c r="B31" s="1203"/>
      <c r="C31" s="1202"/>
      <c r="D31" s="1196"/>
      <c r="E31" s="1196"/>
    </row>
    <row r="32" spans="1:13" s="1198" customFormat="1" ht="12.2" customHeight="1" x14ac:dyDescent="0.2">
      <c r="B32" s="1201" t="s">
        <v>2059</v>
      </c>
      <c r="C32" s="1202" t="s">
        <v>1560</v>
      </c>
      <c r="D32" s="1196"/>
      <c r="E32" s="1196"/>
    </row>
    <row r="33" spans="1:8" s="1198" customFormat="1" ht="10.9" customHeight="1" x14ac:dyDescent="0.2">
      <c r="B33" s="1203"/>
      <c r="C33" s="1206" t="s">
        <v>1698</v>
      </c>
      <c r="D33" s="1196"/>
      <c r="E33" s="1196"/>
    </row>
    <row r="34" spans="1:8" ht="9" customHeight="1" x14ac:dyDescent="0.2">
      <c r="B34" s="1203"/>
      <c r="C34" s="1206"/>
    </row>
    <row r="35" spans="1:8" s="1198" customFormat="1" ht="13.5" customHeight="1" x14ac:dyDescent="0.2">
      <c r="B35" s="1201" t="s">
        <v>2059</v>
      </c>
      <c r="C35" s="1202" t="s">
        <v>1561</v>
      </c>
    </row>
    <row r="36" spans="1:8" s="1198" customFormat="1" ht="10.9" customHeight="1" x14ac:dyDescent="0.2">
      <c r="B36" s="1203"/>
      <c r="C36" s="1206" t="s">
        <v>1562</v>
      </c>
    </row>
    <row r="37" spans="1:8" ht="9" customHeight="1" x14ac:dyDescent="0.2">
      <c r="B37" s="1203"/>
      <c r="C37" s="1206"/>
    </row>
    <row r="38" spans="1:8" s="1198" customFormat="1" ht="12.2" customHeight="1" x14ac:dyDescent="0.2">
      <c r="B38" s="1201" t="s">
        <v>2059</v>
      </c>
      <c r="C38" s="1202" t="s">
        <v>1563</v>
      </c>
    </row>
    <row r="39" spans="1:8" ht="9" customHeight="1" x14ac:dyDescent="0.2">
      <c r="B39" s="1203"/>
      <c r="C39" s="1206"/>
    </row>
    <row r="40" spans="1:8" s="1198" customFormat="1" ht="13.5" customHeight="1" x14ac:dyDescent="0.2">
      <c r="B40" s="1201" t="s">
        <v>2059</v>
      </c>
      <c r="C40" s="1202" t="s">
        <v>1564</v>
      </c>
    </row>
    <row r="41" spans="1:8" ht="9" customHeight="1" x14ac:dyDescent="0.2">
      <c r="A41" s="1207"/>
      <c r="B41" s="1203"/>
      <c r="C41" s="1206"/>
    </row>
    <row r="42" spans="1:8" s="1198" customFormat="1" ht="13.5" customHeight="1" x14ac:dyDescent="0.2">
      <c r="B42" s="1201" t="s">
        <v>2059</v>
      </c>
      <c r="C42" s="1202" t="s">
        <v>1830</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1565</v>
      </c>
      <c r="D46" s="1196"/>
      <c r="E46" s="1196"/>
      <c r="F46" s="1196"/>
      <c r="G46" s="1196"/>
      <c r="H46" s="1196"/>
    </row>
    <row r="47" spans="1:8" ht="9" customHeight="1" x14ac:dyDescent="0.2"/>
    <row r="48" spans="1:8" ht="12.2" customHeight="1" x14ac:dyDescent="0.2">
      <c r="B48" s="1936"/>
      <c r="C48" s="1210" t="s">
        <v>1566</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5" t="str">
        <f>'Single Audit Cover'!A7</f>
        <v>Spec Educ Assoc of Peoria County</v>
      </c>
      <c r="B1" s="2431"/>
      <c r="C1" s="2431"/>
      <c r="D1" s="2431"/>
    </row>
    <row r="2" spans="1:11" s="1212" customFormat="1" ht="12.75" x14ac:dyDescent="0.2">
      <c r="A2" s="2436">
        <f>'Single Audit Cover'!E7</f>
        <v>4872000061</v>
      </c>
      <c r="B2" s="2437"/>
      <c r="C2" s="2437"/>
      <c r="D2" s="2437"/>
    </row>
    <row r="3" spans="1:11" s="1212" customFormat="1" ht="12.75" x14ac:dyDescent="0.2">
      <c r="A3" s="2435" t="s">
        <v>1510</v>
      </c>
      <c r="B3" s="2431"/>
      <c r="C3" s="2431"/>
      <c r="D3" s="2431"/>
    </row>
    <row r="4" spans="1:11" s="1212" customFormat="1" ht="4.5" customHeight="1" x14ac:dyDescent="0.2">
      <c r="A4" s="1213"/>
      <c r="B4" s="1214"/>
      <c r="C4" s="1214"/>
      <c r="D4" s="1214"/>
    </row>
    <row r="5" spans="1:11" x14ac:dyDescent="0.2">
      <c r="B5" s="1216" t="s">
        <v>1511</v>
      </c>
      <c r="C5" s="1217"/>
      <c r="D5" s="1218"/>
    </row>
    <row r="6" spans="1:11" x14ac:dyDescent="0.2">
      <c r="B6" s="1216" t="s">
        <v>1225</v>
      </c>
      <c r="C6" s="1217"/>
      <c r="D6" s="1218"/>
    </row>
    <row r="7" spans="1:11" x14ac:dyDescent="0.2">
      <c r="B7" s="1216" t="s">
        <v>1512</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1699</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1700</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1701</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1702</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1723</v>
      </c>
      <c r="E24" s="1225"/>
      <c r="F24" s="1225"/>
      <c r="G24" s="1225"/>
      <c r="H24" s="1225"/>
      <c r="I24" s="1225"/>
      <c r="J24" s="1225"/>
      <c r="K24" s="1225"/>
    </row>
    <row r="25" spans="1:11" x14ac:dyDescent="0.2">
      <c r="A25" s="1219"/>
      <c r="B25" s="1228"/>
      <c r="D25" s="1227" t="s">
        <v>1703</v>
      </c>
      <c r="E25" s="1225"/>
      <c r="F25" s="1225"/>
      <c r="G25" s="1225"/>
      <c r="H25" s="1225"/>
      <c r="I25" s="1225"/>
      <c r="J25" s="1225"/>
      <c r="K25" s="1225"/>
    </row>
    <row r="26" spans="1:11" x14ac:dyDescent="0.2">
      <c r="A26" s="1219"/>
      <c r="B26" s="1228"/>
      <c r="D26" s="1232" t="s">
        <v>1704</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1567</v>
      </c>
      <c r="E28" s="1225"/>
      <c r="F28" s="1225"/>
      <c r="G28" s="1225"/>
      <c r="H28" s="1225"/>
      <c r="I28" s="1225"/>
      <c r="J28" s="1225"/>
      <c r="K28" s="1225"/>
    </row>
    <row r="29" spans="1:11" ht="10.5" customHeight="1" x14ac:dyDescent="0.2">
      <c r="A29" s="1219"/>
      <c r="D29" s="1233" t="s">
        <v>1568</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1569</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1569</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1570</v>
      </c>
    </row>
    <row r="41" spans="1:5" ht="3" customHeight="1" x14ac:dyDescent="0.2">
      <c r="A41" s="1219"/>
      <c r="B41" s="1236"/>
      <c r="C41" s="1237"/>
      <c r="D41" s="1218"/>
    </row>
    <row r="42" spans="1:5" ht="10.5" customHeight="1" x14ac:dyDescent="0.2">
      <c r="A42" s="1219"/>
      <c r="B42" s="1238"/>
      <c r="C42" s="1229">
        <v>11</v>
      </c>
      <c r="D42" s="1240" t="s">
        <v>1571</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1572</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1705</v>
      </c>
    </row>
    <row r="57" spans="1:4" ht="10.5" customHeight="1" x14ac:dyDescent="0.2">
      <c r="A57" s="1219"/>
      <c r="D57" s="1234" t="s">
        <v>1706</v>
      </c>
    </row>
    <row r="58" spans="1:4" x14ac:dyDescent="0.2">
      <c r="A58" s="1219"/>
      <c r="C58" s="1241"/>
      <c r="D58" s="1234" t="s">
        <v>1707</v>
      </c>
    </row>
    <row r="59" spans="1:4" ht="10.5" customHeight="1" x14ac:dyDescent="0.2">
      <c r="A59" s="1219"/>
      <c r="D59" s="1218" t="s">
        <v>1209</v>
      </c>
    </row>
    <row r="60" spans="1:4" ht="10.5" customHeight="1" x14ac:dyDescent="0.2">
      <c r="A60" s="1219"/>
      <c r="D60" s="1242" t="s">
        <v>1596</v>
      </c>
    </row>
    <row r="61" spans="1:4" ht="10.5" customHeight="1" x14ac:dyDescent="0.2">
      <c r="A61" s="1219"/>
      <c r="C61" s="1241"/>
      <c r="D61" s="1234" t="s">
        <v>1708</v>
      </c>
    </row>
    <row r="62" spans="1:4" ht="10.5" customHeight="1" x14ac:dyDescent="0.2">
      <c r="A62" s="1219"/>
      <c r="D62" s="1243" t="s">
        <v>1208</v>
      </c>
    </row>
    <row r="63" spans="1:4" ht="10.5" customHeight="1" x14ac:dyDescent="0.2">
      <c r="A63" s="1219"/>
      <c r="D63" s="1218" t="s">
        <v>1573</v>
      </c>
    </row>
    <row r="64" spans="1:4" ht="10.5" customHeight="1" x14ac:dyDescent="0.2">
      <c r="A64" s="1219"/>
      <c r="D64" s="1242" t="s">
        <v>1595</v>
      </c>
    </row>
    <row r="65" spans="1:4" x14ac:dyDescent="0.2">
      <c r="A65" s="1219"/>
      <c r="C65" s="1241"/>
      <c r="D65" s="1234" t="s">
        <v>1709</v>
      </c>
    </row>
    <row r="66" spans="1:4" ht="10.5" customHeight="1" x14ac:dyDescent="0.2">
      <c r="A66" s="1219"/>
      <c r="D66" s="1244" t="s">
        <v>1207</v>
      </c>
    </row>
    <row r="67" spans="1:4" ht="10.5" customHeight="1" x14ac:dyDescent="0.2">
      <c r="A67" s="1219"/>
      <c r="D67" s="1218" t="s">
        <v>1574</v>
      </c>
    </row>
    <row r="68" spans="1:4" ht="10.5" customHeight="1" x14ac:dyDescent="0.2">
      <c r="A68" s="1219"/>
      <c r="D68" s="1242" t="s">
        <v>1595</v>
      </c>
    </row>
    <row r="69" spans="1:4" ht="10.5" customHeight="1" x14ac:dyDescent="0.2">
      <c r="A69" s="1219"/>
      <c r="C69" s="1241"/>
      <c r="D69" s="1234" t="s">
        <v>1710</v>
      </c>
    </row>
    <row r="70" spans="1:4" x14ac:dyDescent="0.2">
      <c r="A70" s="1219"/>
      <c r="D70" s="1243" t="s">
        <v>1206</v>
      </c>
    </row>
    <row r="71" spans="1:4" ht="3" customHeight="1" x14ac:dyDescent="0.2">
      <c r="A71" s="1219"/>
      <c r="D71" s="1218"/>
    </row>
    <row r="72" spans="1:4" x14ac:dyDescent="0.2">
      <c r="A72" s="1219"/>
      <c r="B72" s="1222"/>
      <c r="C72" s="1223">
        <f>C56+1</f>
        <v>18</v>
      </c>
      <c r="D72" s="1244" t="s">
        <v>1711</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1712</v>
      </c>
    </row>
    <row r="77" spans="1:4" ht="3" customHeight="1" x14ac:dyDescent="0.2">
      <c r="A77" s="1219"/>
      <c r="B77" s="1226"/>
      <c r="C77" s="1223"/>
      <c r="D77" s="1245"/>
    </row>
    <row r="78" spans="1:4" x14ac:dyDescent="0.2">
      <c r="A78" s="1219"/>
      <c r="B78" s="1222"/>
      <c r="C78" s="1223">
        <f>C76+1</f>
        <v>21</v>
      </c>
      <c r="D78" s="1218" t="s">
        <v>1713</v>
      </c>
    </row>
    <row r="79" spans="1:4" ht="3" customHeight="1" x14ac:dyDescent="0.2">
      <c r="A79" s="1219"/>
      <c r="B79" s="1226"/>
      <c r="C79" s="1223"/>
      <c r="D79" s="1218"/>
    </row>
    <row r="80" spans="1:4" x14ac:dyDescent="0.2">
      <c r="A80" s="1219"/>
      <c r="B80" s="1222"/>
      <c r="C80" s="1223">
        <f>C78+1</f>
        <v>22</v>
      </c>
      <c r="D80" s="1246" t="s">
        <v>1714</v>
      </c>
    </row>
    <row r="81" spans="1:4" ht="3" customHeight="1" x14ac:dyDescent="0.2">
      <c r="A81" s="1219"/>
      <c r="B81" s="1226"/>
      <c r="C81" s="1223"/>
      <c r="D81" s="1246"/>
    </row>
    <row r="82" spans="1:4" x14ac:dyDescent="0.2">
      <c r="A82" s="1219"/>
      <c r="B82" s="1222"/>
      <c r="C82" s="1223">
        <f>C80+1</f>
        <v>23</v>
      </c>
      <c r="D82" s="1245" t="s">
        <v>1715</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1716</v>
      </c>
    </row>
    <row r="92" spans="1:4" x14ac:dyDescent="0.2">
      <c r="A92" s="1219"/>
      <c r="B92" s="1247"/>
      <c r="C92" s="1241"/>
      <c r="D92" s="1234" t="s">
        <v>1200</v>
      </c>
    </row>
    <row r="93" spans="1:4" ht="4.5" customHeight="1" x14ac:dyDescent="0.2">
      <c r="A93" s="1219"/>
      <c r="D93" s="1218"/>
    </row>
    <row r="94" spans="1:4" x14ac:dyDescent="0.2">
      <c r="A94" s="1219"/>
      <c r="B94" s="1220" t="s">
        <v>1575</v>
      </c>
      <c r="C94" s="1221"/>
      <c r="D94" s="1218"/>
    </row>
    <row r="95" spans="1:4" ht="4.5" customHeight="1" x14ac:dyDescent="0.2">
      <c r="A95" s="1219"/>
      <c r="B95" s="1220"/>
      <c r="C95" s="1221"/>
      <c r="D95" s="1218"/>
    </row>
    <row r="96" spans="1:4" x14ac:dyDescent="0.2">
      <c r="A96" s="1219"/>
      <c r="B96" s="1222"/>
      <c r="C96" s="1223">
        <f>C91+1</f>
        <v>28</v>
      </c>
      <c r="D96" s="1234" t="s">
        <v>1717</v>
      </c>
    </row>
    <row r="97" spans="1:4" ht="3" customHeight="1" x14ac:dyDescent="0.2">
      <c r="A97" s="1219"/>
      <c r="B97" s="1226"/>
      <c r="C97" s="1223"/>
      <c r="D97" s="1234"/>
    </row>
    <row r="98" spans="1:4" x14ac:dyDescent="0.2">
      <c r="A98" s="1219"/>
      <c r="B98" s="1222"/>
      <c r="C98" s="1223">
        <f>C96+1</f>
        <v>29</v>
      </c>
      <c r="D98" s="1248" t="s">
        <v>1718</v>
      </c>
    </row>
    <row r="99" spans="1:4" ht="3" customHeight="1" x14ac:dyDescent="0.2">
      <c r="A99" s="1219"/>
      <c r="B99" s="1226"/>
      <c r="C99" s="1223"/>
      <c r="D99" s="1248"/>
    </row>
    <row r="100" spans="1:4" x14ac:dyDescent="0.2">
      <c r="A100" s="1219"/>
      <c r="B100" s="1222"/>
      <c r="C100" s="1223">
        <f>C98+1</f>
        <v>30</v>
      </c>
      <c r="D100" s="1234" t="s">
        <v>1719</v>
      </c>
    </row>
    <row r="101" spans="1:4" ht="3" customHeight="1" x14ac:dyDescent="0.2">
      <c r="A101" s="1219"/>
      <c r="B101" s="1226"/>
      <c r="C101" s="1223"/>
      <c r="D101" s="1249"/>
    </row>
    <row r="102" spans="1:4" x14ac:dyDescent="0.2">
      <c r="A102" s="1219"/>
      <c r="B102" s="1222"/>
      <c r="C102" s="1223">
        <f>C100+1</f>
        <v>31</v>
      </c>
      <c r="D102" s="1234" t="s">
        <v>1576</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1577</v>
      </c>
    </row>
    <row r="107" spans="1:4" ht="3" customHeight="1" x14ac:dyDescent="0.2">
      <c r="A107" s="1219"/>
      <c r="B107" s="1226"/>
      <c r="C107" s="1223"/>
      <c r="D107" s="1218"/>
    </row>
    <row r="108" spans="1:4" x14ac:dyDescent="0.2">
      <c r="A108" s="1219"/>
      <c r="B108" s="1222"/>
      <c r="C108" s="1223">
        <v>33</v>
      </c>
      <c r="D108" s="1218" t="s">
        <v>1720</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1721</v>
      </c>
    </row>
    <row r="118" spans="1:4" ht="3" customHeight="1" x14ac:dyDescent="0.2">
      <c r="A118" s="1219"/>
      <c r="B118" s="1226"/>
      <c r="C118" s="1223"/>
      <c r="D118" s="1234"/>
    </row>
    <row r="119" spans="1:4" x14ac:dyDescent="0.2">
      <c r="A119" s="1219"/>
      <c r="B119" s="1222"/>
      <c r="C119" s="1223">
        <f>C117+1</f>
        <v>38</v>
      </c>
      <c r="D119" s="1234" t="s">
        <v>1722</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1831</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5"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9" t="str">
        <f>'Single Audit Cover'!A7</f>
        <v>Spec Educ Assoc of Peoria County</v>
      </c>
      <c r="B1" s="2439"/>
      <c r="C1" s="2439"/>
      <c r="D1" s="2439"/>
      <c r="E1" s="2439"/>
    </row>
    <row r="2" spans="1:5" x14ac:dyDescent="0.2">
      <c r="A2" s="2440">
        <f>'Single Audit Cover'!E7</f>
        <v>4872000061</v>
      </c>
      <c r="B2" s="2440"/>
      <c r="C2" s="2440"/>
      <c r="D2" s="2440"/>
      <c r="E2" s="2440"/>
    </row>
    <row r="3" spans="1:5" ht="4.5" customHeight="1" x14ac:dyDescent="0.2"/>
    <row r="4" spans="1:5" x14ac:dyDescent="0.2">
      <c r="A4" s="2439" t="s">
        <v>1245</v>
      </c>
      <c r="B4" s="2439"/>
      <c r="C4" s="2439"/>
      <c r="D4" s="2439"/>
      <c r="E4" s="2439"/>
    </row>
    <row r="5" spans="1:5" x14ac:dyDescent="0.2">
      <c r="A5" s="2442" t="str">
        <f>'Single Audit Cover'!A4</f>
        <v>Year Ending June 30, 2019</v>
      </c>
      <c r="B5" s="2442"/>
      <c r="C5" s="2442"/>
      <c r="D5" s="2442"/>
      <c r="E5" s="2442"/>
    </row>
    <row r="6" spans="1:5" x14ac:dyDescent="0.2">
      <c r="A6" s="2439" t="s">
        <v>1244</v>
      </c>
      <c r="B6" s="2439"/>
      <c r="C6" s="2439"/>
      <c r="D6" s="2439"/>
      <c r="E6" s="2439"/>
    </row>
    <row r="8" spans="1:5" x14ac:dyDescent="0.2">
      <c r="A8" s="1257" t="s">
        <v>1243</v>
      </c>
    </row>
    <row r="10" spans="1:5" x14ac:dyDescent="0.2">
      <c r="A10" s="1258" t="s">
        <v>1242</v>
      </c>
      <c r="B10" s="1259" t="s">
        <v>1241</v>
      </c>
      <c r="C10" s="1259"/>
      <c r="D10" s="1260">
        <f>SUM('Acct Summary 7-8'!C7:K7)</f>
        <v>4627632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1724</v>
      </c>
      <c r="B14" s="1259"/>
      <c r="C14" s="1259"/>
      <c r="D14" s="1261">
        <f>'ICR Computation 30'!E11</f>
        <v>0</v>
      </c>
    </row>
    <row r="15" spans="1:5" x14ac:dyDescent="0.2">
      <c r="A15" s="1258"/>
      <c r="B15" s="1259"/>
      <c r="C15" s="1259"/>
    </row>
    <row r="16" spans="1:5" x14ac:dyDescent="0.2">
      <c r="A16" s="1258" t="s">
        <v>1837</v>
      </c>
      <c r="B16" s="1259"/>
      <c r="C16" s="1259"/>
    </row>
    <row r="17" spans="1:4" x14ac:dyDescent="0.2">
      <c r="A17" s="1258" t="s">
        <v>2053</v>
      </c>
      <c r="B17" s="1259" t="s">
        <v>1236</v>
      </c>
      <c r="C17" s="1259"/>
      <c r="D17" s="1261">
        <f>-SUM('Revenues 9-14'!C264:D264,'Revenues 9-14'!F264:G264)</f>
        <v>-455443</v>
      </c>
    </row>
    <row r="19" spans="1:4" ht="13.5" thickBot="1" x14ac:dyDescent="0.25">
      <c r="A19" s="1262" t="s">
        <v>1235</v>
      </c>
      <c r="D19" s="1263">
        <f>SUM(D10:D17)</f>
        <v>4172189</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1"/>
      <c r="B24" s="2441"/>
      <c r="D24" s="1265"/>
    </row>
    <row r="25" spans="1:4" x14ac:dyDescent="0.2">
      <c r="A25" s="2438"/>
      <c r="B25" s="2438"/>
      <c r="D25" s="1265"/>
    </row>
    <row r="26" spans="1:4" x14ac:dyDescent="0.2">
      <c r="A26" s="2438"/>
      <c r="B26" s="2438"/>
      <c r="D26" s="1265"/>
    </row>
    <row r="27" spans="1:4" x14ac:dyDescent="0.2">
      <c r="A27" s="2438"/>
      <c r="B27" s="2438"/>
      <c r="D27" s="1265"/>
    </row>
    <row r="28" spans="1:4" x14ac:dyDescent="0.2">
      <c r="A28" s="2438"/>
      <c r="B28" s="2438"/>
      <c r="D28" s="1265"/>
    </row>
    <row r="29" spans="1:4" x14ac:dyDescent="0.2">
      <c r="A29" s="2438"/>
      <c r="B29" s="2438"/>
      <c r="D29" s="1265"/>
    </row>
    <row r="30" spans="1:4" x14ac:dyDescent="0.2">
      <c r="A30" s="2438"/>
      <c r="B30" s="2438"/>
      <c r="D30" s="1265"/>
    </row>
    <row r="32" spans="1:4" x14ac:dyDescent="0.2">
      <c r="A32" s="1257" t="s">
        <v>1233</v>
      </c>
      <c r="D32" s="1260">
        <f>SUM(D19:D30)</f>
        <v>4172189</v>
      </c>
    </row>
    <row r="33" spans="1:4" x14ac:dyDescent="0.2">
      <c r="D33" s="1266"/>
    </row>
    <row r="34" spans="1:4" x14ac:dyDescent="0.2">
      <c r="A34" s="317" t="s">
        <v>1232</v>
      </c>
    </row>
    <row r="35" spans="1:4" x14ac:dyDescent="0.2">
      <c r="A35" s="317" t="s">
        <v>1231</v>
      </c>
      <c r="B35" s="1255" t="s">
        <v>1230</v>
      </c>
      <c r="D35" s="1267">
        <f>' SEFA (2)'!F24</f>
        <v>4172189</v>
      </c>
    </row>
    <row r="37" spans="1:4" x14ac:dyDescent="0.2">
      <c r="A37" s="1257" t="s">
        <v>1229</v>
      </c>
    </row>
    <row r="39" spans="1:4" ht="13.35" customHeight="1" x14ac:dyDescent="0.2">
      <c r="A39" s="1264" t="s">
        <v>1228</v>
      </c>
    </row>
    <row r="40" spans="1:4" x14ac:dyDescent="0.2">
      <c r="A40" s="2438"/>
      <c r="B40" s="2438"/>
      <c r="D40" s="1265"/>
    </row>
    <row r="41" spans="1:4" x14ac:dyDescent="0.2">
      <c r="A41" s="2438"/>
      <c r="B41" s="2438"/>
      <c r="D41" s="1268"/>
    </row>
    <row r="42" spans="1:4" x14ac:dyDescent="0.2">
      <c r="A42" s="2438"/>
      <c r="B42" s="2438"/>
      <c r="D42" s="1268"/>
    </row>
    <row r="43" spans="1:4" x14ac:dyDescent="0.2">
      <c r="A43" s="2438"/>
      <c r="B43" s="2438"/>
      <c r="D43" s="1268"/>
    </row>
    <row r="44" spans="1:4" x14ac:dyDescent="0.2">
      <c r="A44" s="2438"/>
      <c r="B44" s="2438"/>
      <c r="D44" s="1268"/>
    </row>
    <row r="45" spans="1:4" x14ac:dyDescent="0.2">
      <c r="A45" s="2438"/>
      <c r="B45" s="2438"/>
      <c r="D45" s="1268"/>
    </row>
    <row r="47" spans="1:4" x14ac:dyDescent="0.2">
      <c r="B47" s="1269" t="s">
        <v>1227</v>
      </c>
      <c r="C47" s="1269"/>
      <c r="D47" s="1270">
        <f>SUM(D35:D45)</f>
        <v>4172189</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0"/>
  <sheetViews>
    <sheetView showGridLines="0" zoomScaleNormal="100" workbookViewId="0"/>
  </sheetViews>
  <sheetFormatPr defaultColWidth="33.5703125" defaultRowHeight="12.75" x14ac:dyDescent="0.2"/>
  <cols>
    <col min="1" max="1" width="0.140625" style="317" customWidth="1"/>
    <col min="2" max="2" width="39.5703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Spec Educ Assoc of Peoria County</v>
      </c>
      <c r="C1" s="2443"/>
      <c r="D1" s="2443"/>
      <c r="E1" s="2443"/>
      <c r="F1" s="2443"/>
      <c r="G1" s="2443"/>
      <c r="H1" s="2443"/>
      <c r="I1" s="2443"/>
      <c r="J1" s="2443"/>
      <c r="K1" s="2443"/>
      <c r="L1" s="2443"/>
      <c r="M1" s="2443"/>
    </row>
    <row r="2" spans="2:14" ht="15" x14ac:dyDescent="0.2">
      <c r="B2" s="2444">
        <f>'Single Audit Cover'!E7</f>
        <v>4872000061</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1728</v>
      </c>
      <c r="H6" s="1303"/>
      <c r="I6" s="1303"/>
      <c r="J6" s="1303"/>
      <c r="K6" s="1306"/>
      <c r="L6" s="1307"/>
      <c r="M6" s="1308"/>
    </row>
    <row r="7" spans="2:14" x14ac:dyDescent="0.2">
      <c r="B7" s="1309" t="s">
        <v>1578</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1982</v>
      </c>
      <c r="K8" s="1316" t="s">
        <v>1261</v>
      </c>
      <c r="L8" s="1317" t="s">
        <v>1257</v>
      </c>
      <c r="M8" s="1318" t="s">
        <v>30</v>
      </c>
    </row>
    <row r="9" spans="2:14" ht="14.25" x14ac:dyDescent="0.2">
      <c r="B9" s="1322" t="s">
        <v>1259</v>
      </c>
      <c r="C9" s="1310" t="s">
        <v>1729</v>
      </c>
      <c r="D9" s="1311" t="s">
        <v>1730</v>
      </c>
      <c r="E9" s="1319" t="s">
        <v>1833</v>
      </c>
      <c r="F9" s="1320" t="s">
        <v>1982</v>
      </c>
      <c r="G9" s="1321" t="s">
        <v>1833</v>
      </c>
      <c r="H9" s="1314" t="s">
        <v>1579</v>
      </c>
      <c r="I9" s="1316" t="s">
        <v>1982</v>
      </c>
      <c r="J9" s="1315" t="s">
        <v>1579</v>
      </c>
      <c r="K9" s="1316" t="s">
        <v>1258</v>
      </c>
      <c r="L9" s="1323" t="s">
        <v>1580</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2092</v>
      </c>
      <c r="C11" s="1335"/>
      <c r="D11" s="1336"/>
      <c r="E11" s="1337"/>
      <c r="F11" s="1337"/>
      <c r="G11" s="1337"/>
      <c r="H11" s="1337"/>
      <c r="I11" s="1337"/>
      <c r="J11" s="1337"/>
      <c r="K11" s="1337"/>
      <c r="L11" s="1337"/>
      <c r="M11" s="1337"/>
    </row>
    <row r="12" spans="2:14" ht="20.100000000000001" customHeight="1" x14ac:dyDescent="0.2">
      <c r="B12" s="1334" t="s">
        <v>2095</v>
      </c>
      <c r="C12" s="1335"/>
      <c r="D12" s="1336"/>
      <c r="E12" s="1337"/>
      <c r="F12" s="1337"/>
      <c r="G12" s="1337"/>
      <c r="H12" s="1337"/>
      <c r="I12" s="1337"/>
      <c r="J12" s="1337"/>
      <c r="K12" s="1337"/>
      <c r="L12" s="1337"/>
      <c r="M12" s="1337"/>
    </row>
    <row r="13" spans="2:14" ht="20.100000000000001" customHeight="1" x14ac:dyDescent="0.2">
      <c r="B13" s="1334" t="s">
        <v>2096</v>
      </c>
      <c r="C13" s="1338">
        <v>84.173000000000002</v>
      </c>
      <c r="D13" s="1339" t="s">
        <v>2093</v>
      </c>
      <c r="E13" s="1340">
        <v>70191</v>
      </c>
      <c r="F13" s="1340">
        <v>14559</v>
      </c>
      <c r="G13" s="1340">
        <v>76038</v>
      </c>
      <c r="H13" s="1340">
        <v>0</v>
      </c>
      <c r="I13" s="1340">
        <v>8712</v>
      </c>
      <c r="J13" s="1947">
        <v>0</v>
      </c>
      <c r="K13" s="1340">
        <v>0</v>
      </c>
      <c r="L13" s="1337">
        <f t="shared" ref="L13:L19" si="0">+G13+I13+K13</f>
        <v>84750</v>
      </c>
      <c r="M13" s="1340">
        <v>102923</v>
      </c>
    </row>
    <row r="14" spans="2:14" ht="20.100000000000001" customHeight="1" x14ac:dyDescent="0.2">
      <c r="B14" s="1334"/>
      <c r="C14" s="1338"/>
      <c r="D14" s="1339" t="s">
        <v>2094</v>
      </c>
      <c r="E14" s="1340">
        <v>0</v>
      </c>
      <c r="F14" s="1945">
        <v>102385</v>
      </c>
      <c r="G14" s="1340">
        <v>0</v>
      </c>
      <c r="H14" s="1340">
        <v>0</v>
      </c>
      <c r="I14" s="1945">
        <v>120071</v>
      </c>
      <c r="J14" s="1948">
        <v>138</v>
      </c>
      <c r="K14" s="1340">
        <v>0</v>
      </c>
      <c r="L14" s="1337">
        <f t="shared" si="0"/>
        <v>120071</v>
      </c>
      <c r="M14" s="1340">
        <v>130541</v>
      </c>
    </row>
    <row r="15" spans="2:14" ht="20.100000000000001" customHeight="1" x14ac:dyDescent="0.2">
      <c r="B15" s="1334" t="s">
        <v>2097</v>
      </c>
      <c r="C15" s="1338"/>
      <c r="D15" s="1339"/>
      <c r="E15" s="1340"/>
      <c r="F15" s="1337">
        <f>F14+F13</f>
        <v>116944</v>
      </c>
      <c r="G15" s="1340"/>
      <c r="H15" s="1340"/>
      <c r="I15" s="1337">
        <f>I13+I14</f>
        <v>128783</v>
      </c>
      <c r="J15" s="1337">
        <f>J13+J14</f>
        <v>138</v>
      </c>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2098</v>
      </c>
      <c r="C17" s="1338">
        <v>84.027000000000001</v>
      </c>
      <c r="D17" s="1339" t="s">
        <v>2100</v>
      </c>
      <c r="E17" s="1340">
        <v>2461893</v>
      </c>
      <c r="F17" s="1340">
        <v>472602</v>
      </c>
      <c r="G17" s="1340">
        <v>2671369</v>
      </c>
      <c r="H17" s="1340">
        <v>0</v>
      </c>
      <c r="I17" s="1340">
        <v>263126</v>
      </c>
      <c r="J17" s="1340">
        <v>71049</v>
      </c>
      <c r="K17" s="1340">
        <v>0</v>
      </c>
      <c r="L17" s="1337">
        <f t="shared" si="0"/>
        <v>2934495</v>
      </c>
      <c r="M17" s="1340">
        <v>3311078</v>
      </c>
    </row>
    <row r="18" spans="2:14" ht="20.100000000000001" customHeight="1" x14ac:dyDescent="0.2">
      <c r="B18" s="1334"/>
      <c r="C18" s="1338"/>
      <c r="D18" s="1339" t="s">
        <v>2101</v>
      </c>
      <c r="E18" s="1340">
        <v>0</v>
      </c>
      <c r="F18" s="1945">
        <v>3312285</v>
      </c>
      <c r="G18" s="1340">
        <v>0</v>
      </c>
      <c r="H18" s="1340">
        <v>0</v>
      </c>
      <c r="I18" s="1945">
        <v>3809006</v>
      </c>
      <c r="J18" s="1945">
        <v>243721</v>
      </c>
      <c r="K18" s="1340">
        <v>0</v>
      </c>
      <c r="L18" s="1337">
        <f t="shared" si="0"/>
        <v>3809006</v>
      </c>
      <c r="M18" s="1340">
        <v>4876388</v>
      </c>
    </row>
    <row r="19" spans="2:14" ht="20.100000000000001" customHeight="1" x14ac:dyDescent="0.2">
      <c r="B19" s="1334" t="s">
        <v>2099</v>
      </c>
      <c r="C19" s="1338"/>
      <c r="D19" s="1339"/>
      <c r="E19" s="1340"/>
      <c r="F19" s="1337">
        <f>F17+F18</f>
        <v>3784887</v>
      </c>
      <c r="G19" s="1340"/>
      <c r="H19" s="1340"/>
      <c r="I19" s="1337">
        <f>I17+I18</f>
        <v>4072132</v>
      </c>
      <c r="J19" s="1337">
        <f>J17+J18</f>
        <v>314770</v>
      </c>
      <c r="K19" s="1340"/>
      <c r="L19" s="1337">
        <f t="shared" si="0"/>
        <v>4072132</v>
      </c>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t="s">
        <v>2102</v>
      </c>
      <c r="C21" s="1338"/>
      <c r="D21" s="1339"/>
      <c r="E21" s="1340"/>
      <c r="F21" s="1340">
        <f>F15+F19</f>
        <v>3901831</v>
      </c>
      <c r="G21" s="1340"/>
      <c r="H21" s="1340"/>
      <c r="I21" s="1340">
        <f>I15+I19</f>
        <v>4200915</v>
      </c>
      <c r="J21" s="1340"/>
      <c r="K21" s="1340"/>
      <c r="L21" s="1337"/>
      <c r="M21" s="1340"/>
    </row>
    <row r="22" spans="2:14" ht="20.100000000000001" customHeight="1" x14ac:dyDescent="0.2">
      <c r="B22" s="1334" t="s">
        <v>2103</v>
      </c>
      <c r="C22" s="1338"/>
      <c r="D22" s="1339"/>
      <c r="E22" s="1340"/>
      <c r="F22" s="1340">
        <f>F15+F19</f>
        <v>3901831</v>
      </c>
      <c r="G22" s="1340"/>
      <c r="H22" s="1340"/>
      <c r="I22" s="1340">
        <f>I15+I19</f>
        <v>4200915</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c r="N25" s="1341"/>
    </row>
    <row r="26" spans="2:14" ht="12.75" customHeight="1" x14ac:dyDescent="0.2">
      <c r="B26" s="1342"/>
      <c r="C26" s="1343"/>
      <c r="D26" s="1344"/>
      <c r="E26" s="1345"/>
      <c r="F26" s="1345"/>
      <c r="G26" s="1345"/>
      <c r="H26" s="1345"/>
      <c r="I26" s="1345"/>
      <c r="J26" s="1345"/>
      <c r="K26" s="1345"/>
      <c r="L26" s="1345"/>
      <c r="M26" s="1345"/>
      <c r="N26" s="1341"/>
    </row>
    <row r="27" spans="2:14" x14ac:dyDescent="0.2">
      <c r="B27" s="1254"/>
      <c r="C27" s="1346"/>
      <c r="D27" s="1347"/>
      <c r="E27" s="1254"/>
      <c r="F27" s="1254"/>
      <c r="G27" s="1247"/>
      <c r="H27" s="1247"/>
      <c r="I27" s="1247"/>
      <c r="J27" s="1247"/>
      <c r="K27" s="1247"/>
      <c r="L27" s="1247"/>
      <c r="M27" s="1254"/>
      <c r="N27" s="1341"/>
    </row>
    <row r="28" spans="2:14" ht="13.5" customHeight="1" x14ac:dyDescent="0.2">
      <c r="B28" s="1279" t="s">
        <v>1731</v>
      </c>
      <c r="C28" s="1346"/>
      <c r="D28" s="1347"/>
      <c r="E28" s="1254"/>
      <c r="F28" s="1254"/>
      <c r="G28" s="1247"/>
      <c r="H28" s="1247"/>
      <c r="I28" s="1247"/>
      <c r="J28" s="1247"/>
      <c r="K28" s="1247"/>
      <c r="L28" s="1247"/>
      <c r="M28" s="1254"/>
      <c r="N28" s="1341"/>
    </row>
    <row r="29" spans="2:14" ht="8.25" customHeight="1" x14ac:dyDescent="0.2">
      <c r="B29" s="1279"/>
      <c r="C29" s="1346"/>
      <c r="D29" s="1347"/>
      <c r="E29" s="1254"/>
      <c r="F29" s="1254"/>
      <c r="G29" s="1247"/>
      <c r="H29" s="1247"/>
      <c r="I29" s="1247"/>
      <c r="J29" s="1247"/>
      <c r="K29" s="1247"/>
      <c r="L29" s="1247"/>
      <c r="M29" s="1254"/>
      <c r="N29" s="1341"/>
    </row>
    <row r="30" spans="2:14" x14ac:dyDescent="0.2">
      <c r="B30" s="1348" t="s">
        <v>1834</v>
      </c>
      <c r="C30" s="1349"/>
      <c r="D30" s="1350"/>
      <c r="E30" s="1351"/>
      <c r="F30" s="1351"/>
      <c r="G30" s="1351"/>
      <c r="H30" s="1351"/>
      <c r="I30" s="317"/>
      <c r="J30" s="317"/>
    </row>
    <row r="31" spans="2:14" x14ac:dyDescent="0.2">
      <c r="B31" s="1274"/>
      <c r="C31" s="1352"/>
      <c r="D31" s="1353"/>
      <c r="E31" s="1275"/>
      <c r="F31" s="1275"/>
      <c r="G31" s="317"/>
      <c r="H31" s="317"/>
      <c r="I31" s="317"/>
      <c r="J31" s="317"/>
    </row>
    <row r="32" spans="2:14" ht="13.5" customHeight="1" x14ac:dyDescent="0.2">
      <c r="B32" s="1273" t="s">
        <v>1246</v>
      </c>
      <c r="G32" s="317"/>
      <c r="H32" s="317"/>
      <c r="I32" s="317"/>
      <c r="J32" s="317"/>
    </row>
    <row r="33" spans="2:13" ht="13.5" customHeight="1" x14ac:dyDescent="0.2">
      <c r="B33" s="1356"/>
      <c r="C33" s="1357"/>
      <c r="D33" s="1358"/>
      <c r="E33" s="1294"/>
      <c r="F33" s="1294"/>
      <c r="G33" s="1294"/>
      <c r="H33" s="1294"/>
      <c r="I33" s="1294"/>
      <c r="J33" s="1294"/>
      <c r="K33" s="1359"/>
      <c r="L33" s="1359"/>
      <c r="M33" s="1294"/>
    </row>
    <row r="34" spans="2:13" ht="9.6" customHeight="1" x14ac:dyDescent="0.2">
      <c r="B34" s="1360"/>
      <c r="G34" s="317"/>
      <c r="H34" s="317"/>
      <c r="I34" s="317"/>
      <c r="J34" s="317"/>
    </row>
    <row r="35" spans="2:13" ht="11.25" customHeight="1" x14ac:dyDescent="0.2">
      <c r="B35" s="1361" t="s">
        <v>1732</v>
      </c>
      <c r="C35" s="1362"/>
      <c r="D35" s="1362"/>
      <c r="E35" s="1362"/>
      <c r="F35" s="1362"/>
      <c r="G35" s="1362"/>
      <c r="H35" s="1362"/>
      <c r="I35" s="1363"/>
      <c r="J35" s="1363"/>
      <c r="K35" s="1363"/>
      <c r="L35" s="1363"/>
      <c r="M35" s="1363"/>
    </row>
    <row r="36" spans="2:13" ht="11.25" customHeight="1" x14ac:dyDescent="0.2">
      <c r="B36" s="1364" t="s">
        <v>1581</v>
      </c>
      <c r="C36" s="1363"/>
      <c r="D36" s="1363"/>
      <c r="E36" s="1363"/>
      <c r="F36" s="1363"/>
      <c r="G36" s="1363"/>
      <c r="H36" s="1363"/>
      <c r="I36" s="1363"/>
      <c r="J36" s="1363"/>
      <c r="K36" s="1363"/>
      <c r="L36" s="1363"/>
      <c r="M36" s="1363"/>
    </row>
    <row r="37" spans="2:13" ht="3.95" customHeight="1" x14ac:dyDescent="0.2">
      <c r="B37" s="1364"/>
      <c r="C37" s="1363"/>
      <c r="D37" s="1363"/>
      <c r="E37" s="1363"/>
      <c r="F37" s="1363"/>
      <c r="G37" s="1363"/>
      <c r="H37" s="1363"/>
      <c r="I37" s="1363"/>
      <c r="J37" s="1363"/>
      <c r="K37" s="1363"/>
      <c r="L37" s="1363"/>
      <c r="M37" s="1363"/>
    </row>
    <row r="38" spans="2:13" ht="11.25" customHeight="1" x14ac:dyDescent="0.2">
      <c r="B38" s="1361" t="s">
        <v>1733</v>
      </c>
      <c r="C38" s="1363"/>
      <c r="D38" s="1363"/>
      <c r="E38" s="1363"/>
      <c r="F38" s="1363"/>
      <c r="G38" s="1363"/>
      <c r="H38" s="1363"/>
      <c r="I38" s="1363"/>
      <c r="J38" s="1363"/>
      <c r="K38" s="1363"/>
      <c r="L38" s="1363"/>
      <c r="M38" s="1363"/>
    </row>
    <row r="39" spans="2:13" ht="11.25" customHeight="1" x14ac:dyDescent="0.2">
      <c r="B39" s="1297" t="s">
        <v>1582</v>
      </c>
      <c r="C39" s="1365"/>
      <c r="D39" s="1366"/>
      <c r="E39" s="1297"/>
      <c r="F39" s="1297"/>
      <c r="G39" s="1297"/>
      <c r="H39" s="1297"/>
      <c r="I39" s="1297"/>
      <c r="J39" s="1297"/>
      <c r="K39" s="1367"/>
      <c r="L39" s="1367"/>
      <c r="M39" s="1297"/>
    </row>
    <row r="40" spans="2:13" ht="3.95" customHeight="1" x14ac:dyDescent="0.2">
      <c r="B40" s="1297"/>
      <c r="C40" s="1365"/>
      <c r="D40" s="1366"/>
      <c r="E40" s="1297"/>
      <c r="F40" s="1297"/>
      <c r="G40" s="1297"/>
      <c r="H40" s="1297"/>
      <c r="I40" s="1297"/>
      <c r="J40" s="1297"/>
      <c r="K40" s="1367"/>
      <c r="L40" s="1367"/>
      <c r="M40" s="1297"/>
    </row>
    <row r="41" spans="2:13" ht="11.25" customHeight="1" x14ac:dyDescent="0.2">
      <c r="B41" s="1368" t="s">
        <v>1734</v>
      </c>
      <c r="C41" s="1365"/>
      <c r="D41" s="1366"/>
      <c r="E41" s="1297"/>
      <c r="F41" s="1297"/>
      <c r="G41" s="1297"/>
      <c r="H41" s="1297"/>
      <c r="I41" s="1297"/>
      <c r="J41" s="1297"/>
      <c r="K41" s="1367"/>
      <c r="L41" s="1367"/>
      <c r="M41" s="1297"/>
    </row>
    <row r="42" spans="2:13" ht="3.95" customHeight="1" x14ac:dyDescent="0.2">
      <c r="B42" s="1368"/>
      <c r="C42" s="1365"/>
      <c r="D42" s="1366"/>
      <c r="E42" s="1297"/>
      <c r="F42" s="1297"/>
      <c r="G42" s="1297"/>
      <c r="H42" s="1297"/>
      <c r="I42" s="1297"/>
      <c r="J42" s="1297"/>
      <c r="K42" s="1367"/>
      <c r="L42" s="1367"/>
      <c r="M42" s="1297"/>
    </row>
    <row r="43" spans="2:13" ht="11.25" customHeight="1" x14ac:dyDescent="0.2">
      <c r="B43" s="1369" t="s">
        <v>1735</v>
      </c>
      <c r="C43" s="1365"/>
      <c r="D43" s="1366"/>
      <c r="E43" s="1297"/>
      <c r="F43" s="1297"/>
      <c r="G43" s="1297"/>
      <c r="H43" s="1297"/>
      <c r="I43" s="1297"/>
      <c r="J43" s="1297"/>
      <c r="K43" s="1367"/>
      <c r="L43" s="1367"/>
      <c r="M43" s="1297"/>
    </row>
    <row r="44" spans="2:13" ht="11.25" customHeight="1" x14ac:dyDescent="0.2">
      <c r="B44" s="1297" t="s">
        <v>1583</v>
      </c>
      <c r="G44" s="317"/>
      <c r="H44" s="317"/>
      <c r="I44" s="317"/>
      <c r="J44" s="317"/>
    </row>
    <row r="45" spans="2:13" ht="11.1" customHeight="1" x14ac:dyDescent="0.2">
      <c r="B45" s="1297"/>
      <c r="G45" s="317"/>
      <c r="H45" s="317"/>
      <c r="I45" s="317"/>
      <c r="J45" s="317"/>
    </row>
    <row r="46" spans="2:13" ht="11.1" customHeight="1" x14ac:dyDescent="0.2">
      <c r="B46" s="1297"/>
      <c r="G46" s="317"/>
      <c r="H46" s="317"/>
      <c r="I46" s="317"/>
      <c r="J46" s="317"/>
    </row>
    <row r="47" spans="2:13" ht="13.5" customHeight="1" x14ac:dyDescent="0.2">
      <c r="M47" s="1370"/>
    </row>
    <row r="48" spans="2:13" ht="13.5" customHeight="1" x14ac:dyDescent="0.2">
      <c r="M48" s="1370"/>
    </row>
    <row r="49" spans="7:13" ht="13.5" customHeight="1" x14ac:dyDescent="0.2">
      <c r="M49" s="1370"/>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40a&amp;R&amp;8Page 40a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1"/>
  <sheetViews>
    <sheetView showGridLines="0" zoomScaleNormal="100" workbookViewId="0"/>
  </sheetViews>
  <sheetFormatPr defaultColWidth="33.5703125" defaultRowHeight="12.75" x14ac:dyDescent="0.2"/>
  <cols>
    <col min="1" max="1" width="0.140625" style="317" customWidth="1"/>
    <col min="2" max="2" width="52.4257812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8" t="str">
        <f>'Single Audit Cover'!A7</f>
        <v>Spec Educ Assoc of Peoria County</v>
      </c>
      <c r="C1" s="2443"/>
      <c r="D1" s="2443"/>
      <c r="E1" s="2443"/>
      <c r="F1" s="2443"/>
      <c r="G1" s="2443"/>
      <c r="H1" s="2443"/>
      <c r="I1" s="2443"/>
      <c r="J1" s="2443"/>
      <c r="K1" s="2443"/>
      <c r="L1" s="2443"/>
      <c r="M1" s="2443"/>
    </row>
    <row r="2" spans="2:14" ht="15" x14ac:dyDescent="0.2">
      <c r="B2" s="2444">
        <f>'Single Audit Cover'!E7</f>
        <v>4872000061</v>
      </c>
      <c r="C2" s="2444"/>
      <c r="D2" s="2444"/>
      <c r="E2" s="2444"/>
      <c r="F2" s="2444"/>
      <c r="G2" s="2444"/>
      <c r="H2" s="2444"/>
      <c r="I2" s="2444"/>
      <c r="J2" s="2444"/>
      <c r="K2" s="2444"/>
      <c r="L2" s="2444"/>
      <c r="M2" s="2444"/>
      <c r="N2" s="1299"/>
    </row>
    <row r="3" spans="2:14" ht="15" x14ac:dyDescent="0.2">
      <c r="B3" s="2445" t="s">
        <v>1219</v>
      </c>
      <c r="C3" s="2445"/>
      <c r="D3" s="2445"/>
      <c r="E3" s="2445"/>
      <c r="F3" s="2445"/>
      <c r="G3" s="2445"/>
      <c r="H3" s="2445"/>
      <c r="I3" s="2445"/>
      <c r="J3" s="2445"/>
      <c r="K3" s="2445"/>
      <c r="L3" s="2445"/>
      <c r="M3" s="2445"/>
      <c r="N3" s="1299"/>
    </row>
    <row r="4" spans="2:14" ht="15" x14ac:dyDescent="0.2">
      <c r="B4" s="2446" t="str">
        <f>'Single Audit Cover'!A4</f>
        <v>Year Ending June 30, 2019</v>
      </c>
      <c r="C4" s="2446"/>
      <c r="D4" s="2446"/>
      <c r="E4" s="2446"/>
      <c r="F4" s="2446"/>
      <c r="G4" s="2446"/>
      <c r="H4" s="2446"/>
      <c r="I4" s="2446"/>
      <c r="J4" s="2446"/>
      <c r="K4" s="2446"/>
      <c r="L4" s="2446"/>
      <c r="M4" s="2446"/>
      <c r="N4" s="1299"/>
    </row>
    <row r="6" spans="2:14" x14ac:dyDescent="0.2">
      <c r="B6" s="1300"/>
      <c r="C6" s="1301"/>
      <c r="D6" s="1302" t="s">
        <v>1265</v>
      </c>
      <c r="E6" s="1303" t="s">
        <v>527</v>
      </c>
      <c r="F6" s="1304"/>
      <c r="G6" s="1305" t="s">
        <v>1728</v>
      </c>
      <c r="H6" s="1303"/>
      <c r="I6" s="1303"/>
      <c r="J6" s="1303"/>
      <c r="K6" s="1306"/>
      <c r="L6" s="1307"/>
      <c r="M6" s="1308"/>
    </row>
    <row r="7" spans="2:14" x14ac:dyDescent="0.2">
      <c r="B7" s="1309" t="s">
        <v>1578</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1833</v>
      </c>
      <c r="I8" s="1316" t="s">
        <v>1262</v>
      </c>
      <c r="J8" s="1315" t="s">
        <v>1982</v>
      </c>
      <c r="K8" s="1316" t="s">
        <v>1261</v>
      </c>
      <c r="L8" s="1317" t="s">
        <v>1257</v>
      </c>
      <c r="M8" s="1318" t="s">
        <v>30</v>
      </c>
    </row>
    <row r="9" spans="2:14" ht="14.25" x14ac:dyDescent="0.2">
      <c r="B9" s="1322" t="s">
        <v>1259</v>
      </c>
      <c r="C9" s="1310" t="s">
        <v>1729</v>
      </c>
      <c r="D9" s="1311" t="s">
        <v>1730</v>
      </c>
      <c r="E9" s="1319" t="s">
        <v>1833</v>
      </c>
      <c r="F9" s="1320" t="s">
        <v>1982</v>
      </c>
      <c r="G9" s="1321" t="s">
        <v>1833</v>
      </c>
      <c r="H9" s="1314" t="s">
        <v>1579</v>
      </c>
      <c r="I9" s="1316" t="s">
        <v>1982</v>
      </c>
      <c r="J9" s="1315" t="s">
        <v>1579</v>
      </c>
      <c r="K9" s="1316" t="s">
        <v>1258</v>
      </c>
      <c r="L9" s="1323" t="s">
        <v>1580</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2123</v>
      </c>
      <c r="C11" s="1335"/>
      <c r="D11" s="1336"/>
      <c r="E11" s="1337"/>
      <c r="F11" s="1337"/>
      <c r="G11" s="1337"/>
      <c r="H11" s="1337"/>
      <c r="I11" s="1337"/>
      <c r="J11" s="1337"/>
      <c r="K11" s="1337"/>
      <c r="L11" s="1337"/>
      <c r="M11" s="1337"/>
    </row>
    <row r="12" spans="2:14" ht="20.100000000000001" customHeight="1" x14ac:dyDescent="0.2">
      <c r="B12" s="1334" t="s">
        <v>2104</v>
      </c>
      <c r="C12" s="1338">
        <v>84.126000000000005</v>
      </c>
      <c r="D12" s="1339" t="s">
        <v>2107</v>
      </c>
      <c r="E12" s="1340">
        <v>53533</v>
      </c>
      <c r="F12" s="1340">
        <v>-2200</v>
      </c>
      <c r="G12" s="1340">
        <v>53533</v>
      </c>
      <c r="H12" s="1340">
        <v>0</v>
      </c>
      <c r="I12" s="1340">
        <v>-2200</v>
      </c>
      <c r="J12" s="1947">
        <v>0</v>
      </c>
      <c r="K12" s="1340">
        <v>0</v>
      </c>
      <c r="L12" s="1337">
        <f t="shared" ref="L12:L21" si="0">+G12+I12+K12</f>
        <v>51333</v>
      </c>
      <c r="M12" s="1340" t="s">
        <v>2091</v>
      </c>
    </row>
    <row r="13" spans="2:14" ht="20.100000000000001" customHeight="1" x14ac:dyDescent="0.2">
      <c r="B13" s="1334"/>
      <c r="C13" s="1338"/>
      <c r="D13" s="1339" t="s">
        <v>2108</v>
      </c>
      <c r="E13" s="1340">
        <v>0</v>
      </c>
      <c r="F13" s="1945">
        <v>75749</v>
      </c>
      <c r="G13" s="1340">
        <v>0</v>
      </c>
      <c r="H13" s="1340">
        <v>0</v>
      </c>
      <c r="I13" s="1945">
        <v>75749</v>
      </c>
      <c r="J13" s="1947">
        <v>0</v>
      </c>
      <c r="K13" s="1340">
        <v>0</v>
      </c>
      <c r="L13" s="1337">
        <f t="shared" si="0"/>
        <v>75749</v>
      </c>
      <c r="M13" s="1340" t="s">
        <v>2091</v>
      </c>
    </row>
    <row r="14" spans="2:14" ht="20.100000000000001" customHeight="1" x14ac:dyDescent="0.2">
      <c r="B14" s="1334" t="s">
        <v>2105</v>
      </c>
      <c r="C14" s="1338"/>
      <c r="D14" s="1339"/>
      <c r="E14" s="1340"/>
      <c r="F14" s="1946">
        <f>F13+F12</f>
        <v>73549</v>
      </c>
      <c r="G14" s="1340"/>
      <c r="H14" s="1340"/>
      <c r="I14" s="1946">
        <f>I12+I13</f>
        <v>73549</v>
      </c>
      <c r="J14" s="1337"/>
      <c r="K14" s="1340"/>
      <c r="L14" s="1337"/>
      <c r="M14" s="1340"/>
    </row>
    <row r="15" spans="2:14" ht="20.100000000000001" customHeight="1" x14ac:dyDescent="0.2">
      <c r="B15" s="1334"/>
      <c r="C15" s="1338"/>
      <c r="D15" s="1339"/>
      <c r="E15" s="1340"/>
      <c r="F15" s="1340"/>
      <c r="G15" s="1340"/>
      <c r="H15" s="1340"/>
      <c r="I15" s="1340"/>
      <c r="J15" s="1340"/>
      <c r="K15" s="1340"/>
      <c r="L15" s="1337"/>
      <c r="M15" s="1340"/>
    </row>
    <row r="16" spans="2:14" ht="20.100000000000001" customHeight="1" x14ac:dyDescent="0.2">
      <c r="B16" s="1334" t="s">
        <v>2106</v>
      </c>
      <c r="C16" s="1338"/>
      <c r="D16" s="1339"/>
      <c r="E16" s="1340"/>
      <c r="F16" s="1340">
        <f>' SEFA'!F22+' SEFA (2)'!F14</f>
        <v>3975380</v>
      </c>
      <c r="G16" s="1340"/>
      <c r="H16" s="1340"/>
      <c r="I16" s="1340">
        <f>' SEFA'!I22+' SEFA (2)'!I14</f>
        <v>4274464</v>
      </c>
      <c r="J16" s="1340"/>
      <c r="K16" s="1340"/>
      <c r="L16" s="1337"/>
      <c r="M16" s="1340"/>
    </row>
    <row r="17" spans="2:14" ht="20.100000000000001" customHeight="1" x14ac:dyDescent="0.2">
      <c r="B17" s="1334"/>
      <c r="C17" s="1338"/>
      <c r="D17" s="1339"/>
      <c r="E17" s="1340"/>
      <c r="F17" s="1945"/>
      <c r="G17" s="1340"/>
      <c r="H17" s="1340"/>
      <c r="I17" s="1945"/>
      <c r="J17" s="1945"/>
      <c r="K17" s="1340"/>
      <c r="L17" s="1337"/>
      <c r="M17" s="1340"/>
    </row>
    <row r="18" spans="2:14" ht="20.100000000000001" customHeight="1" x14ac:dyDescent="0.2">
      <c r="B18" s="1334" t="s">
        <v>2109</v>
      </c>
      <c r="C18" s="1338"/>
      <c r="D18" s="1339"/>
      <c r="E18" s="1340"/>
      <c r="F18" s="1337"/>
      <c r="G18" s="1340"/>
      <c r="H18" s="1340"/>
      <c r="I18" s="1337"/>
      <c r="J18" s="1337"/>
      <c r="K18" s="1340"/>
      <c r="L18" s="1337"/>
      <c r="M18" s="1340"/>
    </row>
    <row r="19" spans="2:14" ht="20.100000000000001" customHeight="1" x14ac:dyDescent="0.2">
      <c r="B19" s="1334" t="s">
        <v>2110</v>
      </c>
      <c r="C19" s="1338"/>
      <c r="D19" s="1339"/>
      <c r="E19" s="1340"/>
      <c r="F19" s="1340"/>
      <c r="G19" s="1340"/>
      <c r="H19" s="1340"/>
      <c r="I19" s="1340"/>
      <c r="J19" s="1340"/>
      <c r="K19" s="1340"/>
      <c r="L19" s="1337"/>
      <c r="M19" s="1340"/>
    </row>
    <row r="20" spans="2:14" ht="20.100000000000001" customHeight="1" x14ac:dyDescent="0.2">
      <c r="B20" s="1334" t="s">
        <v>2111</v>
      </c>
      <c r="C20" s="1338">
        <v>93.778000000000006</v>
      </c>
      <c r="D20" s="1339">
        <v>2018</v>
      </c>
      <c r="E20" s="1340">
        <v>133641</v>
      </c>
      <c r="F20" s="1340">
        <v>53837</v>
      </c>
      <c r="G20" s="1340">
        <v>133641</v>
      </c>
      <c r="H20" s="1340">
        <v>0</v>
      </c>
      <c r="I20" s="1340">
        <v>53837</v>
      </c>
      <c r="J20" s="1340">
        <v>0</v>
      </c>
      <c r="K20" s="1340">
        <v>0</v>
      </c>
      <c r="L20" s="1337">
        <f t="shared" si="0"/>
        <v>187478</v>
      </c>
      <c r="M20" s="1340" t="s">
        <v>2091</v>
      </c>
    </row>
    <row r="21" spans="2:14" ht="20.100000000000001" customHeight="1" x14ac:dyDescent="0.2">
      <c r="B21" s="1334"/>
      <c r="C21" s="1338"/>
      <c r="D21" s="1339">
        <v>2019</v>
      </c>
      <c r="E21" s="1340">
        <v>0</v>
      </c>
      <c r="F21" s="1945">
        <v>142972</v>
      </c>
      <c r="G21" s="1340">
        <v>0</v>
      </c>
      <c r="H21" s="1340">
        <v>0</v>
      </c>
      <c r="I21" s="1945">
        <v>142972</v>
      </c>
      <c r="J21" s="1340">
        <v>0</v>
      </c>
      <c r="K21" s="1340">
        <v>0</v>
      </c>
      <c r="L21" s="1337">
        <f t="shared" si="0"/>
        <v>142972</v>
      </c>
      <c r="M21" s="1340" t="s">
        <v>2091</v>
      </c>
    </row>
    <row r="22" spans="2:14" ht="20.100000000000001" customHeight="1" x14ac:dyDescent="0.2">
      <c r="B22" s="1334" t="s">
        <v>2112</v>
      </c>
      <c r="C22" s="1338"/>
      <c r="D22" s="1339"/>
      <c r="E22" s="1340"/>
      <c r="F22" s="1945">
        <f>F20+F21</f>
        <v>196809</v>
      </c>
      <c r="G22" s="1340"/>
      <c r="H22" s="1340"/>
      <c r="I22" s="1945">
        <f>I20+I21</f>
        <v>196809</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t="s">
        <v>2113</v>
      </c>
      <c r="C24" s="1338"/>
      <c r="D24" s="1339"/>
      <c r="E24" s="1340"/>
      <c r="F24" s="1340">
        <f>F16+F22</f>
        <v>4172189</v>
      </c>
      <c r="G24" s="1340"/>
      <c r="H24" s="1340"/>
      <c r="I24" s="1340">
        <f>I22+I16</f>
        <v>4471273</v>
      </c>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c r="N26" s="1341"/>
    </row>
    <row r="27" spans="2:14" ht="12.75" customHeight="1" x14ac:dyDescent="0.2">
      <c r="B27" s="1342"/>
      <c r="C27" s="1343"/>
      <c r="D27" s="1344"/>
      <c r="E27" s="1345"/>
      <c r="F27" s="1345"/>
      <c r="G27" s="1345"/>
      <c r="H27" s="1345"/>
      <c r="I27" s="1345"/>
      <c r="J27" s="1345"/>
      <c r="K27" s="1345"/>
      <c r="L27" s="1345"/>
      <c r="M27" s="1345"/>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1731</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1834</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1246</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1732</v>
      </c>
      <c r="C36" s="1362"/>
      <c r="D36" s="1362"/>
      <c r="E36" s="1362"/>
      <c r="F36" s="1362"/>
      <c r="G36" s="1362"/>
      <c r="H36" s="1362"/>
      <c r="I36" s="1363"/>
      <c r="J36" s="1363"/>
      <c r="K36" s="1363"/>
      <c r="L36" s="1363"/>
      <c r="M36" s="1363"/>
    </row>
    <row r="37" spans="2:13" ht="11.25" customHeight="1" x14ac:dyDescent="0.2">
      <c r="B37" s="1364" t="s">
        <v>1581</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1733</v>
      </c>
      <c r="C39" s="1363"/>
      <c r="D39" s="1363"/>
      <c r="E39" s="1363"/>
      <c r="F39" s="1363"/>
      <c r="G39" s="1363"/>
      <c r="H39" s="1363"/>
      <c r="I39" s="1363"/>
      <c r="J39" s="1363"/>
      <c r="K39" s="1363"/>
      <c r="L39" s="1363"/>
      <c r="M39" s="1363"/>
    </row>
    <row r="40" spans="2:13" ht="11.25" customHeight="1" x14ac:dyDescent="0.2">
      <c r="B40" s="1297" t="s">
        <v>1582</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1734</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1735</v>
      </c>
      <c r="C44" s="1365"/>
      <c r="D44" s="1366"/>
      <c r="E44" s="1297"/>
      <c r="F44" s="1297"/>
      <c r="G44" s="1297"/>
      <c r="H44" s="1297"/>
      <c r="I44" s="1297"/>
      <c r="J44" s="1297"/>
      <c r="K44" s="1367"/>
      <c r="L44" s="1367"/>
      <c r="M44" s="1297"/>
    </row>
    <row r="45" spans="2:13" ht="11.25" customHeight="1" x14ac:dyDescent="0.2">
      <c r="B45" s="1297" t="s">
        <v>1583</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75" firstPageNumber="38" orientation="landscape" useFirstPageNumber="1" r:id="rId1"/>
  <headerFooter alignWithMargins="0">
    <oddHeader>&amp;L&amp;8Page 40b&amp;R&amp;8Page 40b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969</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1629</v>
      </c>
    </row>
    <row r="31" spans="1:4" s="181" customFormat="1" x14ac:dyDescent="0.2">
      <c r="A31" s="219"/>
      <c r="B31" s="226"/>
      <c r="C31" s="227">
        <v>14</v>
      </c>
      <c r="D31" s="231" t="s">
        <v>1938</v>
      </c>
    </row>
    <row r="32" spans="1:4" s="181" customFormat="1" x14ac:dyDescent="0.2">
      <c r="A32" s="219"/>
      <c r="B32" s="236"/>
      <c r="C32" s="227"/>
      <c r="D32" s="237" t="s">
        <v>1787</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1630</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2059</v>
      </c>
      <c r="C50" s="227">
        <v>20</v>
      </c>
      <c r="D50" s="243" t="s">
        <v>1636</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1459</v>
      </c>
      <c r="E53" s="248"/>
      <c r="F53" s="249"/>
      <c r="G53" s="249" t="s">
        <v>1458</v>
      </c>
      <c r="H53" s="250"/>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t="s">
        <v>2076</v>
      </c>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1320</v>
      </c>
      <c r="B70" s="2079"/>
      <c r="C70" s="2079"/>
      <c r="D70" s="2079"/>
      <c r="E70" s="2080"/>
      <c r="F70" s="2080"/>
      <c r="G70" s="2080"/>
      <c r="H70" s="2080"/>
      <c r="I70" s="2080"/>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1923</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1939</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1644</v>
      </c>
      <c r="G77" s="297" t="s">
        <v>1898</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1317</v>
      </c>
      <c r="B83" s="2081"/>
      <c r="C83" s="2081"/>
      <c r="D83" s="2082"/>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1921</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1921</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1922</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1169</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2068</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1327</v>
      </c>
      <c r="D117" s="2074"/>
      <c r="E117" s="2075"/>
      <c r="F117" s="2075"/>
      <c r="G117" s="2075"/>
      <c r="H117" s="2075"/>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1899</v>
      </c>
      <c r="G119" s="328"/>
      <c r="H119" s="328"/>
      <c r="I119" s="304"/>
    </row>
    <row r="120" spans="1:9" x14ac:dyDescent="0.2">
      <c r="A120" s="329"/>
      <c r="B120" s="180"/>
      <c r="C120" s="330"/>
      <c r="D120" s="256"/>
      <c r="E120" s="256"/>
      <c r="F120" s="256"/>
      <c r="G120" s="256"/>
      <c r="H120" s="256"/>
      <c r="I120" s="304"/>
    </row>
    <row r="121" spans="1:9" x14ac:dyDescent="0.2">
      <c r="A121" s="329"/>
      <c r="B121" s="1488"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Normal="100" workbookViewId="0"/>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Spec Educ Assoc of Peoria County</v>
      </c>
      <c r="B1" s="2448"/>
      <c r="C1" s="2448"/>
      <c r="D1" s="2448"/>
      <c r="E1" s="2448"/>
      <c r="F1" s="2448"/>
    </row>
    <row r="2" spans="1:7" ht="13.5" customHeight="1" x14ac:dyDescent="0.2">
      <c r="A2" s="2444">
        <f>'Single Audit Cover'!E7</f>
        <v>4872000061</v>
      </c>
      <c r="B2" s="2444"/>
      <c r="C2" s="2444"/>
      <c r="D2" s="2444"/>
      <c r="E2" s="2444"/>
      <c r="F2" s="2444"/>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1725</v>
      </c>
      <c r="C6" s="317"/>
      <c r="D6" s="317"/>
    </row>
    <row r="7" spans="1:7" ht="72.75" customHeight="1" x14ac:dyDescent="0.2">
      <c r="A7" s="2447" t="s">
        <v>2124</v>
      </c>
      <c r="B7" s="2447"/>
      <c r="C7" s="2447"/>
      <c r="D7" s="2447"/>
      <c r="E7" s="2447"/>
      <c r="F7" s="2447"/>
    </row>
    <row r="8" spans="1:7" ht="12" customHeight="1" x14ac:dyDescent="0.2">
      <c r="A8" s="1273"/>
      <c r="B8" s="1279"/>
      <c r="C8" s="1279"/>
      <c r="D8" s="1279"/>
    </row>
    <row r="9" spans="1:7" ht="15" customHeight="1" x14ac:dyDescent="0.2">
      <c r="A9" s="1274" t="s">
        <v>1726</v>
      </c>
      <c r="B9" s="1277"/>
      <c r="C9" s="1277"/>
      <c r="D9" s="1277"/>
      <c r="E9" s="1275"/>
      <c r="F9" s="1275"/>
      <c r="G9" s="1275"/>
    </row>
    <row r="10" spans="1:7" ht="15" customHeight="1" x14ac:dyDescent="0.2">
      <c r="A10" s="1276" t="s">
        <v>1544</v>
      </c>
      <c r="B10" s="1277"/>
      <c r="C10" s="1278" t="s">
        <v>2059</v>
      </c>
      <c r="D10" s="1277" t="s">
        <v>1545</v>
      </c>
      <c r="E10" s="1278"/>
      <c r="F10" s="1277" t="s">
        <v>99</v>
      </c>
      <c r="G10" s="1275"/>
    </row>
    <row r="11" spans="1:7" ht="12" customHeight="1" x14ac:dyDescent="0.2">
      <c r="A11" s="1276"/>
      <c r="B11" s="1277"/>
      <c r="C11" s="1902"/>
      <c r="D11" s="1277"/>
      <c r="E11" s="1902"/>
      <c r="F11" s="1277"/>
      <c r="G11" s="1275"/>
    </row>
    <row r="12" spans="1:7" x14ac:dyDescent="0.2">
      <c r="A12" s="1273" t="s">
        <v>1584</v>
      </c>
      <c r="C12" s="1257"/>
      <c r="D12" s="1257"/>
    </row>
    <row r="13" spans="1:7" ht="15" customHeight="1" x14ac:dyDescent="0.2">
      <c r="A13" s="2447" t="s">
        <v>2090</v>
      </c>
      <c r="B13" s="2447"/>
      <c r="C13" s="2447"/>
      <c r="D13" s="2447"/>
      <c r="E13" s="2447"/>
      <c r="F13" s="2447"/>
    </row>
    <row r="14" spans="1:7" ht="9.75" customHeight="1" x14ac:dyDescent="0.2">
      <c r="C14" s="1257"/>
      <c r="D14" s="1257"/>
    </row>
    <row r="15" spans="1:7" ht="13.5" customHeight="1" x14ac:dyDescent="0.2">
      <c r="C15" s="1846" t="s">
        <v>1270</v>
      </c>
      <c r="D15" s="2452" t="s">
        <v>1269</v>
      </c>
      <c r="E15" s="2452"/>
      <c r="F15" s="2452"/>
    </row>
    <row r="16" spans="1:7" ht="13.5" customHeight="1" x14ac:dyDescent="0.2">
      <c r="A16" s="1279"/>
      <c r="B16" s="1273" t="s">
        <v>1268</v>
      </c>
      <c r="C16" s="1846" t="s">
        <v>1267</v>
      </c>
      <c r="D16" s="2453" t="s">
        <v>1585</v>
      </c>
      <c r="E16" s="2453"/>
      <c r="F16" s="2453"/>
    </row>
    <row r="17" spans="1:6" ht="20.45" customHeight="1" x14ac:dyDescent="0.2">
      <c r="A17" s="1280"/>
      <c r="B17" s="1281" t="s">
        <v>2114</v>
      </c>
      <c r="C17" s="1282">
        <v>84.173000000000002</v>
      </c>
      <c r="D17" s="2451">
        <f>' SEFA'!J15</f>
        <v>138</v>
      </c>
      <c r="E17" s="2451"/>
      <c r="F17" s="2451"/>
    </row>
    <row r="18" spans="1:6" ht="20.65" customHeight="1" x14ac:dyDescent="0.2">
      <c r="A18" s="1280"/>
      <c r="B18" s="1281" t="s">
        <v>2115</v>
      </c>
      <c r="C18" s="1282">
        <v>84.027000000000001</v>
      </c>
      <c r="D18" s="2451">
        <f>' SEFA'!J19</f>
        <v>314770</v>
      </c>
      <c r="E18" s="2451"/>
      <c r="F18" s="2451"/>
    </row>
    <row r="19" spans="1:6" ht="20.65" customHeight="1" x14ac:dyDescent="0.2">
      <c r="A19" s="1280"/>
      <c r="B19" s="1281"/>
      <c r="C19" s="1282"/>
      <c r="D19" s="2451"/>
      <c r="E19" s="2451"/>
      <c r="F19" s="2451"/>
    </row>
    <row r="20" spans="1:6" ht="20.65" customHeight="1" x14ac:dyDescent="0.2">
      <c r="A20" s="1280"/>
      <c r="B20" s="1281"/>
      <c r="C20" s="1282"/>
      <c r="D20" s="2451"/>
      <c r="E20" s="2451"/>
      <c r="F20" s="2451"/>
    </row>
    <row r="21" spans="1:6" ht="20.65" customHeight="1" x14ac:dyDescent="0.2">
      <c r="A21" s="1280"/>
      <c r="B21" s="1281"/>
      <c r="C21" s="1282"/>
      <c r="D21" s="2451"/>
      <c r="E21" s="2451"/>
      <c r="F21" s="2451"/>
    </row>
    <row r="22" spans="1:6" ht="20.65" customHeight="1" x14ac:dyDescent="0.2">
      <c r="A22" s="1280"/>
      <c r="B22" s="1281"/>
      <c r="C22" s="1282"/>
      <c r="D22" s="2451"/>
      <c r="E22" s="2451"/>
      <c r="F22" s="2451"/>
    </row>
    <row r="23" spans="1:6" ht="20.65" customHeight="1" x14ac:dyDescent="0.2">
      <c r="A23" s="1280"/>
      <c r="B23" s="1281"/>
      <c r="C23" s="1282"/>
      <c r="D23" s="2451"/>
      <c r="E23" s="2451"/>
      <c r="F23" s="2451"/>
    </row>
    <row r="24" spans="1:6" ht="20.65" customHeight="1" x14ac:dyDescent="0.2">
      <c r="A24" s="1280"/>
      <c r="B24" s="1281"/>
      <c r="C24" s="1282"/>
      <c r="D24" s="2451"/>
      <c r="E24" s="2451"/>
      <c r="F24" s="2451"/>
    </row>
    <row r="25" spans="1:6" ht="20.65" customHeight="1" x14ac:dyDescent="0.2">
      <c r="A25" s="1280"/>
      <c r="B25" s="1281"/>
      <c r="C25" s="1282"/>
      <c r="D25" s="2451"/>
      <c r="E25" s="2451"/>
      <c r="F25" s="2451"/>
    </row>
    <row r="26" spans="1:6" ht="20.65" customHeight="1" x14ac:dyDescent="0.2">
      <c r="A26" s="1280"/>
      <c r="B26" s="1281"/>
      <c r="C26" s="1282"/>
      <c r="D26" s="2451"/>
      <c r="E26" s="2451"/>
      <c r="F26" s="2451"/>
    </row>
    <row r="27" spans="1:6" ht="20.65" customHeight="1" x14ac:dyDescent="0.2">
      <c r="A27" s="1280"/>
      <c r="B27" s="1281"/>
      <c r="C27" s="1282"/>
      <c r="D27" s="2451"/>
      <c r="E27" s="2451"/>
      <c r="F27" s="2451"/>
    </row>
    <row r="28" spans="1:6" ht="20.65" customHeight="1" x14ac:dyDescent="0.2">
      <c r="A28" s="1280"/>
      <c r="B28" s="1281"/>
      <c r="C28" s="1282"/>
      <c r="D28" s="2451"/>
      <c r="E28" s="2451"/>
      <c r="F28" s="2451"/>
    </row>
    <row r="29" spans="1:6" ht="20.65" customHeight="1" x14ac:dyDescent="0.2">
      <c r="A29" s="1280"/>
      <c r="B29" s="1281"/>
      <c r="C29" s="1282"/>
      <c r="D29" s="2451"/>
      <c r="E29" s="2451"/>
      <c r="F29" s="2451"/>
    </row>
    <row r="30" spans="1:6" ht="12" customHeight="1" x14ac:dyDescent="0.2">
      <c r="A30" s="328"/>
      <c r="B30" s="328"/>
      <c r="C30" s="1462"/>
      <c r="D30" s="1903"/>
      <c r="E30" s="1283"/>
    </row>
    <row r="31" spans="1:6" ht="12" customHeight="1" x14ac:dyDescent="0.2">
      <c r="A31" s="1284" t="s">
        <v>1546</v>
      </c>
      <c r="B31" s="328"/>
      <c r="C31" s="1462"/>
      <c r="D31" s="1903"/>
      <c r="E31" s="1283"/>
    </row>
    <row r="32" spans="1:6" ht="30" customHeight="1" x14ac:dyDescent="0.2">
      <c r="A32" s="2455" t="s">
        <v>2125</v>
      </c>
      <c r="B32" s="2455"/>
      <c r="C32" s="2455"/>
      <c r="D32" s="2455"/>
      <c r="E32" s="2455"/>
      <c r="F32" s="2455"/>
    </row>
    <row r="33" spans="1:6" ht="13.5" customHeight="1" x14ac:dyDescent="0.2">
      <c r="A33" s="328" t="s">
        <v>1431</v>
      </c>
      <c r="B33" s="328"/>
      <c r="C33" s="1285">
        <v>0</v>
      </c>
      <c r="D33" s="1903"/>
      <c r="E33" s="1283"/>
    </row>
    <row r="34" spans="1:6" ht="13.5" customHeight="1" x14ac:dyDescent="0.2">
      <c r="A34" s="328" t="s">
        <v>1832</v>
      </c>
      <c r="B34" s="328"/>
      <c r="C34" s="1286">
        <v>0</v>
      </c>
      <c r="D34" s="1903" t="s">
        <v>1586</v>
      </c>
      <c r="E34" s="2456">
        <f>+C33+C34</f>
        <v>0</v>
      </c>
      <c r="F34" s="2457"/>
    </row>
    <row r="35" spans="1:6" ht="12" customHeight="1" x14ac:dyDescent="0.2">
      <c r="A35" s="328"/>
      <c r="B35" s="328"/>
      <c r="C35" s="1904"/>
      <c r="D35" s="1903"/>
      <c r="E35" s="1287"/>
      <c r="F35" s="1288"/>
    </row>
    <row r="36" spans="1:6" ht="13.5" customHeight="1" x14ac:dyDescent="0.2">
      <c r="A36" s="1284" t="s">
        <v>1547</v>
      </c>
      <c r="B36" s="328"/>
      <c r="C36" s="1462"/>
      <c r="D36" s="1903"/>
      <c r="E36" s="1283"/>
    </row>
    <row r="37" spans="1:6" ht="14.25" customHeight="1" x14ac:dyDescent="0.2">
      <c r="A37" s="328" t="s">
        <v>1481</v>
      </c>
      <c r="B37" s="328"/>
      <c r="C37" s="1905"/>
      <c r="D37" s="1903"/>
      <c r="E37" s="1283"/>
    </row>
    <row r="38" spans="1:6" ht="14.25" customHeight="1" x14ac:dyDescent="0.2">
      <c r="A38" s="328"/>
      <c r="B38" s="328" t="s">
        <v>1432</v>
      </c>
      <c r="C38" s="1289">
        <v>0</v>
      </c>
      <c r="D38" s="1903"/>
      <c r="E38" s="1283"/>
    </row>
    <row r="39" spans="1:6" ht="14.25" customHeight="1" x14ac:dyDescent="0.2">
      <c r="A39" s="328"/>
      <c r="B39" s="328" t="s">
        <v>1433</v>
      </c>
      <c r="C39" s="1289">
        <v>0</v>
      </c>
      <c r="D39" s="1903"/>
      <c r="E39" s="1283"/>
    </row>
    <row r="40" spans="1:6" ht="14.25" customHeight="1" x14ac:dyDescent="0.2">
      <c r="A40" s="328"/>
      <c r="B40" s="328" t="s">
        <v>1434</v>
      </c>
      <c r="C40" s="1289">
        <v>0</v>
      </c>
      <c r="D40" s="1903"/>
      <c r="E40" s="1283"/>
    </row>
    <row r="41" spans="1:6" ht="14.25" customHeight="1" x14ac:dyDescent="0.2">
      <c r="A41" s="328"/>
      <c r="B41" s="328" t="s">
        <v>1435</v>
      </c>
      <c r="C41" s="1289">
        <v>0</v>
      </c>
      <c r="D41" s="1903"/>
      <c r="E41" s="1283"/>
    </row>
    <row r="42" spans="1:6" ht="14.25" customHeight="1" x14ac:dyDescent="0.2">
      <c r="A42" s="328" t="s">
        <v>1436</v>
      </c>
      <c r="B42" s="328"/>
      <c r="C42" s="1901">
        <v>0</v>
      </c>
      <c r="D42" s="1903"/>
      <c r="E42" s="1283"/>
    </row>
    <row r="43" spans="1:6" ht="14.25" customHeight="1" x14ac:dyDescent="0.2">
      <c r="A43" s="328" t="s">
        <v>1437</v>
      </c>
      <c r="B43" s="328"/>
      <c r="C43" s="1290" t="s">
        <v>383</v>
      </c>
      <c r="D43" s="1903"/>
      <c r="E43" s="1283"/>
    </row>
    <row r="44" spans="1:6" ht="14.25" customHeight="1" x14ac:dyDescent="0.2">
      <c r="A44" s="328"/>
      <c r="B44" s="328"/>
      <c r="C44" s="1905" t="s">
        <v>1438</v>
      </c>
      <c r="D44" s="1903"/>
      <c r="E44" s="1283"/>
    </row>
    <row r="45" spans="1:6" ht="13.5" customHeight="1" x14ac:dyDescent="0.2">
      <c r="B45" s="322"/>
      <c r="C45" s="1291"/>
      <c r="D45" s="1291"/>
    </row>
    <row r="46" spans="1:6" x14ac:dyDescent="0.2">
      <c r="A46" s="1292" t="s">
        <v>1727</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8" t="s">
        <v>1587</v>
      </c>
      <c r="C49" s="2458"/>
      <c r="D49" s="2458"/>
      <c r="E49" s="1396"/>
    </row>
    <row r="50" spans="1:5" s="1297" customFormat="1" ht="3.75" customHeight="1" x14ac:dyDescent="0.2">
      <c r="A50" s="1296"/>
      <c r="B50" s="1845"/>
      <c r="C50" s="1845"/>
      <c r="D50" s="1845"/>
      <c r="E50" s="1396"/>
    </row>
    <row r="51" spans="1:5" s="1297" customFormat="1" ht="20.25" customHeight="1" x14ac:dyDescent="0.2">
      <c r="A51" s="1298">
        <v>6</v>
      </c>
      <c r="B51" s="2454" t="s">
        <v>1548</v>
      </c>
      <c r="C51" s="2454"/>
      <c r="D51" s="2454"/>
    </row>
    <row r="52" spans="1:5" ht="14.25" customHeight="1" x14ac:dyDescent="0.2">
      <c r="A52" s="1298"/>
      <c r="B52" s="2454"/>
      <c r="C52" s="2454"/>
      <c r="D52" s="2454"/>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63"/>
  <sheetViews>
    <sheetView showGridLines="0" zoomScaleNormal="10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Spec Educ Assoc of Peoria County</v>
      </c>
      <c r="C1" s="2464"/>
      <c r="D1" s="2464"/>
      <c r="E1" s="2464"/>
      <c r="F1" s="2464"/>
      <c r="G1" s="2464"/>
      <c r="H1" s="2464"/>
      <c r="I1" s="2464"/>
      <c r="J1" s="1406"/>
    </row>
    <row r="2" spans="2:10" s="317" customFormat="1" ht="12.75" customHeight="1" x14ac:dyDescent="0.2">
      <c r="B2" s="2465">
        <f>'Single Audit Cover'!E7</f>
        <v>4872000061</v>
      </c>
      <c r="C2" s="2466"/>
      <c r="D2" s="2466"/>
      <c r="E2" s="2466"/>
      <c r="F2" s="2466"/>
      <c r="G2" s="2466"/>
      <c r="H2" s="2466"/>
      <c r="I2" s="2466"/>
      <c r="J2" s="1406"/>
    </row>
    <row r="3" spans="2:10" s="317" customFormat="1" ht="12.75" customHeight="1" x14ac:dyDescent="0.2">
      <c r="B3" s="2467" t="s">
        <v>1282</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2128</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1281</v>
      </c>
      <c r="C10" s="1415"/>
      <c r="D10" s="1415"/>
      <c r="E10" s="1255"/>
    </row>
    <row r="11" spans="2:10" s="317" customFormat="1" ht="13.5" customHeight="1" x14ac:dyDescent="0.2">
      <c r="B11" s="1346" t="s">
        <v>2127</v>
      </c>
      <c r="C11" s="2469" t="s">
        <v>2087</v>
      </c>
      <c r="D11" s="2469"/>
      <c r="E11" s="1416"/>
      <c r="F11" s="1416"/>
      <c r="G11" s="1416"/>
    </row>
    <row r="12" spans="2:10" s="317" customFormat="1" ht="11.45" customHeight="1" x14ac:dyDescent="0.2">
      <c r="B12" s="1354"/>
      <c r="C12" s="1417" t="s">
        <v>1439</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885</v>
      </c>
      <c r="G15" s="1422" t="s">
        <v>2059</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1440</v>
      </c>
      <c r="C18" s="1421"/>
      <c r="D18" s="1395"/>
      <c r="E18" s="1422" t="s">
        <v>2059</v>
      </c>
      <c r="F18" s="1297" t="s">
        <v>885</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1588</v>
      </c>
      <c r="C20" s="1421"/>
      <c r="D20" s="1395"/>
      <c r="E20" s="1422"/>
      <c r="F20" s="1297" t="s">
        <v>885</v>
      </c>
      <c r="G20" s="1422" t="s">
        <v>2059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885</v>
      </c>
      <c r="G24" s="1422" t="s">
        <v>2059</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1440</v>
      </c>
      <c r="C27" s="1421"/>
      <c r="D27" s="1395"/>
      <c r="E27" s="1422"/>
      <c r="F27" s="1297" t="s">
        <v>885</v>
      </c>
      <c r="G27" s="1422" t="s">
        <v>2059</v>
      </c>
      <c r="H27" s="1297" t="s">
        <v>1275</v>
      </c>
      <c r="I27" s="1297"/>
    </row>
    <row r="28" spans="2:9" s="317" customFormat="1" ht="12.75" customHeight="1" x14ac:dyDescent="0.2">
      <c r="B28" s="1365"/>
      <c r="C28" s="1279"/>
      <c r="E28" s="1255"/>
    </row>
    <row r="29" spans="2:9" s="317" customFormat="1" ht="12.75" customHeight="1" x14ac:dyDescent="0.2">
      <c r="B29" s="1365" t="s">
        <v>2126</v>
      </c>
      <c r="C29" s="1279"/>
      <c r="D29" s="2470" t="s">
        <v>2087</v>
      </c>
      <c r="E29" s="2470"/>
      <c r="F29" s="2470"/>
      <c r="G29" s="2470"/>
      <c r="H29" s="2470"/>
      <c r="I29" s="2470"/>
    </row>
    <row r="30" spans="2:9" s="317" customFormat="1" x14ac:dyDescent="0.2">
      <c r="B30" s="1365"/>
      <c r="C30" s="322"/>
      <c r="D30" s="1417" t="s">
        <v>1742</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1549</v>
      </c>
      <c r="C33" s="1279"/>
      <c r="E33" s="1422"/>
      <c r="F33" s="1297" t="s">
        <v>885</v>
      </c>
      <c r="G33" s="1422" t="s">
        <v>2059</v>
      </c>
      <c r="H33" s="1297" t="s">
        <v>99</v>
      </c>
    </row>
    <row r="35" spans="2:9" x14ac:dyDescent="0.2">
      <c r="B35" s="1425" t="s">
        <v>1743</v>
      </c>
      <c r="C35" s="1426"/>
      <c r="D35" s="1264"/>
    </row>
    <row r="36" spans="2:9" ht="6" customHeight="1" x14ac:dyDescent="0.2">
      <c r="B36" s="1425"/>
      <c r="C36" s="1426"/>
      <c r="D36" s="1264"/>
    </row>
    <row r="37" spans="2:9" ht="17.25" customHeight="1" x14ac:dyDescent="0.2">
      <c r="B37" s="1427" t="s">
        <v>1744</v>
      </c>
      <c r="C37" s="2471" t="s">
        <v>1745</v>
      </c>
      <c r="D37" s="2472"/>
      <c r="E37" s="2472"/>
      <c r="F37" s="2473"/>
      <c r="G37" s="2471" t="s">
        <v>1589</v>
      </c>
      <c r="H37" s="2472"/>
      <c r="I37" s="2473"/>
    </row>
    <row r="38" spans="2:9" ht="16.5" customHeight="1" x14ac:dyDescent="0.2">
      <c r="B38" s="1428" t="s">
        <v>2088</v>
      </c>
      <c r="C38" s="2459" t="s">
        <v>2089</v>
      </c>
      <c r="D38" s="2460"/>
      <c r="E38" s="2460"/>
      <c r="F38" s="2461"/>
      <c r="G38" s="2474">
        <f>+' SEFA'!I21</f>
        <v>4200915</v>
      </c>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77" t="s">
        <v>1590</v>
      </c>
      <c r="D43" s="2478"/>
      <c r="E43" s="2478"/>
      <c r="F43" s="2479"/>
      <c r="G43" s="2480">
        <f>SUM(G38:I42)</f>
        <v>4200915</v>
      </c>
      <c r="H43" s="2480"/>
      <c r="I43" s="2480"/>
    </row>
    <row r="44" spans="2:9" ht="12.75" customHeight="1" x14ac:dyDescent="0.2"/>
    <row r="45" spans="2:9" ht="12.75" customHeight="1" x14ac:dyDescent="0.2">
      <c r="B45" s="1419" t="s">
        <v>2056</v>
      </c>
      <c r="D45" s="2481">
        <f>+' SEFA (2)'!I24</f>
        <v>4471273</v>
      </c>
      <c r="E45" s="2482"/>
    </row>
    <row r="46" spans="2:9" ht="5.25" customHeight="1" x14ac:dyDescent="0.2">
      <c r="B46" s="1429"/>
      <c r="D46" s="1430"/>
      <c r="E46" s="1431"/>
    </row>
    <row r="47" spans="2:9" ht="12.75" customHeight="1" x14ac:dyDescent="0.2">
      <c r="B47" s="1297" t="s">
        <v>1591</v>
      </c>
      <c r="C47" s="1297"/>
      <c r="D47" s="1432">
        <f>+G43/D45</f>
        <v>0.93953444578311363</v>
      </c>
      <c r="E47" s="1433"/>
      <c r="F47" s="1434"/>
      <c r="I47" s="1435"/>
    </row>
    <row r="48" spans="2:9" ht="9.9499999999999993" customHeight="1" x14ac:dyDescent="0.2"/>
    <row r="49" spans="1:9" x14ac:dyDescent="0.2">
      <c r="B49" s="1365" t="s">
        <v>1273</v>
      </c>
      <c r="C49" s="1279"/>
      <c r="D49" s="1279"/>
      <c r="E49" s="2483">
        <v>750000</v>
      </c>
      <c r="F49" s="2483"/>
      <c r="G49" s="2483"/>
      <c r="H49" s="322"/>
    </row>
    <row r="51" spans="1:9" ht="13.5" customHeight="1" x14ac:dyDescent="0.2">
      <c r="B51" s="1365" t="s">
        <v>1272</v>
      </c>
      <c r="C51" s="1279"/>
      <c r="E51" s="1422"/>
      <c r="F51" s="1297" t="s">
        <v>885</v>
      </c>
      <c r="G51" s="1422" t="s">
        <v>2059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1746</v>
      </c>
      <c r="C54" s="1444"/>
      <c r="D54" s="1444"/>
    </row>
    <row r="55" spans="1:9" s="1445" customFormat="1" ht="12.75" customHeight="1" x14ac:dyDescent="0.2">
      <c r="A55" s="1442"/>
      <c r="B55" s="1446" t="s">
        <v>1592</v>
      </c>
      <c r="C55" s="1442"/>
      <c r="D55" s="1442"/>
    </row>
    <row r="56" spans="1:9" s="1445" customFormat="1" ht="12.75" customHeight="1" x14ac:dyDescent="0.2">
      <c r="A56" s="1442"/>
      <c r="B56" s="1446" t="s">
        <v>1593</v>
      </c>
      <c r="C56" s="1442"/>
      <c r="D56" s="1442"/>
    </row>
    <row r="57" spans="1:9" s="1445" customFormat="1" ht="3.95" customHeight="1" x14ac:dyDescent="0.2">
      <c r="A57" s="1442"/>
      <c r="B57" s="1446"/>
      <c r="C57" s="1442"/>
      <c r="D57" s="1442"/>
    </row>
    <row r="58" spans="1:9" s="1445" customFormat="1" ht="13.5" customHeight="1" x14ac:dyDescent="0.2">
      <c r="A58" s="1442"/>
      <c r="B58" s="1447" t="s">
        <v>1747</v>
      </c>
      <c r="C58" s="1448"/>
      <c r="D58" s="1448"/>
    </row>
    <row r="59" spans="1:9" s="1445" customFormat="1" ht="3.95" customHeight="1" x14ac:dyDescent="0.2">
      <c r="A59" s="1442"/>
      <c r="B59" s="1447"/>
      <c r="C59" s="1448"/>
      <c r="D59" s="1448"/>
    </row>
    <row r="60" spans="1:9" s="1445" customFormat="1" ht="13.5" customHeight="1" x14ac:dyDescent="0.2">
      <c r="A60" s="1442"/>
      <c r="B60" s="1447" t="s">
        <v>1748</v>
      </c>
      <c r="C60" s="1448"/>
      <c r="D60" s="1448"/>
    </row>
    <row r="61" spans="1:9" s="1445" customFormat="1" ht="3.95" customHeight="1" x14ac:dyDescent="0.2">
      <c r="A61" s="1442"/>
      <c r="B61" s="1447"/>
      <c r="C61" s="1448"/>
      <c r="D61" s="1448"/>
    </row>
    <row r="62" spans="1:9" s="1445" customFormat="1" ht="12.75" customHeight="1" x14ac:dyDescent="0.2">
      <c r="A62" s="1442"/>
      <c r="B62" s="1447" t="s">
        <v>1749</v>
      </c>
      <c r="C62" s="1448"/>
      <c r="D62" s="1448"/>
    </row>
    <row r="63" spans="1:9" s="1445" customFormat="1" ht="13.5" customHeight="1" x14ac:dyDescent="0.2">
      <c r="A63" s="1442"/>
      <c r="B63" s="1446" t="s">
        <v>1594</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Normal="10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Spec Educ Assoc of Peoria County</v>
      </c>
      <c r="C1" s="2463"/>
      <c r="D1" s="2463"/>
      <c r="E1" s="2463"/>
      <c r="F1" s="2463"/>
      <c r="G1" s="2463"/>
      <c r="H1" s="2463"/>
      <c r="I1" s="2463"/>
      <c r="J1" s="2463"/>
      <c r="K1" s="2463"/>
      <c r="L1" s="1371"/>
      <c r="M1" s="1371"/>
    </row>
    <row r="2" spans="1:13" ht="12" customHeight="1" x14ac:dyDescent="0.2">
      <c r="B2" s="2465">
        <f>'Single Audit Cover'!E7</f>
        <v>4872000061</v>
      </c>
      <c r="C2" s="2465"/>
      <c r="D2" s="2465"/>
      <c r="E2" s="2465"/>
      <c r="F2" s="2465"/>
      <c r="G2" s="2465"/>
      <c r="H2" s="2465"/>
      <c r="I2" s="2465"/>
      <c r="J2" s="2465"/>
      <c r="K2" s="2465"/>
      <c r="L2" s="1372"/>
      <c r="M2" s="1373"/>
    </row>
    <row r="3" spans="1:13" ht="10.35" customHeight="1" x14ac:dyDescent="0.2">
      <c r="B3" s="2486" t="s">
        <v>1282</v>
      </c>
      <c r="C3" s="2486"/>
      <c r="D3" s="2486"/>
      <c r="E3" s="2486"/>
      <c r="F3" s="2486"/>
      <c r="G3" s="2486"/>
      <c r="H3" s="2486"/>
      <c r="I3" s="2486"/>
      <c r="J3" s="2486"/>
      <c r="K3" s="2486"/>
      <c r="L3" s="1374"/>
      <c r="M3" s="1374"/>
    </row>
    <row r="4" spans="1:13" ht="14.25" customHeight="1" x14ac:dyDescent="0.2">
      <c r="B4" s="2487" t="str">
        <f>'Single Audit Cover'!A4</f>
        <v>Year Ending June 30, 2019</v>
      </c>
      <c r="C4" s="2487"/>
      <c r="D4" s="2487"/>
      <c r="E4" s="2487"/>
      <c r="F4" s="2487"/>
      <c r="G4" s="2487"/>
      <c r="H4" s="2487"/>
      <c r="I4" s="2487"/>
      <c r="J4" s="2487"/>
      <c r="K4" s="248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7" t="s">
        <v>1293</v>
      </c>
      <c r="C7" s="2487"/>
      <c r="D7" s="2488"/>
      <c r="E7" s="2488"/>
      <c r="F7" s="2488"/>
      <c r="G7" s="2488"/>
      <c r="H7" s="2488"/>
      <c r="I7" s="2488"/>
      <c r="J7" s="2488"/>
      <c r="K7" s="248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1736</v>
      </c>
      <c r="C10" s="1382" t="s">
        <v>1983</v>
      </c>
      <c r="D10" s="1383">
        <v>1</v>
      </c>
      <c r="E10" s="322"/>
      <c r="F10" s="1384" t="s">
        <v>1292</v>
      </c>
      <c r="G10" s="1385"/>
      <c r="H10" s="1386" t="s">
        <v>1291</v>
      </c>
      <c r="I10" s="1385" t="s">
        <v>2059</v>
      </c>
      <c r="J10" s="1387" t="s">
        <v>1290</v>
      </c>
      <c r="K10" s="322"/>
      <c r="L10" s="1378"/>
    </row>
    <row r="11" spans="1:13" ht="13.5" customHeight="1" x14ac:dyDescent="0.2">
      <c r="B11" s="322"/>
      <c r="C11" s="322"/>
      <c r="D11" s="322"/>
      <c r="E11" s="322"/>
      <c r="F11" s="322"/>
      <c r="G11" s="1380"/>
      <c r="H11" s="322"/>
      <c r="I11" s="1388" t="s">
        <v>1289</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1288</v>
      </c>
      <c r="C13" s="1390"/>
      <c r="D13" s="1391"/>
      <c r="E13" s="1391"/>
      <c r="F13" s="1391"/>
      <c r="G13" s="1392"/>
      <c r="H13" s="1391"/>
      <c r="I13" s="1392"/>
      <c r="J13" s="1391"/>
      <c r="K13" s="1391"/>
      <c r="L13" s="1393"/>
    </row>
    <row r="14" spans="1:13" ht="45.75" customHeight="1" x14ac:dyDescent="0.2">
      <c r="B14" s="2485" t="s">
        <v>2081</v>
      </c>
      <c r="C14" s="2485"/>
      <c r="D14" s="2485"/>
      <c r="E14" s="2485"/>
      <c r="F14" s="2485"/>
      <c r="G14" s="2485"/>
      <c r="H14" s="2485"/>
      <c r="I14" s="2485"/>
      <c r="J14" s="2485"/>
      <c r="K14" s="248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1287</v>
      </c>
      <c r="C16" s="1390"/>
      <c r="D16" s="1391"/>
      <c r="E16" s="1391"/>
      <c r="F16" s="1391"/>
      <c r="G16" s="1392"/>
      <c r="H16" s="1391"/>
      <c r="I16" s="1392"/>
      <c r="J16" s="1391"/>
      <c r="K16" s="1391"/>
      <c r="L16" s="1393"/>
    </row>
    <row r="17" spans="2:12" ht="53.25" customHeight="1" x14ac:dyDescent="0.2">
      <c r="B17" s="2485" t="s">
        <v>2078</v>
      </c>
      <c r="C17" s="2485"/>
      <c r="D17" s="2485"/>
      <c r="E17" s="2485"/>
      <c r="F17" s="2485"/>
      <c r="G17" s="2485"/>
      <c r="H17" s="2485"/>
      <c r="I17" s="2485"/>
      <c r="J17" s="2485"/>
      <c r="K17" s="2485"/>
      <c r="L17" s="1378"/>
    </row>
    <row r="18" spans="2:12" ht="4.5" customHeight="1" x14ac:dyDescent="0.2">
      <c r="B18" s="1395"/>
      <c r="C18" s="1395"/>
      <c r="L18" s="1378"/>
    </row>
    <row r="19" spans="2:12" s="1279" customFormat="1" ht="13.5" customHeight="1" x14ac:dyDescent="0.2">
      <c r="B19" s="1390" t="s">
        <v>1737</v>
      </c>
      <c r="C19" s="1390"/>
      <c r="D19" s="1391"/>
      <c r="E19" s="1391"/>
      <c r="F19" s="1391"/>
      <c r="G19" s="1392"/>
      <c r="H19" s="1391"/>
      <c r="I19" s="1392"/>
      <c r="J19" s="1391"/>
      <c r="K19" s="1391"/>
      <c r="L19" s="1393"/>
    </row>
    <row r="20" spans="2:12" ht="45.75" customHeight="1" x14ac:dyDescent="0.2">
      <c r="B20" s="2489" t="s">
        <v>2082</v>
      </c>
      <c r="C20" s="2489"/>
      <c r="D20" s="2485"/>
      <c r="E20" s="2485"/>
      <c r="F20" s="2485"/>
      <c r="G20" s="2485"/>
      <c r="H20" s="2485"/>
      <c r="I20" s="2485"/>
      <c r="J20" s="2485"/>
      <c r="K20" s="2485"/>
      <c r="L20" s="1378"/>
    </row>
    <row r="21" spans="2:12" ht="4.5" customHeight="1" x14ac:dyDescent="0.2">
      <c r="B21" s="1397"/>
      <c r="C21" s="1397"/>
      <c r="L21" s="1378"/>
    </row>
    <row r="22" spans="2:12" ht="13.5" customHeight="1" x14ac:dyDescent="0.2">
      <c r="B22" s="1390" t="s">
        <v>1286</v>
      </c>
      <c r="C22" s="1390"/>
      <c r="D22" s="1376"/>
      <c r="E22" s="1376"/>
      <c r="F22" s="1376"/>
      <c r="G22" s="1377"/>
      <c r="H22" s="1376"/>
      <c r="I22" s="1377"/>
      <c r="J22" s="1376"/>
      <c r="K22" s="1376"/>
      <c r="L22" s="1378"/>
    </row>
    <row r="23" spans="2:12" ht="45" customHeight="1" x14ac:dyDescent="0.2">
      <c r="B23" s="2485" t="s">
        <v>2083</v>
      </c>
      <c r="C23" s="2485"/>
      <c r="D23" s="2485"/>
      <c r="E23" s="2485"/>
      <c r="F23" s="2485"/>
      <c r="G23" s="2485"/>
      <c r="H23" s="2485"/>
      <c r="I23" s="2485"/>
      <c r="J23" s="2485"/>
      <c r="K23" s="2485"/>
      <c r="L23" s="1378"/>
    </row>
    <row r="24" spans="2:12" ht="4.5" customHeight="1" x14ac:dyDescent="0.2">
      <c r="B24" s="1395"/>
      <c r="C24" s="1395"/>
      <c r="L24" s="1378"/>
    </row>
    <row r="25" spans="2:12" ht="13.5" customHeight="1" x14ac:dyDescent="0.2">
      <c r="B25" s="1390" t="s">
        <v>1285</v>
      </c>
      <c r="C25" s="1390"/>
      <c r="D25" s="1376"/>
      <c r="E25" s="1376"/>
      <c r="F25" s="1376"/>
      <c r="G25" s="1377"/>
      <c r="H25" s="1376"/>
      <c r="I25" s="1377"/>
      <c r="J25" s="1376"/>
      <c r="K25" s="1376"/>
      <c r="L25" s="1378"/>
    </row>
    <row r="26" spans="2:12" ht="45.75" customHeight="1" x14ac:dyDescent="0.2">
      <c r="B26" s="2485" t="s">
        <v>2084</v>
      </c>
      <c r="C26" s="2485"/>
      <c r="D26" s="2485"/>
      <c r="E26" s="2485"/>
      <c r="F26" s="2485"/>
      <c r="G26" s="2485"/>
      <c r="H26" s="2485"/>
      <c r="I26" s="2485"/>
      <c r="J26" s="2485"/>
      <c r="K26" s="2485"/>
      <c r="L26" s="1378"/>
    </row>
    <row r="27" spans="2:12" ht="4.5" customHeight="1" x14ac:dyDescent="0.2">
      <c r="B27" s="1395"/>
      <c r="C27" s="1395"/>
      <c r="L27" s="1378"/>
    </row>
    <row r="28" spans="2:12" ht="13.5" customHeight="1" x14ac:dyDescent="0.2">
      <c r="B28" s="1398" t="s">
        <v>1284</v>
      </c>
      <c r="C28" s="1398"/>
      <c r="D28" s="1376"/>
      <c r="E28" s="1376"/>
      <c r="F28" s="1376"/>
      <c r="G28" s="1377"/>
      <c r="H28" s="1376"/>
      <c r="I28" s="1377"/>
      <c r="J28" s="1376"/>
      <c r="K28" s="1376"/>
      <c r="L28" s="1378"/>
    </row>
    <row r="29" spans="2:12" ht="45.75" customHeight="1" x14ac:dyDescent="0.2">
      <c r="B29" s="2484" t="s">
        <v>2085</v>
      </c>
      <c r="C29" s="2484"/>
      <c r="D29" s="2485"/>
      <c r="E29" s="2485"/>
      <c r="F29" s="2485"/>
      <c r="G29" s="2485"/>
      <c r="H29" s="2485"/>
      <c r="I29" s="2485"/>
      <c r="J29" s="2485"/>
      <c r="K29" s="248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1738</v>
      </c>
      <c r="C31" s="1400"/>
      <c r="D31" s="1375"/>
      <c r="E31" s="1376"/>
      <c r="F31" s="1376"/>
      <c r="G31" s="1377"/>
      <c r="H31" s="1376"/>
      <c r="I31" s="1377"/>
      <c r="J31" s="1376"/>
      <c r="K31" s="1376"/>
      <c r="L31" s="1378"/>
    </row>
    <row r="32" spans="2:12" s="322" customFormat="1" ht="44.25" customHeight="1" x14ac:dyDescent="0.2">
      <c r="B32" s="2484" t="s">
        <v>2086</v>
      </c>
      <c r="C32" s="2484"/>
      <c r="D32" s="2485"/>
      <c r="E32" s="2485"/>
      <c r="F32" s="2485"/>
      <c r="G32" s="2485"/>
      <c r="H32" s="2485"/>
      <c r="I32" s="2485"/>
      <c r="J32" s="2485"/>
      <c r="K32" s="248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1739</v>
      </c>
      <c r="C35" s="1403"/>
      <c r="D35" s="322"/>
      <c r="E35" s="322"/>
      <c r="F35" s="322"/>
      <c r="L35" s="1378"/>
    </row>
    <row r="36" spans="1:13" ht="9.6" customHeight="1" x14ac:dyDescent="0.2">
      <c r="B36" s="1297" t="s">
        <v>1835</v>
      </c>
      <c r="C36" s="1297"/>
      <c r="L36" s="1378"/>
    </row>
    <row r="37" spans="1:13" ht="9.6" customHeight="1" x14ac:dyDescent="0.2">
      <c r="B37" s="1297" t="s">
        <v>1836</v>
      </c>
      <c r="C37" s="1297"/>
    </row>
    <row r="38" spans="1:13" ht="11.85" customHeight="1" x14ac:dyDescent="0.2">
      <c r="B38" s="1404" t="s">
        <v>1740</v>
      </c>
      <c r="C38" s="1404"/>
    </row>
    <row r="39" spans="1:13" ht="9.6" customHeight="1" x14ac:dyDescent="0.2">
      <c r="B39" s="1297" t="s">
        <v>1283</v>
      </c>
      <c r="C39" s="1297"/>
      <c r="M39" s="1405"/>
    </row>
    <row r="40" spans="1:13" ht="12.6" customHeight="1" x14ac:dyDescent="0.2">
      <c r="B40" s="1404" t="s">
        <v>1741</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Normal="10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Spec Educ Assoc of Peoria County</v>
      </c>
      <c r="C1" s="2490"/>
      <c r="D1" s="2490"/>
      <c r="E1" s="2490"/>
      <c r="F1" s="2490"/>
      <c r="G1" s="2490"/>
      <c r="H1" s="2490"/>
      <c r="I1" s="2490"/>
      <c r="J1" s="2490"/>
      <c r="K1" s="2490"/>
      <c r="L1" s="1449"/>
    </row>
    <row r="2" spans="1:12" ht="12.75" customHeight="1" x14ac:dyDescent="0.2">
      <c r="B2" s="2491">
        <f>'Single Audit Cover'!E7</f>
        <v>4872000061</v>
      </c>
      <c r="C2" s="2491"/>
      <c r="D2" s="2491"/>
      <c r="E2" s="2491"/>
      <c r="F2" s="2491"/>
      <c r="G2" s="2491"/>
      <c r="H2" s="2491"/>
      <c r="I2" s="2491"/>
      <c r="J2" s="2491"/>
      <c r="K2" s="2491"/>
      <c r="L2" s="1450"/>
    </row>
    <row r="3" spans="1:12" ht="12.75" customHeight="1" x14ac:dyDescent="0.2">
      <c r="B3" s="2486" t="s">
        <v>1282</v>
      </c>
      <c r="C3" s="2486"/>
      <c r="D3" s="2486"/>
      <c r="E3" s="2486"/>
      <c r="F3" s="2486"/>
      <c r="G3" s="2486"/>
      <c r="H3" s="2486"/>
      <c r="I3" s="2486"/>
      <c r="J3" s="2486"/>
      <c r="K3" s="2486"/>
      <c r="L3" s="1374"/>
    </row>
    <row r="4" spans="1:12" ht="12.75" customHeight="1" x14ac:dyDescent="0.2">
      <c r="B4" s="2486" t="str">
        <f>'Single Audit Cover'!A4</f>
        <v>Year Ending June 30, 2019</v>
      </c>
      <c r="C4" s="2486"/>
      <c r="D4" s="2486"/>
      <c r="E4" s="2486"/>
      <c r="F4" s="2486"/>
      <c r="G4" s="2486"/>
      <c r="H4" s="2486"/>
      <c r="I4" s="2486"/>
      <c r="J4" s="2486"/>
      <c r="K4" s="2486"/>
      <c r="L4" s="1374"/>
    </row>
    <row r="5" spans="1:12" ht="5.25" customHeight="1" x14ac:dyDescent="0.2">
      <c r="B5" s="1257" t="s">
        <v>1169</v>
      </c>
      <c r="C5" s="1257"/>
      <c r="L5" s="322"/>
    </row>
    <row r="6" spans="1:12" ht="30.75" customHeight="1" x14ac:dyDescent="0.2">
      <c r="A6" s="322"/>
      <c r="B6" s="2492" t="s">
        <v>1305</v>
      </c>
      <c r="C6" s="2492"/>
      <c r="D6" s="2492"/>
      <c r="E6" s="2492"/>
      <c r="F6" s="2492"/>
      <c r="G6" s="2492"/>
      <c r="H6" s="2492"/>
      <c r="I6" s="2492"/>
      <c r="J6" s="2492"/>
      <c r="K6" s="2492"/>
      <c r="L6" s="322"/>
    </row>
    <row r="7" spans="1:12" ht="4.5" customHeight="1" x14ac:dyDescent="0.2">
      <c r="B7" s="1376"/>
      <c r="C7" s="1376"/>
      <c r="D7" s="1376"/>
      <c r="E7" s="1376"/>
      <c r="F7" s="1376"/>
      <c r="G7" s="1377"/>
      <c r="H7" s="1376"/>
      <c r="I7" s="1377"/>
      <c r="J7" s="1376"/>
      <c r="K7" s="1376"/>
      <c r="L7" s="322"/>
    </row>
    <row r="8" spans="1:12" ht="13.5" customHeight="1" x14ac:dyDescent="0.2">
      <c r="B8" s="1384" t="s">
        <v>1750</v>
      </c>
      <c r="C8" s="1451" t="s">
        <v>1983</v>
      </c>
      <c r="D8" s="1452" t="s">
        <v>2080</v>
      </c>
      <c r="E8" s="322"/>
      <c r="F8" s="1381" t="s">
        <v>1292</v>
      </c>
      <c r="G8" s="1453"/>
      <c r="H8" s="1454" t="s">
        <v>1304</v>
      </c>
      <c r="I8" s="1453"/>
      <c r="J8" s="1455" t="s">
        <v>1303</v>
      </c>
      <c r="L8" s="322"/>
    </row>
    <row r="9" spans="1:12" ht="13.5" customHeight="1" x14ac:dyDescent="0.2">
      <c r="D9" s="322"/>
      <c r="E9" s="322"/>
      <c r="F9" s="322"/>
      <c r="G9" s="1380"/>
      <c r="H9" s="322"/>
      <c r="I9" s="1456" t="s">
        <v>1289</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1302</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1301</v>
      </c>
      <c r="C14" s="1384"/>
      <c r="D14" s="2493"/>
      <c r="E14" s="2493"/>
      <c r="F14" s="2493"/>
      <c r="H14" s="1459" t="s">
        <v>1300</v>
      </c>
      <c r="I14" s="2494"/>
      <c r="J14" s="2494"/>
      <c r="K14" s="249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1299</v>
      </c>
      <c r="C16" s="1384"/>
      <c r="D16" s="2494"/>
      <c r="E16" s="2494"/>
      <c r="F16" s="2494"/>
      <c r="G16" s="2494"/>
      <c r="H16" s="2494"/>
      <c r="I16" s="2494"/>
      <c r="J16" s="2494"/>
      <c r="K16" s="2494"/>
      <c r="L16" s="322"/>
    </row>
    <row r="17" spans="2:12" ht="13.5" customHeight="1" x14ac:dyDescent="0.2">
      <c r="B17" s="1384" t="s">
        <v>1298</v>
      </c>
      <c r="C17" s="1384"/>
      <c r="D17" s="2495"/>
      <c r="E17" s="2495"/>
      <c r="F17" s="2495"/>
      <c r="G17" s="2495"/>
      <c r="H17" s="2495"/>
      <c r="I17" s="2495"/>
      <c r="J17" s="2495"/>
      <c r="K17" s="249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1297</v>
      </c>
      <c r="C19" s="1461"/>
      <c r="D19" s="328"/>
      <c r="E19" s="328"/>
      <c r="F19" s="328"/>
      <c r="G19" s="1462"/>
      <c r="H19" s="328"/>
      <c r="I19" s="1462"/>
      <c r="J19" s="322"/>
      <c r="K19" s="322"/>
      <c r="L19" s="322"/>
    </row>
    <row r="20" spans="2:12" ht="35.25" customHeight="1" x14ac:dyDescent="0.2">
      <c r="B20" s="2485"/>
      <c r="C20" s="2485"/>
      <c r="D20" s="2485"/>
      <c r="E20" s="2485"/>
      <c r="F20" s="2485"/>
      <c r="G20" s="2485"/>
      <c r="H20" s="2485"/>
      <c r="I20" s="2485"/>
      <c r="J20" s="2485"/>
      <c r="K20" s="248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1751</v>
      </c>
      <c r="C22" s="1461"/>
      <c r="D22" s="322"/>
      <c r="E22" s="322"/>
      <c r="F22" s="322"/>
      <c r="G22" s="1380"/>
      <c r="H22" s="322"/>
      <c r="I22" s="1380"/>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1752</v>
      </c>
      <c r="C25" s="1461"/>
      <c r="D25" s="322"/>
      <c r="E25" s="322"/>
      <c r="F25" s="322"/>
      <c r="G25" s="1380"/>
      <c r="H25" s="322"/>
      <c r="I25" s="1380"/>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1753</v>
      </c>
      <c r="C28" s="1461"/>
      <c r="D28" s="322"/>
      <c r="E28" s="322"/>
      <c r="F28" s="322"/>
      <c r="G28" s="1380"/>
      <c r="H28" s="322"/>
      <c r="I28" s="1380"/>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1296</v>
      </c>
      <c r="C31" s="1461"/>
      <c r="D31" s="322"/>
      <c r="E31" s="322"/>
      <c r="F31" s="322"/>
      <c r="G31" s="1380"/>
      <c r="H31" s="322"/>
      <c r="I31" s="1380"/>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1295</v>
      </c>
      <c r="C34" s="1381"/>
      <c r="D34" s="322"/>
      <c r="E34" s="322"/>
      <c r="F34" s="322"/>
      <c r="G34" s="1380"/>
      <c r="H34" s="322"/>
      <c r="I34" s="1380"/>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1294</v>
      </c>
      <c r="C37" s="1381"/>
      <c r="D37" s="322"/>
      <c r="E37" s="322"/>
      <c r="F37" s="322"/>
      <c r="G37" s="1380"/>
      <c r="H37" s="322"/>
      <c r="I37" s="1380"/>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1754</v>
      </c>
      <c r="C40" s="1400"/>
      <c r="D40" s="1375"/>
      <c r="E40" s="1376"/>
      <c r="F40" s="1376"/>
      <c r="G40" s="1377"/>
      <c r="H40" s="1376"/>
      <c r="I40" s="1377"/>
      <c r="J40" s="1376"/>
      <c r="K40" s="1376"/>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1755</v>
      </c>
      <c r="C44" s="1403"/>
      <c r="D44" s="322"/>
      <c r="E44" s="322"/>
      <c r="F44" s="322"/>
    </row>
    <row r="45" spans="2:12" ht="10.5" customHeight="1" x14ac:dyDescent="0.2">
      <c r="B45" s="1404" t="s">
        <v>1756</v>
      </c>
      <c r="C45" s="1404"/>
      <c r="G45" s="317"/>
      <c r="I45" s="317"/>
    </row>
    <row r="46" spans="2:12" ht="11.1" customHeight="1" x14ac:dyDescent="0.2">
      <c r="B46" s="1404" t="s">
        <v>1757</v>
      </c>
      <c r="C46" s="1404"/>
      <c r="G46" s="317"/>
      <c r="I46" s="317"/>
    </row>
    <row r="47" spans="2:12" ht="11.1" customHeight="1" x14ac:dyDescent="0.2">
      <c r="B47" s="1404" t="s">
        <v>1758</v>
      </c>
      <c r="C47" s="1404"/>
      <c r="G47" s="317"/>
      <c r="I47" s="317"/>
    </row>
    <row r="48" spans="2:12" ht="11.1" customHeight="1" x14ac:dyDescent="0.2">
      <c r="B48" s="1404" t="s">
        <v>1759</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E69"/>
  <sheetViews>
    <sheetView showGridLines="0" zoomScaleNormal="10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Spec Educ Assoc of Peoria County</v>
      </c>
      <c r="C1" s="2463"/>
      <c r="D1" s="2463"/>
      <c r="E1" s="1469"/>
    </row>
    <row r="2" spans="2:5" s="1279" customFormat="1" ht="12.75" customHeight="1" x14ac:dyDescent="0.2">
      <c r="B2" s="2465">
        <f>'Single Audit Cover'!E7</f>
        <v>4872000061</v>
      </c>
      <c r="C2" s="2465"/>
      <c r="D2" s="2465"/>
      <c r="E2" s="1470"/>
    </row>
    <row r="3" spans="2:5" ht="12.75" customHeight="1" x14ac:dyDescent="0.2">
      <c r="B3" s="2486" t="s">
        <v>1760</v>
      </c>
      <c r="C3" s="2486"/>
      <c r="D3" s="2486"/>
      <c r="E3" s="1271"/>
    </row>
    <row r="4" spans="2:5" s="1279" customFormat="1" ht="12.75" customHeight="1" x14ac:dyDescent="0.2">
      <c r="B4" s="2496" t="str">
        <f>'Single Audit Cover'!A4</f>
        <v>Year Ending June 30, 2019</v>
      </c>
      <c r="C4" s="2496"/>
      <c r="D4" s="2496"/>
      <c r="E4" s="1471"/>
    </row>
    <row r="5" spans="2:5" s="1279" customFormat="1" ht="40.15" customHeight="1" x14ac:dyDescent="0.2">
      <c r="B5" s="1472" t="s">
        <v>1761</v>
      </c>
      <c r="C5" s="328"/>
      <c r="D5" s="328"/>
      <c r="E5" s="328"/>
    </row>
    <row r="6" spans="2:5" s="1279" customFormat="1" ht="13.5" customHeight="1" x14ac:dyDescent="0.2">
      <c r="B6" s="1473" t="s">
        <v>1312</v>
      </c>
      <c r="C6" s="1473" t="s">
        <v>1311</v>
      </c>
      <c r="D6" s="1473" t="s">
        <v>1762</v>
      </c>
    </row>
    <row r="7" spans="2:5" ht="108" customHeight="1" x14ac:dyDescent="0.2">
      <c r="B7" s="1943" t="s">
        <v>2077</v>
      </c>
      <c r="C7" s="1942" t="s">
        <v>2078</v>
      </c>
      <c r="D7" s="1944" t="s">
        <v>2079</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6"/>
      <c r="C28" s="323"/>
      <c r="D28" s="323"/>
      <c r="E28" s="323"/>
    </row>
    <row r="29" spans="2:5" ht="13.5" customHeight="1" x14ac:dyDescent="0.2">
      <c r="B29" s="1477"/>
      <c r="C29" s="323"/>
      <c r="D29" s="323"/>
      <c r="E29" s="323"/>
    </row>
    <row r="30" spans="2:5" ht="13.5" customHeight="1" x14ac:dyDescent="0.2">
      <c r="B30" s="1478"/>
      <c r="C30" s="323"/>
      <c r="D30" s="323"/>
      <c r="E30" s="323"/>
    </row>
    <row r="31" spans="2:5" ht="13.5" customHeight="1" x14ac:dyDescent="0.2">
      <c r="B31" s="1477"/>
      <c r="C31" s="323"/>
      <c r="D31" s="323"/>
      <c r="E31" s="323"/>
    </row>
    <row r="32" spans="2:5" ht="13.5" customHeight="1" x14ac:dyDescent="0.2">
      <c r="B32" s="1478"/>
      <c r="C32" s="323"/>
      <c r="D32" s="323"/>
      <c r="E32" s="323"/>
    </row>
    <row r="33" spans="2:5" ht="13.5" customHeight="1" x14ac:dyDescent="0.2">
      <c r="B33" s="1478"/>
      <c r="C33" s="323"/>
      <c r="D33" s="323"/>
      <c r="E33" s="323"/>
    </row>
    <row r="34" spans="2:5" ht="13.5" customHeight="1" x14ac:dyDescent="0.2">
      <c r="B34" s="1477"/>
      <c r="C34" s="323"/>
      <c r="D34" s="323"/>
      <c r="E34" s="323"/>
    </row>
    <row r="35" spans="2:5" ht="13.5" customHeight="1" x14ac:dyDescent="0.2">
      <c r="B35" s="1478"/>
      <c r="C35" s="323"/>
      <c r="D35" s="323"/>
      <c r="E35" s="323"/>
    </row>
    <row r="36" spans="2:5" ht="13.5" customHeight="1" x14ac:dyDescent="0.2">
      <c r="B36" s="1477"/>
      <c r="C36" s="323"/>
      <c r="D36" s="323"/>
      <c r="E36" s="323"/>
    </row>
    <row r="37" spans="2:5" ht="13.5" customHeight="1" x14ac:dyDescent="0.2">
      <c r="B37" s="1479"/>
      <c r="C37" s="323"/>
      <c r="D37" s="323"/>
      <c r="E37" s="323"/>
    </row>
    <row r="38" spans="2:5" ht="13.5" customHeight="1" x14ac:dyDescent="0.2">
      <c r="B38" s="1480"/>
      <c r="C38" s="323"/>
      <c r="D38" s="323"/>
      <c r="E38" s="323"/>
    </row>
    <row r="39" spans="2:5" ht="12.75" customHeight="1" x14ac:dyDescent="0.2">
      <c r="B39" s="1481"/>
      <c r="C39" s="1482"/>
      <c r="D39" s="1482"/>
      <c r="E39" s="323"/>
    </row>
    <row r="40" spans="2:5" ht="12.2" customHeight="1" x14ac:dyDescent="0.2">
      <c r="B40" s="1254" t="s">
        <v>1310</v>
      </c>
      <c r="C40" s="322"/>
    </row>
    <row r="41" spans="2:5" ht="12.2" customHeight="1" x14ac:dyDescent="0.2">
      <c r="B41" s="1483" t="s">
        <v>1763</v>
      </c>
    </row>
    <row r="42" spans="2:5" ht="12.2" customHeight="1" x14ac:dyDescent="0.2">
      <c r="B42" s="1483" t="s">
        <v>1764</v>
      </c>
    </row>
    <row r="43" spans="2:5" ht="12.2" customHeight="1" x14ac:dyDescent="0.2">
      <c r="B43" s="1484" t="s">
        <v>1309</v>
      </c>
    </row>
    <row r="44" spans="2:5" ht="12.2" customHeight="1" x14ac:dyDescent="0.2">
      <c r="B44" s="1484" t="s">
        <v>1308</v>
      </c>
    </row>
    <row r="45" spans="2:5" ht="12.2" customHeight="1" x14ac:dyDescent="0.2">
      <c r="B45" s="1484" t="s">
        <v>1307</v>
      </c>
    </row>
    <row r="46" spans="2:5" ht="12.2" customHeight="1" x14ac:dyDescent="0.2">
      <c r="B46" s="1484" t="s">
        <v>1306</v>
      </c>
    </row>
    <row r="49" spans="2:5" ht="12.75" customHeight="1" x14ac:dyDescent="0.2"/>
    <row r="50" spans="2:5" ht="12.75" customHeight="1" x14ac:dyDescent="0.2">
      <c r="B50" s="1264"/>
    </row>
    <row r="51" spans="2:5" ht="12.75" customHeight="1" x14ac:dyDescent="0.2"/>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3" spans="2:5" x14ac:dyDescent="0.2">
      <c r="B63" s="1403"/>
    </row>
    <row r="64" spans="2:5" x14ac:dyDescent="0.2">
      <c r="B64" s="1297"/>
    </row>
    <row r="65" spans="2:2" x14ac:dyDescent="0.2">
      <c r="B65" s="1297"/>
    </row>
    <row r="66" spans="2:2" x14ac:dyDescent="0.2">
      <c r="B66" s="1404"/>
    </row>
    <row r="67" spans="2:2" x14ac:dyDescent="0.2">
      <c r="B67" s="1404"/>
    </row>
    <row r="68" spans="2:2" x14ac:dyDescent="0.2">
      <c r="B68" s="1404"/>
    </row>
    <row r="69" spans="2:2" x14ac:dyDescent="0.2">
      <c r="B69"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1940</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16118473</v>
      </c>
      <c r="E16" s="356"/>
      <c r="F16" s="1733">
        <f>SUM('Acct Summary 7-8'!C17,'Acct Summary 7-8'!D17,'Acct Summary 7-8'!F17)</f>
        <v>14341392</v>
      </c>
      <c r="G16" s="356"/>
      <c r="H16" s="1733">
        <f>SUM(D16-F16)</f>
        <v>1777081</v>
      </c>
      <c r="I16" s="222"/>
      <c r="J16" s="1733">
        <f>SUM('Acct Summary 7-8'!C81,'Acct Summary 7-8'!D81,'Acct Summary 7-8'!F81,'Acct Summary 7-8'!I81)</f>
        <v>6199696</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1647</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2055</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1410</v>
      </c>
      <c r="B3" s="2112"/>
      <c r="C3" s="2112"/>
      <c r="D3" s="2112"/>
      <c r="E3" s="2112"/>
      <c r="F3" s="2112"/>
      <c r="G3" s="2112"/>
      <c r="H3" s="2112"/>
      <c r="I3" s="2112"/>
      <c r="J3" s="2112"/>
      <c r="K3" s="2112"/>
      <c r="L3" s="2112"/>
      <c r="M3" s="2112"/>
      <c r="N3" s="2112"/>
      <c r="O3" s="2112"/>
      <c r="P3" s="2112"/>
      <c r="Q3" s="2112"/>
      <c r="R3" s="2112"/>
    </row>
    <row r="4" spans="1:18" x14ac:dyDescent="0.2">
      <c r="A4" s="2113" t="s">
        <v>1551</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Spec Educ Assoc of Peoria County</v>
      </c>
      <c r="E7" s="391"/>
      <c r="G7" s="252"/>
      <c r="H7" s="387"/>
      <c r="I7" s="387"/>
      <c r="J7" s="387"/>
      <c r="K7" s="387"/>
      <c r="L7" s="329"/>
      <c r="M7" s="329"/>
      <c r="N7" s="329"/>
      <c r="O7" s="329"/>
      <c r="P7" s="329"/>
    </row>
    <row r="8" spans="1:18" ht="12.75" x14ac:dyDescent="0.2">
      <c r="A8" s="329"/>
      <c r="B8" s="329"/>
      <c r="C8" s="389" t="s">
        <v>1125</v>
      </c>
      <c r="D8" s="392">
        <f>COVER!A13</f>
        <v>4872000061</v>
      </c>
      <c r="E8" s="393"/>
      <c r="G8" s="329"/>
      <c r="H8" s="329"/>
      <c r="I8" s="329"/>
      <c r="J8" s="329"/>
      <c r="K8" s="329"/>
      <c r="L8" s="329"/>
      <c r="M8" s="329"/>
      <c r="N8" s="329"/>
      <c r="O8" s="329"/>
      <c r="P8" s="329"/>
    </row>
    <row r="9" spans="1:18" ht="12.75" x14ac:dyDescent="0.2">
      <c r="A9" s="329"/>
      <c r="B9" s="329"/>
      <c r="C9" s="389" t="s">
        <v>713</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1362</v>
      </c>
      <c r="D12" s="218"/>
      <c r="E12" s="218"/>
      <c r="F12" s="218" t="s">
        <v>1091</v>
      </c>
      <c r="G12" s="402"/>
      <c r="H12" s="403">
        <f>SUM('Acct Summary 7-8'!C81+'Acct Summary 7-8'!D81+'Acct Summary 7-8'!F81+'Acct Summary 7-8'!I81+IF('Acct Summary 7-8'!G81&lt;0,'Acct Summary 7-8'!G81,"0")+IF('Acct Summary 7-8'!J81&lt;0,'Acct Summary 7-8'!J81,"0"))</f>
        <v>6199696</v>
      </c>
      <c r="I12" s="404"/>
      <c r="J12" s="404"/>
      <c r="K12" s="405">
        <f>TRUNC((H12/H13*100000),5)/100000</f>
        <v>0.3846329611</v>
      </c>
      <c r="L12" s="406"/>
      <c r="M12" s="360" t="s">
        <v>1144</v>
      </c>
      <c r="N12" s="360"/>
      <c r="O12" s="407">
        <v>0.35</v>
      </c>
      <c r="P12" s="218"/>
      <c r="Q12" s="218"/>
    </row>
    <row r="13" spans="1:18" s="408" customFormat="1" ht="12.75" x14ac:dyDescent="0.2">
      <c r="A13" s="218"/>
      <c r="B13" s="401"/>
      <c r="C13" s="2109" t="s">
        <v>1321</v>
      </c>
      <c r="D13" s="2110"/>
      <c r="E13" s="218"/>
      <c r="F13" s="409" t="s">
        <v>793</v>
      </c>
      <c r="G13" s="402"/>
      <c r="H13" s="403">
        <f>SUM('Acct Summary 7-8'!C8+'Acct Summary 7-8'!D8+'Acct Summary 7-8'!F8+'Acct Summary 7-8'!I8)+H14</f>
        <v>16118473</v>
      </c>
      <c r="I13" s="404"/>
      <c r="J13" s="404"/>
      <c r="K13" s="410"/>
      <c r="L13" s="218"/>
      <c r="M13" s="360" t="s">
        <v>1145</v>
      </c>
      <c r="N13" s="360"/>
      <c r="O13" s="411">
        <f>(O11*O12)</f>
        <v>1.4</v>
      </c>
      <c r="P13" s="218"/>
      <c r="Q13" s="218"/>
      <c r="R13" s="412"/>
    </row>
    <row r="14" spans="1:18" s="408" customFormat="1" ht="12.75" x14ac:dyDescent="0.2">
      <c r="A14" s="218"/>
      <c r="B14" s="401"/>
      <c r="C14" s="240" t="s">
        <v>1394</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14341392</v>
      </c>
      <c r="I17" s="404"/>
      <c r="J17" s="416"/>
      <c r="K17" s="405">
        <f>TRUNC((H17/H18*100000),5)/100000</f>
        <v>0.88974879939999996</v>
      </c>
      <c r="L17" s="406"/>
      <c r="M17" s="417" t="s">
        <v>1171</v>
      </c>
      <c r="O17" s="418" t="str">
        <f>IF(AND(O16="2", J20 &gt; 2),"1",IF(AND(O16 = "1", J20 &gt; 2),"2",IF(AND(O16="1", J20 &gt;1),"1","0")))</f>
        <v>0</v>
      </c>
      <c r="P17" s="218"/>
    </row>
    <row r="18" spans="1:18" s="408" customFormat="1" ht="11.25" x14ac:dyDescent="0.2">
      <c r="A18" s="218"/>
      <c r="B18" s="401"/>
      <c r="C18" s="2109" t="s">
        <v>1314</v>
      </c>
      <c r="D18" s="2110"/>
      <c r="E18" s="218"/>
      <c r="F18" s="419" t="s">
        <v>794</v>
      </c>
      <c r="G18" s="402"/>
      <c r="H18" s="403">
        <f>SUM('Acct Summary 7-8'!C8+'Acct Summary 7-8'!D8+'Acct Summary 7-8'!F8+'Acct Summary 7-8'!I8)+H19</f>
        <v>16118473</v>
      </c>
      <c r="I18" s="404"/>
      <c r="J18" s="404"/>
      <c r="K18" s="410"/>
      <c r="L18" s="218"/>
      <c r="M18" s="360" t="s">
        <v>1144</v>
      </c>
      <c r="N18" s="360"/>
      <c r="O18" s="410">
        <v>0.35</v>
      </c>
      <c r="P18" s="218"/>
    </row>
    <row r="19" spans="1:18" s="408" customFormat="1" ht="11.25" x14ac:dyDescent="0.2">
      <c r="A19" s="218"/>
      <c r="B19" s="401"/>
      <c r="C19" s="240" t="s">
        <v>1394</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6" t="s">
        <v>1409</v>
      </c>
      <c r="D24" s="2106"/>
      <c r="E24" s="218"/>
      <c r="F24" s="218" t="s">
        <v>445</v>
      </c>
      <c r="G24" s="402"/>
      <c r="H24" s="403">
        <f>SUM('Assets-Liab 5-6'!C4+'Assets-Liab 5-6'!D4+'Assets-Liab 5-6'!F4+'Assets-Liab 5-6'!I4+'Assets-Liab 5-6'!C5+'Assets-Liab 5-6'!D5+'Assets-Liab 5-6'!F5+'Assets-Liab 5-6'!I5)</f>
        <v>6176282</v>
      </c>
      <c r="I24" s="422"/>
      <c r="J24" s="422"/>
      <c r="K24" s="423">
        <f>TRUNC(((H24/H25*100000)/100000),2)</f>
        <v>155.03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39837.199999999997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1924</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1978</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pane="bottomLeft"/>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1491</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9"/>
      <c r="D3" s="1560"/>
      <c r="E3" s="1560"/>
      <c r="F3" s="1560"/>
      <c r="G3" s="1560"/>
      <c r="H3" s="1560"/>
      <c r="I3" s="1560"/>
      <c r="J3" s="1560"/>
      <c r="K3" s="1560"/>
      <c r="L3" s="1560"/>
      <c r="M3" s="1561"/>
      <c r="N3" s="1562"/>
    </row>
    <row r="4" spans="1:14" ht="13.5" customHeight="1" x14ac:dyDescent="0.2">
      <c r="A4" s="463" t="s">
        <v>1648</v>
      </c>
      <c r="B4" s="464"/>
      <c r="C4" s="465">
        <v>6176282</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f>23420-6</f>
        <v>23414</v>
      </c>
      <c r="D12" s="466"/>
      <c r="E12" s="466"/>
      <c r="F12" s="466"/>
      <c r="G12" s="466"/>
      <c r="H12" s="466"/>
      <c r="I12" s="466"/>
      <c r="J12" s="467"/>
      <c r="K12" s="466"/>
      <c r="L12" s="466"/>
      <c r="M12" s="469"/>
      <c r="N12" s="469"/>
    </row>
    <row r="13" spans="1:14" ht="13.5" customHeight="1" thickBot="1" x14ac:dyDescent="0.25">
      <c r="A13" s="1736" t="s">
        <v>644</v>
      </c>
      <c r="B13" s="1709"/>
      <c r="C13" s="1737">
        <f>SUM(C4:C12)</f>
        <v>6199696</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8" t="s">
        <v>147</v>
      </c>
      <c r="B14" s="2119"/>
      <c r="C14" s="1563"/>
      <c r="D14" s="1564"/>
      <c r="E14" s="1564"/>
      <c r="F14" s="1564"/>
      <c r="G14" s="1564"/>
      <c r="H14" s="1564"/>
      <c r="I14" s="1564"/>
      <c r="J14" s="1564"/>
      <c r="K14" s="1564"/>
      <c r="L14" s="1564"/>
      <c r="M14" s="1565"/>
      <c r="N14" s="1566"/>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c r="N16" s="484"/>
    </row>
    <row r="17" spans="1:14" s="485" customFormat="1" ht="12.75" customHeight="1" x14ac:dyDescent="0.2">
      <c r="A17" s="482" t="s">
        <v>1400</v>
      </c>
      <c r="B17" s="483">
        <v>230</v>
      </c>
      <c r="C17" s="477"/>
      <c r="D17" s="477"/>
      <c r="E17" s="477"/>
      <c r="F17" s="477"/>
      <c r="G17" s="477"/>
      <c r="H17" s="477"/>
      <c r="I17" s="477"/>
      <c r="J17" s="477"/>
      <c r="K17" s="477"/>
      <c r="L17" s="477"/>
      <c r="M17" s="467">
        <f>+'Cap Outlay Deprec 26'!L8</f>
        <v>587373</v>
      </c>
      <c r="N17" s="484"/>
    </row>
    <row r="18" spans="1:14" s="485" customFormat="1" ht="12.75" customHeight="1" x14ac:dyDescent="0.2">
      <c r="A18" s="482" t="s">
        <v>1401</v>
      </c>
      <c r="B18" s="483">
        <v>240</v>
      </c>
      <c r="C18" s="477"/>
      <c r="D18" s="477"/>
      <c r="E18" s="477"/>
      <c r="F18" s="477"/>
      <c r="G18" s="477"/>
      <c r="H18" s="477"/>
      <c r="I18" s="477"/>
      <c r="J18" s="477"/>
      <c r="K18" s="477"/>
      <c r="L18" s="477"/>
      <c r="M18" s="467"/>
      <c r="N18" s="484"/>
    </row>
    <row r="19" spans="1:14" s="485" customFormat="1" ht="12.75" customHeight="1" x14ac:dyDescent="0.2">
      <c r="A19" s="482" t="s">
        <v>1402</v>
      </c>
      <c r="B19" s="483">
        <v>250</v>
      </c>
      <c r="C19" s="477"/>
      <c r="D19" s="477"/>
      <c r="E19" s="477"/>
      <c r="F19" s="477"/>
      <c r="G19" s="477"/>
      <c r="H19" s="477"/>
      <c r="I19" s="477"/>
      <c r="J19" s="477"/>
      <c r="K19" s="477"/>
      <c r="L19" s="477"/>
      <c r="M19" s="467">
        <f>+'Cap Outlay Deprec 26'!L12</f>
        <v>169510</v>
      </c>
      <c r="N19" s="484"/>
    </row>
    <row r="20" spans="1:14" s="485" customFormat="1" ht="12.75" customHeight="1" x14ac:dyDescent="0.2">
      <c r="A20" s="482" t="s">
        <v>1403</v>
      </c>
      <c r="B20" s="483">
        <v>260</v>
      </c>
      <c r="C20" s="477"/>
      <c r="D20" s="477"/>
      <c r="E20" s="477"/>
      <c r="F20" s="477"/>
      <c r="G20" s="477"/>
      <c r="H20" s="477"/>
      <c r="I20" s="477"/>
      <c r="J20" s="477"/>
      <c r="K20" s="477"/>
      <c r="L20" s="477"/>
      <c r="M20" s="467"/>
      <c r="N20" s="484"/>
    </row>
    <row r="21" spans="1:14" s="485" customFormat="1" ht="12.75" customHeight="1" x14ac:dyDescent="0.2">
      <c r="A21" s="482" t="s">
        <v>1404</v>
      </c>
      <c r="B21" s="483">
        <v>340</v>
      </c>
      <c r="C21" s="477"/>
      <c r="D21" s="477"/>
      <c r="E21" s="477"/>
      <c r="F21" s="477"/>
      <c r="G21" s="477"/>
      <c r="H21" s="477"/>
      <c r="I21" s="477"/>
      <c r="J21" s="477"/>
      <c r="K21" s="477"/>
      <c r="L21" s="477"/>
      <c r="M21" s="486"/>
      <c r="N21" s="467"/>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756883</v>
      </c>
      <c r="N23" s="1688">
        <f>SUM(N21:N22)</f>
        <v>0</v>
      </c>
    </row>
    <row r="24" spans="1:14" ht="18" customHeight="1" thickTop="1" x14ac:dyDescent="0.2">
      <c r="A24" s="2120" t="s">
        <v>598</v>
      </c>
      <c r="B24" s="212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22" t="s">
        <v>529</v>
      </c>
      <c r="B35" s="212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f>+'Acct Summary 7-8'!C81</f>
        <v>6199696</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756883</v>
      </c>
      <c r="N40" s="497"/>
    </row>
    <row r="41" spans="1:14" ht="13.5" customHeight="1" thickBot="1" x14ac:dyDescent="0.25">
      <c r="A41" s="1736" t="s">
        <v>655</v>
      </c>
      <c r="B41" s="1706"/>
      <c r="C41" s="1688">
        <f>(SUM(C34,C37,C38,C39))</f>
        <v>6199696</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756883</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1649</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3"/>
      <c r="D3" s="1574"/>
      <c r="E3" s="1574"/>
      <c r="F3" s="1574"/>
      <c r="G3" s="1574"/>
      <c r="H3" s="1574"/>
      <c r="I3" s="1574"/>
      <c r="J3" s="1574"/>
      <c r="K3" s="1575"/>
      <c r="L3" s="506"/>
    </row>
    <row r="4" spans="1:13" ht="15.75" customHeight="1" x14ac:dyDescent="0.2">
      <c r="A4" s="1928" t="s">
        <v>1496</v>
      </c>
      <c r="B4" s="1929">
        <v>1000</v>
      </c>
      <c r="C4" s="1742">
        <f>'Revenues 9-14'!C109</f>
        <v>10020452</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1497</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1498</v>
      </c>
      <c r="B6" s="1578">
        <v>3000</v>
      </c>
      <c r="C6" s="1743">
        <f>'Revenues 9-14'!C170</f>
        <v>1470389</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1499</v>
      </c>
      <c r="B7" s="1578">
        <v>4000</v>
      </c>
      <c r="C7" s="1743">
        <f>'Revenues 9-14'!C267</f>
        <v>4627632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16118473</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1650</v>
      </c>
      <c r="B9" s="515">
        <v>3998</v>
      </c>
      <c r="C9" s="481">
        <v>4422744</v>
      </c>
      <c r="D9" s="516"/>
      <c r="E9" s="481"/>
      <c r="F9" s="481"/>
      <c r="G9" s="517"/>
      <c r="H9" s="481"/>
      <c r="I9" s="509" t="s">
        <v>1169</v>
      </c>
      <c r="J9" s="478"/>
      <c r="K9" s="481"/>
      <c r="L9" s="347"/>
    </row>
    <row r="10" spans="1:13" s="519" customFormat="1" ht="13.5" thickBot="1" x14ac:dyDescent="0.25">
      <c r="A10" s="1736" t="s">
        <v>1173</v>
      </c>
      <c r="B10" s="1709"/>
      <c r="C10" s="1688">
        <f>SUM(C8:C9)</f>
        <v>20541217</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18" t="s">
        <v>1176</v>
      </c>
      <c r="B11" s="2119"/>
      <c r="C11" s="1570"/>
      <c r="D11" s="1571"/>
      <c r="E11" s="1571"/>
      <c r="F11" s="1571"/>
      <c r="G11" s="1571"/>
      <c r="H11" s="1571"/>
      <c r="I11" s="1571"/>
      <c r="J11" s="1571"/>
      <c r="K11" s="1572"/>
      <c r="L11" s="518"/>
    </row>
    <row r="12" spans="1:13" ht="15.75" customHeight="1" x14ac:dyDescent="0.2">
      <c r="A12" s="1576" t="s">
        <v>456</v>
      </c>
      <c r="B12" s="1578">
        <v>1000</v>
      </c>
      <c r="C12" s="1742">
        <f>'Expenditures 15-22'!K33</f>
        <v>6736701</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7174418</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120515</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309758</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14341392</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1651</v>
      </c>
      <c r="B18" s="1745">
        <v>4180</v>
      </c>
      <c r="C18" s="1742">
        <f t="shared" ref="C18:H18" si="3">C9</f>
        <v>4422744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18764136</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34" t="s">
        <v>1652</v>
      </c>
      <c r="B20" s="2135"/>
      <c r="C20" s="1746">
        <f>C8-C17</f>
        <v>1777081</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46" t="s">
        <v>595</v>
      </c>
      <c r="B21" s="2147"/>
      <c r="C21" s="1570"/>
      <c r="D21" s="1571"/>
      <c r="E21" s="1571"/>
      <c r="F21" s="1571"/>
      <c r="G21" s="1571"/>
      <c r="H21" s="1571"/>
      <c r="I21" s="1571"/>
      <c r="J21" s="1571"/>
      <c r="K21" s="1572"/>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9" t="s">
        <v>1653</v>
      </c>
      <c r="B24" s="525">
        <v>7110</v>
      </c>
      <c r="C24" s="467"/>
      <c r="D24" s="477"/>
      <c r="E24" s="477"/>
      <c r="F24" s="477"/>
      <c r="G24" s="477"/>
      <c r="H24" s="477"/>
      <c r="I24" s="477"/>
      <c r="J24" s="477"/>
      <c r="K24" s="477"/>
      <c r="L24" s="524"/>
    </row>
    <row r="25" spans="1:12" s="485" customFormat="1" ht="13.5" customHeight="1" x14ac:dyDescent="0.2">
      <c r="A25" s="1489" t="s">
        <v>1654</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1395</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1788</v>
      </c>
      <c r="B30" s="527">
        <v>7160</v>
      </c>
      <c r="C30" s="477"/>
      <c r="D30" s="467"/>
      <c r="E30" s="477"/>
      <c r="F30" s="477"/>
      <c r="G30" s="477"/>
      <c r="H30" s="477"/>
      <c r="I30" s="477"/>
      <c r="J30" s="477"/>
      <c r="K30" s="477"/>
      <c r="L30" s="524"/>
    </row>
    <row r="31" spans="1:12" s="485" customFormat="1" ht="26.25" x14ac:dyDescent="0.2">
      <c r="A31" s="1489" t="s">
        <v>1792</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1655</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90" t="s">
        <v>1656</v>
      </c>
      <c r="B47" s="483">
        <v>8110</v>
      </c>
      <c r="C47" s="477"/>
      <c r="D47" s="477"/>
      <c r="E47" s="477"/>
      <c r="F47" s="477"/>
      <c r="G47" s="477"/>
      <c r="H47" s="477"/>
      <c r="I47" s="1743">
        <f>SUM(C24,C25:H25,J25:K25)</f>
        <v>0</v>
      </c>
      <c r="J47" s="477"/>
      <c r="K47" s="477"/>
      <c r="L47" s="529"/>
    </row>
    <row r="48" spans="1:12" s="485" customFormat="1" ht="15" x14ac:dyDescent="0.2">
      <c r="A48" s="1490" t="s">
        <v>1657</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1395</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1791</v>
      </c>
      <c r="B52" s="483">
        <v>8160</v>
      </c>
      <c r="C52" s="477"/>
      <c r="D52" s="477"/>
      <c r="E52" s="477"/>
      <c r="F52" s="477"/>
      <c r="G52" s="477"/>
      <c r="H52" s="477"/>
      <c r="I52" s="477"/>
      <c r="J52" s="477"/>
      <c r="K52" s="1743">
        <f>D30</f>
        <v>0</v>
      </c>
      <c r="L52" s="524"/>
    </row>
    <row r="53" spans="1:12" s="485" customFormat="1" ht="26.25" x14ac:dyDescent="0.2">
      <c r="A53" s="1490" t="s">
        <v>1790</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6" t="s">
        <v>1177</v>
      </c>
      <c r="B77" s="2127"/>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30" t="s">
        <v>597</v>
      </c>
      <c r="B78" s="2131"/>
      <c r="C78" s="1702">
        <f t="shared" ref="C78:K78" si="9">C20+C77</f>
        <v>1777081</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1941</v>
      </c>
      <c r="B79" s="534"/>
      <c r="C79" s="478">
        <v>4422615</v>
      </c>
      <c r="D79" s="535"/>
      <c r="E79" s="535"/>
      <c r="F79" s="535"/>
      <c r="G79" s="535"/>
      <c r="H79" s="535"/>
      <c r="I79" s="535"/>
      <c r="J79" s="535"/>
      <c r="K79" s="535"/>
      <c r="L79" s="347"/>
    </row>
    <row r="80" spans="1:12" x14ac:dyDescent="0.2">
      <c r="A80" s="2136" t="s">
        <v>1789</v>
      </c>
      <c r="B80" s="2137"/>
      <c r="C80" s="467"/>
      <c r="D80" s="467"/>
      <c r="E80" s="467"/>
      <c r="F80" s="467"/>
      <c r="G80" s="467"/>
      <c r="H80" s="467"/>
      <c r="I80" s="467"/>
      <c r="J80" s="467"/>
      <c r="K80" s="467"/>
      <c r="L80" s="347"/>
    </row>
    <row r="81" spans="1:12" ht="13.5" thickBot="1" x14ac:dyDescent="0.25">
      <c r="A81" s="2128" t="s">
        <v>1942</v>
      </c>
      <c r="B81" s="2129"/>
      <c r="C81" s="1688">
        <f>(SUM(C78:C80))</f>
        <v>6199696</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1777081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0.28664002234948294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34" sqref="C3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1796</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1658</v>
      </c>
      <c r="B5" s="547"/>
      <c r="C5" s="481"/>
      <c r="D5" s="481"/>
      <c r="E5" s="466"/>
      <c r="F5" s="548"/>
      <c r="G5" s="466"/>
      <c r="H5" s="466"/>
      <c r="I5" s="466"/>
      <c r="J5" s="467"/>
      <c r="K5" s="466"/>
    </row>
    <row r="6" spans="1:12" ht="15" x14ac:dyDescent="0.2">
      <c r="A6" s="463" t="s">
        <v>1659</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1660</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f>9861562</f>
        <v>9861562</v>
      </c>
      <c r="D33" s="468"/>
      <c r="E33" s="468"/>
      <c r="F33" s="468"/>
      <c r="G33" s="468"/>
      <c r="H33" s="468"/>
      <c r="I33" s="468"/>
      <c r="J33" s="468"/>
      <c r="K33" s="468"/>
    </row>
    <row r="34" spans="1:11" ht="12.75" customHeight="1" x14ac:dyDescent="0.2">
      <c r="A34" s="463" t="s">
        <v>495</v>
      </c>
      <c r="B34" s="470">
        <v>1343</v>
      </c>
      <c r="C34" s="551">
        <v>55145</v>
      </c>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9916707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57128</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57128</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f>5076+4772</f>
        <v>9848</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1427</v>
      </c>
      <c r="B106" s="470">
        <v>1993</v>
      </c>
      <c r="C106" s="466"/>
      <c r="D106" s="489"/>
      <c r="E106" s="467"/>
      <c r="F106" s="467"/>
      <c r="G106" s="467"/>
      <c r="H106" s="467"/>
      <c r="I106" s="521"/>
      <c r="J106" s="467"/>
      <c r="K106" s="467"/>
    </row>
    <row r="107" spans="1:12" ht="12.75" customHeight="1" x14ac:dyDescent="0.2">
      <c r="A107" s="463" t="s">
        <v>78</v>
      </c>
      <c r="B107" s="470">
        <v>1999</v>
      </c>
      <c r="C107" s="551">
        <v>36769</v>
      </c>
      <c r="D107" s="466"/>
      <c r="E107" s="466"/>
      <c r="F107" s="466"/>
      <c r="G107" s="466"/>
      <c r="H107" s="466"/>
      <c r="I107" s="466"/>
      <c r="J107" s="467"/>
      <c r="K107" s="466"/>
    </row>
    <row r="108" spans="1:12" ht="12.75" customHeight="1" thickBot="1" x14ac:dyDescent="0.25">
      <c r="A108" s="1708" t="s">
        <v>487</v>
      </c>
      <c r="B108" s="1712"/>
      <c r="C108" s="1707">
        <f>SUM(C95:C107)</f>
        <v>46617</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10020452</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1488</v>
      </c>
      <c r="B116" s="1596"/>
      <c r="C116" s="522"/>
      <c r="D116" s="521"/>
      <c r="E116" s="561"/>
      <c r="F116" s="521"/>
      <c r="G116" s="521"/>
      <c r="H116" s="561"/>
      <c r="I116" s="468"/>
      <c r="J116" s="521"/>
      <c r="K116" s="521"/>
    </row>
    <row r="117" spans="1:11" ht="12.75" customHeight="1" x14ac:dyDescent="0.2">
      <c r="A117" s="463" t="s">
        <v>1664</v>
      </c>
      <c r="B117" s="562">
        <v>3001</v>
      </c>
      <c r="C117" s="516">
        <v>1470389</v>
      </c>
      <c r="D117" s="481"/>
      <c r="E117" s="466"/>
      <c r="F117" s="481"/>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31" t="s">
        <v>1928</v>
      </c>
      <c r="B120" s="562">
        <v>3030</v>
      </c>
      <c r="C120" s="551"/>
      <c r="D120" s="466"/>
      <c r="E120" s="466"/>
      <c r="F120" s="466"/>
      <c r="G120" s="466"/>
      <c r="H120" s="466"/>
      <c r="I120" s="468"/>
      <c r="J120" s="467"/>
      <c r="K120" s="466"/>
    </row>
    <row r="121" spans="1:11" x14ac:dyDescent="0.2">
      <c r="A121" s="1496" t="s">
        <v>1795</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1470389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1487</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1443</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1444</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1445</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1446</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52" t="s">
        <v>398</v>
      </c>
      <c r="B169" s="2153"/>
      <c r="C169" s="1722">
        <f t="shared" ref="C169:K169" si="6">SUM(C132,C141,C145,C146:C150,C155,C156:C167,C168)</f>
        <v>0</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1470389</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4" t="s">
        <v>1489</v>
      </c>
      <c r="B172" s="215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1662</v>
      </c>
      <c r="B175" s="2159"/>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2" t="s">
        <v>1661</v>
      </c>
      <c r="B176" s="216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6" t="s">
        <v>1797</v>
      </c>
      <c r="B182" s="2157"/>
      <c r="C182" s="584"/>
      <c r="D182" s="566"/>
      <c r="E182" s="509"/>
      <c r="F182" s="566"/>
      <c r="G182" s="566"/>
      <c r="H182" s="468"/>
      <c r="I182" s="468"/>
      <c r="J182" s="468"/>
      <c r="K182" s="468"/>
    </row>
    <row r="183" spans="1:11" ht="15.75" customHeight="1" x14ac:dyDescent="0.2">
      <c r="A183" s="1603" t="s">
        <v>1599</v>
      </c>
      <c r="B183" s="1604"/>
      <c r="C183" s="522"/>
      <c r="D183" s="521"/>
      <c r="E183" s="509"/>
      <c r="F183" s="521"/>
      <c r="G183" s="521"/>
      <c r="H183" s="468"/>
      <c r="I183" s="468"/>
      <c r="J183" s="468"/>
      <c r="K183" s="468"/>
    </row>
    <row r="184" spans="1:11" ht="12.75" customHeight="1" x14ac:dyDescent="0.2">
      <c r="A184" s="463" t="s">
        <v>1600</v>
      </c>
      <c r="B184" s="470">
        <v>4100</v>
      </c>
      <c r="C184" s="516"/>
      <c r="D184" s="481"/>
      <c r="E184" s="561"/>
      <c r="F184" s="481"/>
      <c r="G184" s="481"/>
      <c r="H184" s="468"/>
      <c r="I184" s="468"/>
      <c r="J184" s="468"/>
      <c r="K184" s="468"/>
    </row>
    <row r="185" spans="1:11" ht="12.75" customHeight="1" x14ac:dyDescent="0.2">
      <c r="A185" s="463" t="s">
        <v>1601</v>
      </c>
      <c r="B185" s="470">
        <v>4105</v>
      </c>
      <c r="C185" s="551"/>
      <c r="D185" s="466"/>
      <c r="E185" s="561"/>
      <c r="F185" s="466"/>
      <c r="G185" s="466"/>
      <c r="H185" s="468"/>
      <c r="I185" s="468"/>
      <c r="J185" s="468"/>
      <c r="K185" s="468"/>
    </row>
    <row r="186" spans="1:11" ht="12.75" customHeight="1" x14ac:dyDescent="0.2">
      <c r="A186" s="463" t="s">
        <v>1603</v>
      </c>
      <c r="B186" s="470">
        <v>4107</v>
      </c>
      <c r="C186" s="551"/>
      <c r="D186" s="466"/>
      <c r="E186" s="561"/>
      <c r="F186" s="466"/>
      <c r="G186" s="466"/>
      <c r="H186" s="468"/>
      <c r="I186" s="468"/>
      <c r="J186" s="468"/>
      <c r="K186" s="468"/>
    </row>
    <row r="187" spans="1:11" ht="12.75" customHeight="1" x14ac:dyDescent="0.2">
      <c r="A187" s="463" t="s">
        <v>1602</v>
      </c>
      <c r="B187" s="470">
        <v>4199</v>
      </c>
      <c r="C187" s="551"/>
      <c r="D187" s="466"/>
      <c r="E187" s="561"/>
      <c r="F187" s="466"/>
      <c r="G187" s="466"/>
      <c r="H187" s="468"/>
      <c r="I187" s="468"/>
      <c r="J187" s="468"/>
      <c r="K187" s="468"/>
    </row>
    <row r="188" spans="1:11" ht="12.75" customHeight="1" thickBot="1" x14ac:dyDescent="0.25">
      <c r="A188" s="1708" t="s">
        <v>1604</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1447</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1448</v>
      </c>
      <c r="B194" s="470">
        <v>4225</v>
      </c>
      <c r="C194" s="551"/>
      <c r="D194" s="468"/>
      <c r="E194" s="561"/>
      <c r="F194" s="468"/>
      <c r="G194" s="585"/>
      <c r="H194" s="468"/>
      <c r="I194" s="468"/>
      <c r="J194" s="468"/>
      <c r="K194" s="468"/>
    </row>
    <row r="195" spans="1:11" ht="12.75" customHeight="1" x14ac:dyDescent="0.2">
      <c r="A195" s="463" t="s">
        <v>1449</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1450</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116944</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1451</v>
      </c>
      <c r="B213" s="557">
        <v>4620</v>
      </c>
      <c r="C213" s="551">
        <v>3784887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3901831</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1452</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1418</v>
      </c>
      <c r="B253" s="588">
        <v>4901</v>
      </c>
      <c r="C253" s="589"/>
      <c r="D253" s="469"/>
      <c r="E253" s="468"/>
      <c r="F253" s="468"/>
      <c r="G253" s="468"/>
      <c r="H253" s="468"/>
      <c r="I253" s="468"/>
      <c r="J253" s="468"/>
      <c r="K253" s="468"/>
    </row>
    <row r="254" spans="1:11" ht="12.75" customHeight="1" thickTop="1" thickBot="1" x14ac:dyDescent="0.25">
      <c r="A254" s="1503" t="s">
        <v>1460</v>
      </c>
      <c r="B254" s="590">
        <v>4902</v>
      </c>
      <c r="C254" s="591"/>
      <c r="D254" s="592"/>
      <c r="E254" s="469"/>
      <c r="F254" s="592"/>
      <c r="G254" s="592"/>
      <c r="H254" s="469"/>
      <c r="I254" s="468"/>
      <c r="J254" s="469"/>
      <c r="K254" s="469"/>
    </row>
    <row r="255" spans="1:11" ht="12.75" customHeight="1" thickTop="1" thickBot="1" x14ac:dyDescent="0.25">
      <c r="A255" s="463" t="s">
        <v>1453</v>
      </c>
      <c r="B255" s="470">
        <v>4905</v>
      </c>
      <c r="C255" s="573"/>
      <c r="D255" s="468"/>
      <c r="E255" s="468"/>
      <c r="F255" s="578"/>
      <c r="G255" s="573"/>
      <c r="H255" s="468"/>
      <c r="I255" s="468"/>
      <c r="J255" s="468"/>
      <c r="K255" s="468"/>
    </row>
    <row r="256" spans="1:11" ht="12.75" customHeight="1" thickTop="1" thickBot="1" x14ac:dyDescent="0.25">
      <c r="A256" s="463" t="s">
        <v>1454</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1929</v>
      </c>
      <c r="B261" s="470">
        <v>4981</v>
      </c>
      <c r="C261" s="575"/>
      <c r="D261" s="576"/>
      <c r="E261" s="468"/>
      <c r="F261" s="576"/>
      <c r="G261" s="576"/>
      <c r="H261" s="468"/>
      <c r="I261" s="468"/>
      <c r="J261" s="468"/>
      <c r="K261" s="468"/>
    </row>
    <row r="262" spans="1:11" ht="12.75" customHeight="1" thickTop="1" thickBot="1" x14ac:dyDescent="0.25">
      <c r="A262" s="1932" t="s">
        <v>1930</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196809</v>
      </c>
      <c r="D263" s="576"/>
      <c r="E263" s="468"/>
      <c r="F263" s="576"/>
      <c r="G263" s="576"/>
      <c r="H263" s="468"/>
      <c r="I263" s="468"/>
      <c r="J263" s="468"/>
      <c r="K263" s="468"/>
    </row>
    <row r="264" spans="1:11" ht="12.75" customHeight="1" thickTop="1" thickBot="1" x14ac:dyDescent="0.25">
      <c r="A264" s="463" t="s">
        <v>377</v>
      </c>
      <c r="B264" s="470">
        <v>4992</v>
      </c>
      <c r="C264" s="575">
        <v>455443</v>
      </c>
      <c r="D264" s="576"/>
      <c r="E264" s="468"/>
      <c r="F264" s="576"/>
      <c r="G264" s="576"/>
      <c r="H264" s="468"/>
      <c r="I264" s="468"/>
      <c r="J264" s="468"/>
      <c r="K264" s="468"/>
    </row>
    <row r="265" spans="1:11" s="593" customFormat="1" ht="12.75" customHeight="1" thickTop="1" thickBot="1" x14ac:dyDescent="0.25">
      <c r="A265" s="563" t="s">
        <v>75</v>
      </c>
      <c r="B265" s="557">
        <v>4999</v>
      </c>
      <c r="C265" s="575">
        <v>73549</v>
      </c>
      <c r="D265" s="576"/>
      <c r="E265" s="468"/>
      <c r="F265" s="576"/>
      <c r="G265" s="576"/>
      <c r="H265" s="530"/>
      <c r="I265" s="468"/>
      <c r="J265" s="468"/>
      <c r="K265" s="530"/>
    </row>
    <row r="266" spans="1:11" ht="14.25" thickTop="1" thickBot="1" x14ac:dyDescent="0.25">
      <c r="A266" s="1708" t="s">
        <v>1663</v>
      </c>
      <c r="B266" s="1727"/>
      <c r="C266" s="1715">
        <f t="shared" ref="C266:H266" si="10">SUM(C188,C198,C204,C209,C217,C221,C222,C252:C265)</f>
        <v>4627632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4627632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16118473</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1796</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2" t="s">
        <v>297</v>
      </c>
      <c r="B3" s="217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1430</v>
      </c>
      <c r="B6" s="614" t="s">
        <v>1428</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5430202</v>
      </c>
      <c r="D8" s="466">
        <v>840657</v>
      </c>
      <c r="E8" s="466">
        <v>170432</v>
      </c>
      <c r="F8" s="466">
        <v>32495</v>
      </c>
      <c r="G8" s="466">
        <v>34870</v>
      </c>
      <c r="H8" s="466"/>
      <c r="I8" s="467"/>
      <c r="J8" s="467"/>
      <c r="K8" s="1671">
        <f t="shared" si="0"/>
        <v>6508656</v>
      </c>
      <c r="L8" s="466">
        <v>7393465</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145077</v>
      </c>
      <c r="D13" s="466">
        <v>40041</v>
      </c>
      <c r="E13" s="466">
        <v>34186</v>
      </c>
      <c r="F13" s="466">
        <v>8741</v>
      </c>
      <c r="G13" s="466"/>
      <c r="H13" s="466"/>
      <c r="I13" s="467"/>
      <c r="J13" s="467"/>
      <c r="K13" s="1671">
        <f t="shared" si="0"/>
        <v>228045</v>
      </c>
      <c r="L13" s="466">
        <v>277957</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1665</v>
      </c>
      <c r="B33" s="1669" t="s">
        <v>570</v>
      </c>
      <c r="C33" s="1670">
        <f>SUM(C5:C32)</f>
        <v>5575279</v>
      </c>
      <c r="D33" s="1670">
        <f t="shared" ref="D33:L33" si="1">SUM(D5:D32)</f>
        <v>880698</v>
      </c>
      <c r="E33" s="1670">
        <f t="shared" si="1"/>
        <v>204618</v>
      </c>
      <c r="F33" s="1670">
        <f t="shared" si="1"/>
        <v>41236</v>
      </c>
      <c r="G33" s="1670">
        <f t="shared" si="1"/>
        <v>34870</v>
      </c>
      <c r="H33" s="1670">
        <f t="shared" si="1"/>
        <v>0</v>
      </c>
      <c r="I33" s="1670">
        <f t="shared" si="1"/>
        <v>0</v>
      </c>
      <c r="J33" s="1670">
        <f t="shared" si="1"/>
        <v>0</v>
      </c>
      <c r="K33" s="1670">
        <f t="shared" si="1"/>
        <v>6736701</v>
      </c>
      <c r="L33" s="1670">
        <f t="shared" si="1"/>
        <v>7671422</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922564</v>
      </c>
      <c r="D36" s="481">
        <v>84369</v>
      </c>
      <c r="E36" s="481">
        <v>10555</v>
      </c>
      <c r="F36" s="481">
        <v>3833</v>
      </c>
      <c r="G36" s="481">
        <v>4900</v>
      </c>
      <c r="H36" s="481"/>
      <c r="I36" s="467"/>
      <c r="J36" s="467"/>
      <c r="K36" s="1671">
        <f t="shared" ref="K36:K41" si="2">SUM(C36:J36)</f>
        <v>1026221</v>
      </c>
      <c r="L36" s="466">
        <v>1128833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889232</v>
      </c>
      <c r="D38" s="466">
        <v>135476</v>
      </c>
      <c r="E38" s="466">
        <v>21920</v>
      </c>
      <c r="F38" s="466">
        <v>17905</v>
      </c>
      <c r="G38" s="466">
        <v>13125</v>
      </c>
      <c r="H38" s="466"/>
      <c r="I38" s="467"/>
      <c r="J38" s="467"/>
      <c r="K38" s="1671">
        <f t="shared" si="2"/>
        <v>1077658</v>
      </c>
      <c r="L38" s="466">
        <v>1159638</v>
      </c>
    </row>
    <row r="39" spans="1:14" x14ac:dyDescent="0.2">
      <c r="A39" s="1504" t="s">
        <v>199</v>
      </c>
      <c r="B39" s="614">
        <v>2140</v>
      </c>
      <c r="C39" s="466">
        <v>599945</v>
      </c>
      <c r="D39" s="466">
        <v>40083</v>
      </c>
      <c r="E39" s="466">
        <v>14657</v>
      </c>
      <c r="F39" s="466">
        <v>10925</v>
      </c>
      <c r="G39" s="466">
        <v>4000</v>
      </c>
      <c r="H39" s="466"/>
      <c r="I39" s="467"/>
      <c r="J39" s="467"/>
      <c r="K39" s="1671">
        <f t="shared" si="2"/>
        <v>669610</v>
      </c>
      <c r="L39" s="466">
        <v>877373</v>
      </c>
    </row>
    <row r="40" spans="1:14" x14ac:dyDescent="0.2">
      <c r="A40" s="1504" t="s">
        <v>200</v>
      </c>
      <c r="B40" s="614">
        <v>2150</v>
      </c>
      <c r="C40" s="466">
        <v>787351</v>
      </c>
      <c r="D40" s="466">
        <v>83449</v>
      </c>
      <c r="E40" s="466">
        <v>8406</v>
      </c>
      <c r="F40" s="466">
        <v>17559</v>
      </c>
      <c r="G40" s="466"/>
      <c r="H40" s="466"/>
      <c r="I40" s="467"/>
      <c r="J40" s="467"/>
      <c r="K40" s="1671">
        <f t="shared" si="2"/>
        <v>896765</v>
      </c>
      <c r="L40" s="466">
        <v>896226</v>
      </c>
    </row>
    <row r="41" spans="1:14" x14ac:dyDescent="0.2">
      <c r="A41" s="1504" t="s">
        <v>1666</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3199092</v>
      </c>
      <c r="D42" s="1670">
        <f t="shared" ref="D42:L42" si="3">SUM(D36:D41)</f>
        <v>343377</v>
      </c>
      <c r="E42" s="1670">
        <f t="shared" si="3"/>
        <v>55538</v>
      </c>
      <c r="F42" s="1670">
        <f t="shared" si="3"/>
        <v>50222</v>
      </c>
      <c r="G42" s="1670">
        <f t="shared" si="3"/>
        <v>22025</v>
      </c>
      <c r="H42" s="1670">
        <f t="shared" si="3"/>
        <v>0</v>
      </c>
      <c r="I42" s="1670">
        <f t="shared" si="3"/>
        <v>0</v>
      </c>
      <c r="J42" s="1670">
        <f t="shared" si="3"/>
        <v>0</v>
      </c>
      <c r="K42" s="1670">
        <f t="shared" si="3"/>
        <v>3670254</v>
      </c>
      <c r="L42" s="1670">
        <f t="shared" si="3"/>
        <v>4062070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656493</v>
      </c>
      <c r="D44" s="481">
        <v>112034</v>
      </c>
      <c r="E44" s="481">
        <v>70055</v>
      </c>
      <c r="F44" s="481">
        <v>8888</v>
      </c>
      <c r="G44" s="481">
        <v>1404</v>
      </c>
      <c r="H44" s="481">
        <v>2885</v>
      </c>
      <c r="I44" s="467"/>
      <c r="J44" s="467"/>
      <c r="K44" s="1672">
        <f>SUM(C44:J44)</f>
        <v>851759</v>
      </c>
      <c r="L44" s="481">
        <v>1022725</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656493</v>
      </c>
      <c r="D47" s="1670">
        <f t="shared" ref="D47:K47" si="4">SUM(D44:D46)</f>
        <v>112034</v>
      </c>
      <c r="E47" s="1670">
        <f t="shared" si="4"/>
        <v>70055</v>
      </c>
      <c r="F47" s="1670">
        <f t="shared" si="4"/>
        <v>8888</v>
      </c>
      <c r="G47" s="1670">
        <f t="shared" si="4"/>
        <v>1404</v>
      </c>
      <c r="H47" s="1670">
        <f t="shared" si="4"/>
        <v>2885</v>
      </c>
      <c r="I47" s="1670">
        <f t="shared" si="4"/>
        <v>0</v>
      </c>
      <c r="J47" s="1670">
        <f t="shared" si="4"/>
        <v>0</v>
      </c>
      <c r="K47" s="1670">
        <f t="shared" si="4"/>
        <v>851759</v>
      </c>
      <c r="L47" s="1670">
        <f>SUM(L44:L46)</f>
        <v>1022725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943087</v>
      </c>
      <c r="D50" s="466">
        <v>195159</v>
      </c>
      <c r="E50" s="466">
        <v>313967</v>
      </c>
      <c r="F50" s="466">
        <v>24908</v>
      </c>
      <c r="G50" s="466">
        <v>2400</v>
      </c>
      <c r="H50" s="466">
        <v>2515</v>
      </c>
      <c r="I50" s="467"/>
      <c r="J50" s="467"/>
      <c r="K50" s="1672">
        <f>SUM(C50:J50)</f>
        <v>1482036</v>
      </c>
      <c r="L50" s="466">
        <v>1864095</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943087</v>
      </c>
      <c r="D53" s="1670">
        <f t="shared" ref="D53:L53" si="5">SUM(D49:D52)</f>
        <v>195159</v>
      </c>
      <c r="E53" s="1670">
        <f t="shared" si="5"/>
        <v>313967</v>
      </c>
      <c r="F53" s="1670">
        <f t="shared" si="5"/>
        <v>24908</v>
      </c>
      <c r="G53" s="1670">
        <f t="shared" si="5"/>
        <v>2400</v>
      </c>
      <c r="H53" s="1670">
        <f t="shared" si="5"/>
        <v>2515</v>
      </c>
      <c r="I53" s="1670">
        <f t="shared" si="5"/>
        <v>0</v>
      </c>
      <c r="J53" s="1670">
        <f t="shared" si="5"/>
        <v>0</v>
      </c>
      <c r="K53" s="1670">
        <f t="shared" si="5"/>
        <v>1482036</v>
      </c>
      <c r="L53" s="1670">
        <f t="shared" si="5"/>
        <v>1864095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104914</v>
      </c>
      <c r="D55" s="481">
        <v>20618</v>
      </c>
      <c r="E55" s="481">
        <v>8982</v>
      </c>
      <c r="F55" s="481">
        <v>5015</v>
      </c>
      <c r="G55" s="481"/>
      <c r="H55" s="481"/>
      <c r="I55" s="467"/>
      <c r="J55" s="467"/>
      <c r="K55" s="1672">
        <f>SUM(C55:J55)</f>
        <v>139529</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104914</v>
      </c>
      <c r="D57" s="1674">
        <f t="shared" ref="D57:K57" si="6">SUM(D55:D56)</f>
        <v>20618</v>
      </c>
      <c r="E57" s="1674">
        <f t="shared" si="6"/>
        <v>8982</v>
      </c>
      <c r="F57" s="1674">
        <f t="shared" si="6"/>
        <v>5015</v>
      </c>
      <c r="G57" s="1674">
        <f t="shared" si="6"/>
        <v>0</v>
      </c>
      <c r="H57" s="1674">
        <f t="shared" si="6"/>
        <v>0</v>
      </c>
      <c r="I57" s="1674">
        <f t="shared" si="6"/>
        <v>0</v>
      </c>
      <c r="J57" s="1674">
        <f t="shared" si="6"/>
        <v>0</v>
      </c>
      <c r="K57" s="1674">
        <f t="shared" si="6"/>
        <v>139529</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97955</v>
      </c>
      <c r="D59" s="481">
        <v>10650</v>
      </c>
      <c r="E59" s="481">
        <v>582</v>
      </c>
      <c r="F59" s="481"/>
      <c r="G59" s="481"/>
      <c r="H59" s="481"/>
      <c r="I59" s="467"/>
      <c r="J59" s="467"/>
      <c r="K59" s="1672">
        <f t="shared" ref="K59:K64" si="7">SUM(C59:J59)</f>
        <v>109187</v>
      </c>
      <c r="L59" s="481">
        <v>110110</v>
      </c>
      <c r="M59" s="609"/>
      <c r="N59" s="609"/>
    </row>
    <row r="60" spans="1:14" s="343" customFormat="1" x14ac:dyDescent="0.2">
      <c r="A60" s="1504" t="s">
        <v>463</v>
      </c>
      <c r="B60" s="614">
        <v>2520</v>
      </c>
      <c r="C60" s="466">
        <v>74319</v>
      </c>
      <c r="D60" s="466">
        <v>31228</v>
      </c>
      <c r="E60" s="466">
        <v>47455</v>
      </c>
      <c r="F60" s="466">
        <v>220</v>
      </c>
      <c r="G60" s="466"/>
      <c r="H60" s="466"/>
      <c r="I60" s="467"/>
      <c r="J60" s="467"/>
      <c r="K60" s="1672">
        <f t="shared" si="7"/>
        <v>153222</v>
      </c>
      <c r="L60" s="466">
        <v>179262</v>
      </c>
      <c r="M60" s="609"/>
      <c r="N60" s="609"/>
    </row>
    <row r="61" spans="1:14" s="343" customFormat="1" x14ac:dyDescent="0.2">
      <c r="A61" s="1504" t="s">
        <v>197</v>
      </c>
      <c r="B61" s="614">
        <v>2540</v>
      </c>
      <c r="C61" s="466">
        <v>3293</v>
      </c>
      <c r="D61" s="466">
        <v>253</v>
      </c>
      <c r="E61" s="466">
        <v>141452</v>
      </c>
      <c r="F61" s="466">
        <v>4017</v>
      </c>
      <c r="G61" s="466">
        <v>608725</v>
      </c>
      <c r="H61" s="466"/>
      <c r="I61" s="467">
        <v>10691</v>
      </c>
      <c r="J61" s="467"/>
      <c r="K61" s="1672">
        <f t="shared" si="7"/>
        <v>768431</v>
      </c>
      <c r="L61" s="466">
        <v>217412</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175567</v>
      </c>
      <c r="D65" s="1670">
        <f t="shared" ref="D65:L65" si="8">SUM(D59:D64)</f>
        <v>42131</v>
      </c>
      <c r="E65" s="1670">
        <f t="shared" si="8"/>
        <v>189489</v>
      </c>
      <c r="F65" s="1670">
        <f t="shared" si="8"/>
        <v>4237</v>
      </c>
      <c r="G65" s="1670">
        <f t="shared" si="8"/>
        <v>608725</v>
      </c>
      <c r="H65" s="1670">
        <f t="shared" si="8"/>
        <v>0</v>
      </c>
      <c r="I65" s="1670">
        <f t="shared" si="8"/>
        <v>10691</v>
      </c>
      <c r="J65" s="1670">
        <f t="shared" si="8"/>
        <v>0</v>
      </c>
      <c r="K65" s="1670">
        <f t="shared" si="8"/>
        <v>1030840</v>
      </c>
      <c r="L65" s="1670">
        <f t="shared" si="8"/>
        <v>506784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v>6000</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6000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5079153</v>
      </c>
      <c r="D74" s="1677">
        <f t="shared" ref="D74:K74" si="10">SUM(D42,D47,D53,D57,D65,D72,D73)</f>
        <v>713319</v>
      </c>
      <c r="E74" s="1677">
        <f t="shared" si="10"/>
        <v>638031</v>
      </c>
      <c r="F74" s="1677">
        <f t="shared" si="10"/>
        <v>93270</v>
      </c>
      <c r="G74" s="1677">
        <f t="shared" si="10"/>
        <v>634554</v>
      </c>
      <c r="H74" s="1677">
        <f t="shared" si="10"/>
        <v>5400</v>
      </c>
      <c r="I74" s="1677">
        <f t="shared" si="10"/>
        <v>10691</v>
      </c>
      <c r="J74" s="1677">
        <f t="shared" si="10"/>
        <v>0</v>
      </c>
      <c r="K74" s="1677">
        <f t="shared" si="10"/>
        <v>7174418</v>
      </c>
      <c r="L74" s="1677">
        <f>SUM(L42,L47,L53,L57,L65,L72,L73)</f>
        <v>7461674</v>
      </c>
    </row>
    <row r="75" spans="1:14" s="259" customFormat="1" ht="15.75" customHeight="1" thickTop="1" thickBot="1" x14ac:dyDescent="0.25">
      <c r="A75" s="1610" t="s">
        <v>47</v>
      </c>
      <c r="B75" s="1611" t="s">
        <v>575</v>
      </c>
      <c r="C75" s="573">
        <v>93621</v>
      </c>
      <c r="D75" s="573">
        <v>17820</v>
      </c>
      <c r="E75" s="573">
        <v>2528</v>
      </c>
      <c r="F75" s="573">
        <v>6546</v>
      </c>
      <c r="G75" s="573"/>
      <c r="H75" s="573"/>
      <c r="I75" s="531"/>
      <c r="J75" s="531"/>
      <c r="K75" s="1670">
        <f>SUM(C75:J75)</f>
        <v>120515</v>
      </c>
      <c r="L75" s="576">
        <v>182575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309758</v>
      </c>
      <c r="I83" s="477"/>
      <c r="J83" s="477"/>
      <c r="K83" s="1671">
        <f t="shared" si="11"/>
        <v>309758</v>
      </c>
      <c r="L83" s="466">
        <v>330798</v>
      </c>
    </row>
    <row r="84" spans="1:12" ht="13.5" thickBot="1" x14ac:dyDescent="0.25">
      <c r="A84" s="1668" t="s">
        <v>1482</v>
      </c>
      <c r="B84" s="1678">
        <v>4100</v>
      </c>
      <c r="C84" s="616"/>
      <c r="D84" s="616"/>
      <c r="E84" s="1670">
        <f>SUM(E78:E83)</f>
        <v>0</v>
      </c>
      <c r="F84" s="616"/>
      <c r="G84" s="616"/>
      <c r="H84" s="1670">
        <f>SUM(H78:H83)</f>
        <v>309758</v>
      </c>
      <c r="I84" s="477"/>
      <c r="J84" s="477"/>
      <c r="K84" s="1670">
        <f>SUM(K78:K83)</f>
        <v>309758</v>
      </c>
      <c r="L84" s="1670">
        <f>SUM(L78:L83)</f>
        <v>330798</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1557</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1485</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1483</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1486</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1484</v>
      </c>
      <c r="B102" s="1678">
        <v>4000</v>
      </c>
      <c r="C102" s="616"/>
      <c r="D102" s="616"/>
      <c r="E102" s="1677">
        <f>SUM(E84,E92,E100,E101)</f>
        <v>0</v>
      </c>
      <c r="F102" s="616"/>
      <c r="G102" s="616"/>
      <c r="H102" s="1677">
        <f>SUM(H84,H92,H100,H101)</f>
        <v>309758</v>
      </c>
      <c r="I102" s="477"/>
      <c r="J102" s="477"/>
      <c r="K102" s="1677">
        <f>SUM(K84,K92,K100,K101)</f>
        <v>309758</v>
      </c>
      <c r="L102" s="1677">
        <f>SUM(L84,L92,L100,L101)</f>
        <v>330798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10748053</v>
      </c>
      <c r="D114" s="1670">
        <f t="shared" ref="D114:K114" si="13">SUM(D33,D74,D75,D102,D112,D113)</f>
        <v>1611837</v>
      </c>
      <c r="E114" s="1670">
        <f t="shared" si="13"/>
        <v>845177</v>
      </c>
      <c r="F114" s="1670">
        <f t="shared" si="13"/>
        <v>141052</v>
      </c>
      <c r="G114" s="1670">
        <f t="shared" si="13"/>
        <v>669424</v>
      </c>
      <c r="H114" s="1670">
        <f>SUM(H33,H74,H75,H102,H112,H113)</f>
        <v>315158</v>
      </c>
      <c r="I114" s="1670">
        <f t="shared" si="13"/>
        <v>10691</v>
      </c>
      <c r="J114" s="1670">
        <f t="shared" si="13"/>
        <v>0</v>
      </c>
      <c r="K114" s="1670">
        <f t="shared" si="13"/>
        <v>14341392</v>
      </c>
      <c r="L114" s="1670">
        <f>SUM(L33,L74,L75,L102,L112,L113)</f>
        <v>15646469</v>
      </c>
    </row>
    <row r="115" spans="1:14" ht="13.5" thickTop="1" x14ac:dyDescent="0.2">
      <c r="A115" s="2164" t="s">
        <v>996</v>
      </c>
      <c r="B115" s="2165"/>
      <c r="C115" s="618"/>
      <c r="D115" s="618"/>
      <c r="E115" s="618"/>
      <c r="F115" s="618"/>
      <c r="G115" s="618"/>
      <c r="H115" s="618"/>
      <c r="I115" s="618"/>
      <c r="J115" s="618"/>
      <c r="K115" s="1684">
        <f>'Revenues 9-14'!C268-'Expenditures 15-22'!K114</f>
        <v>1777081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9" t="s">
        <v>296</v>
      </c>
      <c r="B117" s="217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2052</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1838</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1484</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1" t="s">
        <v>620</v>
      </c>
      <c r="B151" s="2161"/>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84" t="s">
        <v>1178</v>
      </c>
      <c r="B152" s="2185"/>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9" t="s">
        <v>621</v>
      </c>
      <c r="B154" s="217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1839</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1838</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1840</v>
      </c>
      <c r="C158" s="616"/>
      <c r="D158" s="616"/>
      <c r="E158" s="616"/>
      <c r="F158" s="616"/>
      <c r="G158" s="616"/>
      <c r="H158" s="467"/>
      <c r="I158" s="616"/>
      <c r="J158" s="616"/>
      <c r="K158" s="1671">
        <f>H158</f>
        <v>0</v>
      </c>
      <c r="L158" s="467"/>
      <c r="M158" s="619"/>
      <c r="N158" s="619"/>
    </row>
    <row r="159" spans="1:14" s="620" customFormat="1" ht="12" x14ac:dyDescent="0.2">
      <c r="A159" s="1826" t="s">
        <v>1841</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1842</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1667</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64" t="s">
        <v>996</v>
      </c>
      <c r="B175" s="216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2052</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1484</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1668</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64" t="s">
        <v>996</v>
      </c>
      <c r="B211" s="2165"/>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6" t="s">
        <v>965</v>
      </c>
      <c r="B213" s="218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1799</v>
      </c>
      <c r="B249" s="683" t="s">
        <v>282</v>
      </c>
      <c r="C249" s="616"/>
      <c r="D249" s="474"/>
      <c r="E249" s="616"/>
      <c r="F249" s="616"/>
      <c r="G249" s="616"/>
      <c r="H249" s="616"/>
      <c r="I249" s="616"/>
      <c r="J249" s="616"/>
      <c r="K249" s="1672">
        <f t="shared" si="21"/>
        <v>0</v>
      </c>
      <c r="L249" s="466"/>
    </row>
    <row r="250" spans="1:12" x14ac:dyDescent="0.2">
      <c r="A250" s="1505" t="s">
        <v>1800</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1798</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1838</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1484</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2" t="s">
        <v>505</v>
      </c>
      <c r="B295" s="2183"/>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64" t="s">
        <v>996</v>
      </c>
      <c r="B296" s="2165"/>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4" t="s">
        <v>143</v>
      </c>
      <c r="B298" s="216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1843</v>
      </c>
      <c r="B306" s="690" t="s">
        <v>1838</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1484</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9" t="s">
        <v>277</v>
      </c>
      <c r="B312" s="2180"/>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5" t="s">
        <v>996</v>
      </c>
      <c r="B313" s="2176"/>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8" t="s">
        <v>149</v>
      </c>
      <c r="B315" s="218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0" t="s">
        <v>898</v>
      </c>
      <c r="B317" s="218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1799</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1844</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1838</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1840</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1845</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7" t="s">
        <v>996</v>
      </c>
      <c r="B343" s="2178"/>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7" t="s">
        <v>966</v>
      </c>
      <c r="B345" s="216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1846</v>
      </c>
      <c r="B354" s="683" t="s">
        <v>1838</v>
      </c>
      <c r="C354" s="616"/>
      <c r="D354" s="616"/>
      <c r="E354" s="616"/>
      <c r="F354" s="616"/>
      <c r="G354" s="616"/>
      <c r="H354" s="474"/>
      <c r="I354" s="701"/>
      <c r="J354" s="616"/>
      <c r="K354" s="1699">
        <f>H354</f>
        <v>0</v>
      </c>
      <c r="L354" s="471"/>
    </row>
    <row r="355" spans="1:14" ht="12.75" customHeight="1" x14ac:dyDescent="0.2">
      <c r="A355" s="1513" t="s">
        <v>1847</v>
      </c>
      <c r="B355" s="690" t="s">
        <v>1840</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1484</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1669</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4" t="s">
        <v>996</v>
      </c>
      <c r="B368" s="2165"/>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purl.org/dc/elements/1.1/"/>
    <ds:schemaRef ds:uri="4d435f69-8686-490b-bd6d-b153bf22ab50"/>
    <ds:schemaRef ds:uri="http://purl.org/dc/dcmitype/"/>
    <ds:schemaRef ds:uri="http://schemas.microsoft.com/office/infopath/2007/PartnerControls"/>
    <ds:schemaRef ds:uri="d21dc803-237d-4c68-8692-8d731fd29118"/>
    <ds:schemaRef ds:uri="http://schemas.openxmlformats.org/package/2006/metadata/core-properties"/>
    <ds:schemaRef ds:uri="http://purl.org/dc/terms/"/>
    <ds:schemaRef ds:uri="http://schemas.microsoft.com/office/2006/documentManagement/types"/>
    <ds:schemaRef ds:uri="http://schemas.microsoft.com/sharepoint/v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2019-10-09T15:29:02Z</cp:lastPrinted>
  <dcterms:created xsi:type="dcterms:W3CDTF">2003-10-29T19:06:34Z</dcterms:created>
  <dcterms:modified xsi:type="dcterms:W3CDTF">2019-11-21T19:09:15Z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