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28920" yWindow="-120" windowWidth="29040" windowHeight="15840" tabRatio="959"/>
  </bookViews>
  <sheets>
    <sheet name="COVER" sheetId="24" r:id="rId1"/>
    <sheet name="TOC" sheetId="168" r:id="rId2"/>
    <sheet name="Aud Quest 2" sheetId="28" r:id="rId3"/>
    <sheet name="Signature pag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124" i="29" l="1"/>
  <c r="E44" i="29"/>
  <c r="C55" i="29"/>
  <c r="D44" i="29"/>
  <c r="C44" i="29"/>
  <c r="D12" i="29"/>
  <c r="C96" i="5"/>
  <c r="E12" i="11"/>
  <c r="F30" i="3"/>
  <c r="D30" i="3"/>
  <c r="C38" i="3"/>
  <c r="C30" i="3"/>
  <c r="L330" i="29"/>
  <c r="L334" i="29"/>
  <c r="L340" i="29"/>
  <c r="L342" i="29"/>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E17" i="181"/>
  <c r="F17" i="181"/>
  <c r="B15" i="7"/>
  <c r="D167" i="34"/>
  <c r="D166" i="34"/>
  <c r="C167" i="34"/>
  <c r="C166" i="34"/>
  <c r="F167" i="34"/>
  <c r="F166" i="34"/>
  <c r="B7812" i="106"/>
  <c r="B7811" i="106"/>
  <c r="B7810" i="106"/>
  <c r="B7809" i="106"/>
  <c r="J24" i="24"/>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B7801" i="106"/>
  <c r="D7801" i="106"/>
  <c r="D7806" i="106"/>
  <c r="D7802"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79" i="34"/>
  <c r="K356" i="29"/>
  <c r="K355" i="29"/>
  <c r="B7794" i="106"/>
  <c r="K354" i="29"/>
  <c r="H357" i="29"/>
  <c r="K333" i="29"/>
  <c r="B7788" i="106"/>
  <c r="K332" i="29"/>
  <c r="H334" i="29"/>
  <c r="B7789" i="106"/>
  <c r="K282" i="29"/>
  <c r="B7784" i="106"/>
  <c r="H160" i="29"/>
  <c r="K159" i="29"/>
  <c r="B7782" i="106"/>
  <c r="K158" i="29"/>
  <c r="B7780" i="106"/>
  <c r="K157" i="29"/>
  <c r="B7795" i="106"/>
  <c r="K133" i="29"/>
  <c r="B7776" i="106"/>
  <c r="B7793" i="106"/>
  <c r="B7791" i="106"/>
  <c r="B7787" i="106"/>
  <c r="B7786" i="106"/>
  <c r="B7785" i="106"/>
  <c r="B7783"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G140" i="181"/>
  <c r="E140" i="181"/>
  <c r="G139" i="181"/>
  <c r="E139" i="181"/>
  <c r="G138" i="181"/>
  <c r="E138" i="181"/>
  <c r="G137" i="181"/>
  <c r="E137" i="181"/>
  <c r="G136" i="181"/>
  <c r="E136" i="181"/>
  <c r="G135" i="181"/>
  <c r="E135" i="181"/>
  <c r="G134" i="181"/>
  <c r="E134" i="181"/>
  <c r="E133" i="181"/>
  <c r="G133" i="181"/>
  <c r="G132" i="181"/>
  <c r="E132" i="181"/>
  <c r="G131" i="181"/>
  <c r="E131" i="181"/>
  <c r="G130" i="181"/>
  <c r="E130" i="181"/>
  <c r="G129" i="181"/>
  <c r="E129" i="181"/>
  <c r="E128" i="181"/>
  <c r="G128" i="181"/>
  <c r="G127" i="181"/>
  <c r="E127" i="181"/>
  <c r="G126" i="181"/>
  <c r="E126" i="181"/>
  <c r="G125" i="181"/>
  <c r="E125" i="181"/>
  <c r="E124" i="181"/>
  <c r="G124" i="181"/>
  <c r="G123" i="181"/>
  <c r="E123" i="181"/>
  <c r="G122" i="181"/>
  <c r="E122" i="181"/>
  <c r="G121" i="181"/>
  <c r="E121" i="181"/>
  <c r="G120" i="181"/>
  <c r="E120" i="181"/>
  <c r="G119" i="181"/>
  <c r="E119" i="181"/>
  <c r="G118" i="181"/>
  <c r="E118" i="181"/>
  <c r="G117" i="181"/>
  <c r="E117" i="181"/>
  <c r="G116" i="181"/>
  <c r="E116" i="181"/>
  <c r="E115" i="181"/>
  <c r="G115" i="181"/>
  <c r="G114" i="181"/>
  <c r="E114" i="181"/>
  <c r="G113" i="181"/>
  <c r="E113" i="181"/>
  <c r="G112" i="181"/>
  <c r="E112" i="181"/>
  <c r="E111" i="181"/>
  <c r="G111" i="181"/>
  <c r="G110" i="181"/>
  <c r="E110" i="181"/>
  <c r="G109" i="181"/>
  <c r="E109" i="181"/>
  <c r="G108" i="181"/>
  <c r="E108" i="181"/>
  <c r="G107" i="181"/>
  <c r="E107" i="181"/>
  <c r="G106" i="181"/>
  <c r="E106" i="181"/>
  <c r="G105" i="181"/>
  <c r="E105" i="181"/>
  <c r="G100" i="181"/>
  <c r="E100" i="181"/>
  <c r="G104" i="181"/>
  <c r="E104" i="181"/>
  <c r="E103" i="181"/>
  <c r="G103" i="181"/>
  <c r="G102" i="181"/>
  <c r="E102" i="181"/>
  <c r="E101" i="181"/>
  <c r="G101" i="181"/>
  <c r="G99" i="181"/>
  <c r="E99" i="181"/>
  <c r="E98" i="181"/>
  <c r="G98" i="181"/>
  <c r="G97" i="181"/>
  <c r="E97" i="181"/>
  <c r="E96" i="181"/>
  <c r="G96" i="181"/>
  <c r="G94" i="181"/>
  <c r="E94" i="181"/>
  <c r="G93" i="181"/>
  <c r="E93" i="181"/>
  <c r="E92" i="181"/>
  <c r="G92" i="181"/>
  <c r="G91" i="181"/>
  <c r="E91" i="181"/>
  <c r="G90" i="181"/>
  <c r="E90" i="181"/>
  <c r="E89" i="181"/>
  <c r="G89" i="181"/>
  <c r="G88" i="181"/>
  <c r="E88" i="181"/>
  <c r="E87" i="181"/>
  <c r="G87" i="181"/>
  <c r="G85" i="181"/>
  <c r="E85" i="181"/>
  <c r="G84" i="181"/>
  <c r="E84" i="181"/>
  <c r="G83" i="181"/>
  <c r="E83" i="181"/>
  <c r="G82" i="181"/>
  <c r="E82" i="181"/>
  <c r="G81" i="181"/>
  <c r="E81" i="181"/>
  <c r="G80" i="181"/>
  <c r="E80" i="181"/>
  <c r="G79" i="181"/>
  <c r="E79" i="181"/>
  <c r="G78" i="181"/>
  <c r="E78" i="181"/>
  <c r="G77" i="181"/>
  <c r="E77" i="181"/>
  <c r="E76" i="181"/>
  <c r="G76" i="181"/>
  <c r="G75" i="181"/>
  <c r="E75" i="181"/>
  <c r="G74" i="181"/>
  <c r="E74" i="181"/>
  <c r="G141" i="181"/>
  <c r="E141" i="181"/>
  <c r="G95" i="181"/>
  <c r="E95" i="181"/>
  <c r="G86" i="181"/>
  <c r="E86" i="181"/>
  <c r="E73" i="181"/>
  <c r="G73" i="181"/>
  <c r="G72" i="181"/>
  <c r="E72" i="181"/>
  <c r="G71" i="181"/>
  <c r="E71" i="181"/>
  <c r="G70" i="181"/>
  <c r="E70" i="181"/>
  <c r="G69" i="181"/>
  <c r="E69" i="181"/>
  <c r="G68" i="181"/>
  <c r="E68" i="181"/>
  <c r="G67" i="181"/>
  <c r="E67" i="181"/>
  <c r="E66" i="181"/>
  <c r="G66" i="181"/>
  <c r="E65" i="181"/>
  <c r="G65" i="181"/>
  <c r="G64" i="181"/>
  <c r="E64" i="181"/>
  <c r="G63" i="181"/>
  <c r="E63" i="181"/>
  <c r="G62" i="181"/>
  <c r="E62" i="181"/>
  <c r="E61" i="181"/>
  <c r="G61" i="181"/>
  <c r="G60" i="181"/>
  <c r="E60" i="181"/>
  <c r="E59" i="181"/>
  <c r="G59" i="181"/>
  <c r="G58" i="181"/>
  <c r="E58" i="181"/>
  <c r="E57" i="181"/>
  <c r="G57" i="181"/>
  <c r="G56" i="181"/>
  <c r="E56" i="181"/>
  <c r="E55" i="181"/>
  <c r="G55" i="181"/>
  <c r="G54" i="181"/>
  <c r="E54" i="181"/>
  <c r="G53" i="181"/>
  <c r="E53" i="181"/>
  <c r="G52" i="181"/>
  <c r="E52" i="181"/>
  <c r="G51" i="181"/>
  <c r="E51" i="181"/>
  <c r="G50" i="181"/>
  <c r="E50" i="181"/>
  <c r="E49" i="181"/>
  <c r="G49" i="181"/>
  <c r="G48" i="181"/>
  <c r="E48" i="181"/>
  <c r="G47" i="181"/>
  <c r="E47" i="181"/>
  <c r="E46" i="181"/>
  <c r="G46" i="181"/>
  <c r="E45" i="181"/>
  <c r="G45" i="181"/>
  <c r="E44" i="181"/>
  <c r="E43" i="181"/>
  <c r="E42" i="181"/>
  <c r="G42" i="181"/>
  <c r="G41" i="181"/>
  <c r="E41" i="181"/>
  <c r="G40" i="181"/>
  <c r="E40" i="181"/>
  <c r="G39" i="181"/>
  <c r="E39" i="181"/>
  <c r="G38" i="181"/>
  <c r="E38" i="181"/>
  <c r="E37" i="181"/>
  <c r="G37" i="181"/>
  <c r="E36" i="181"/>
  <c r="G36" i="181"/>
  <c r="E35" i="181"/>
  <c r="G35" i="181"/>
  <c r="E34" i="181"/>
  <c r="E33" i="181"/>
  <c r="G33" i="181"/>
  <c r="E32" i="181"/>
  <c r="G32" i="181"/>
  <c r="E31" i="181"/>
  <c r="G31" i="181"/>
  <c r="E30" i="181"/>
  <c r="E29" i="181"/>
  <c r="G29" i="181"/>
  <c r="E28" i="181"/>
  <c r="G27" i="181"/>
  <c r="E27" i="181"/>
  <c r="E26" i="181"/>
  <c r="E25" i="181"/>
  <c r="G25" i="181"/>
  <c r="E24" i="181"/>
  <c r="G24" i="181"/>
  <c r="E23" i="181"/>
  <c r="G23" i="181"/>
  <c r="E22" i="181"/>
  <c r="G22" i="181"/>
  <c r="E21" i="181"/>
  <c r="G21" i="181"/>
  <c r="E20" i="181"/>
  <c r="E19" i="181"/>
  <c r="G44" i="181"/>
  <c r="G43" i="181"/>
  <c r="G34" i="181"/>
  <c r="G30" i="181"/>
  <c r="G28" i="181"/>
  <c r="G26" i="181"/>
  <c r="G20" i="181"/>
  <c r="G19" i="181"/>
  <c r="D142" i="181"/>
  <c r="D80" i="36"/>
  <c r="B7797" i="106"/>
  <c r="E142" i="181"/>
  <c r="E18" i="181"/>
  <c r="G17" i="181"/>
  <c r="G18" i="181"/>
  <c r="G142" i="181"/>
  <c r="G40" i="108"/>
  <c r="B7799" i="106"/>
  <c r="F142"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3" s="1"/>
  <c r="B2" i="179"/>
  <c r="A7" i="169"/>
  <c r="B1" i="175"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A1" i="171"/>
  <c r="B1" i="179"/>
  <c r="B1" i="174"/>
  <c r="B1" i="176"/>
  <c r="B7773" i="106"/>
  <c r="B61" i="106"/>
  <c r="B52" i="106"/>
  <c r="B51" i="106"/>
  <c r="B49" i="106"/>
  <c r="B48" i="106"/>
  <c r="B47" i="106"/>
  <c r="B46" i="106"/>
  <c r="B45" i="106"/>
  <c r="B44" i="106"/>
  <c r="B43" i="106"/>
  <c r="B42" i="106"/>
  <c r="B41" i="106"/>
  <c r="B50" i="106"/>
  <c r="F159" i="34"/>
  <c r="B7769" i="106"/>
  <c r="D7769" i="106"/>
  <c r="B7768" i="106"/>
  <c r="B7766" i="106"/>
  <c r="D7766" i="106"/>
  <c r="B7765" i="106"/>
  <c r="B7764" i="106"/>
  <c r="D7764" i="106"/>
  <c r="J85" i="28"/>
  <c r="B7758" i="106"/>
  <c r="D7758" i="106"/>
  <c r="J88" i="28"/>
  <c r="K6" i="29"/>
  <c r="B7763" i="106"/>
  <c r="D7763" i="106"/>
  <c r="B7762" i="106"/>
  <c r="D7762" i="106"/>
  <c r="K12" i="12"/>
  <c r="K23" i="12"/>
  <c r="J12" i="12"/>
  <c r="J21" i="12"/>
  <c r="J23" i="12"/>
  <c r="B7729" i="106"/>
  <c r="D7729" i="106"/>
  <c r="B7734" i="106"/>
  <c r="B7726" i="106"/>
  <c r="D7726" i="106"/>
  <c r="D76" i="36"/>
  <c r="F158" i="34"/>
  <c r="B30" i="36"/>
  <c r="B33" i="36"/>
  <c r="B43" i="36"/>
  <c r="B56" i="36"/>
  <c r="B66" i="36"/>
  <c r="B70" i="36"/>
  <c r="B74" i="36"/>
  <c r="D73" i="36"/>
  <c r="C188" i="5"/>
  <c r="B4395" i="106"/>
  <c r="D4395" i="106"/>
  <c r="C198" i="5"/>
  <c r="B5246" i="106"/>
  <c r="D5246" i="106"/>
  <c r="C204" i="5"/>
  <c r="C209" i="5"/>
  <c r="B4411" i="106"/>
  <c r="D4411" i="106"/>
  <c r="C217" i="5"/>
  <c r="C221" i="5"/>
  <c r="B5304" i="106"/>
  <c r="D5304" i="106"/>
  <c r="C252" i="5"/>
  <c r="B7761" i="106"/>
  <c r="D7761" i="106"/>
  <c r="L127" i="29"/>
  <c r="L129" i="29"/>
  <c r="L139" i="29"/>
  <c r="L149" i="29"/>
  <c r="I7" i="145"/>
  <c r="I6" i="145"/>
  <c r="D82" i="36"/>
  <c r="D78" i="36"/>
  <c r="K75" i="29"/>
  <c r="C14" i="4"/>
  <c r="B2558" i="106"/>
  <c r="D2558" i="106"/>
  <c r="K130" i="29"/>
  <c r="K185" i="29"/>
  <c r="F62" i="34"/>
  <c r="K122" i="29"/>
  <c r="F15" i="145"/>
  <c r="F19" i="145"/>
  <c r="K67" i="29"/>
  <c r="G33" i="108"/>
  <c r="K64" i="29"/>
  <c r="K59" i="29"/>
  <c r="E15" i="145"/>
  <c r="G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92" i="29"/>
  <c r="K92" i="29"/>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4" i="106"/>
  <c r="D1124" i="106"/>
  <c r="B1126" i="106"/>
  <c r="D1126" i="106"/>
  <c r="K60" i="29"/>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K79" i="29"/>
  <c r="B2974" i="106"/>
  <c r="D2974" i="106"/>
  <c r="K80" i="29"/>
  <c r="K81" i="29"/>
  <c r="B2976" i="106"/>
  <c r="D2976" i="106"/>
  <c r="K82" i="29"/>
  <c r="K83" i="29"/>
  <c r="B2978" i="106"/>
  <c r="D2978" i="106"/>
  <c r="K93" i="29"/>
  <c r="K94" i="29"/>
  <c r="K95" i="29"/>
  <c r="K96" i="29"/>
  <c r="K97" i="29"/>
  <c r="K98" i="29"/>
  <c r="K99" i="29"/>
  <c r="K101" i="29"/>
  <c r="B7015" i="106"/>
  <c r="D7015" i="106"/>
  <c r="K105" i="29"/>
  <c r="K106" i="29"/>
  <c r="B1147" i="106"/>
  <c r="D1147" i="106"/>
  <c r="D1148" i="106"/>
  <c r="K109" i="29"/>
  <c r="B1149" i="106"/>
  <c r="D1149" i="106"/>
  <c r="D1150" i="106"/>
  <c r="K107" i="29"/>
  <c r="B2795" i="106"/>
  <c r="D2795" i="106"/>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K124" i="29"/>
  <c r="B1276" i="106"/>
  <c r="D1276" i="106"/>
  <c r="K126" i="29"/>
  <c r="B1277" i="106"/>
  <c r="D1277" i="106"/>
  <c r="D1278" i="106"/>
  <c r="K125" i="29"/>
  <c r="K182" i="29"/>
  <c r="E29" i="108"/>
  <c r="K128" i="29"/>
  <c r="B1280" i="106"/>
  <c r="D1280" i="106"/>
  <c r="K120" i="29"/>
  <c r="K134" i="29"/>
  <c r="K135" i="29"/>
  <c r="B2987" i="106"/>
  <c r="D2987" i="106"/>
  <c r="K136" i="29"/>
  <c r="B2988" i="106"/>
  <c r="D2988" i="106"/>
  <c r="K138" i="29"/>
  <c r="B2094" i="106"/>
  <c r="D2094" i="106"/>
  <c r="K142" i="29"/>
  <c r="K143" i="29"/>
  <c r="B1284" i="106"/>
  <c r="D1284" i="106"/>
  <c r="K146" i="29"/>
  <c r="B1285" i="106"/>
  <c r="D1285" i="106"/>
  <c r="D1286" i="106"/>
  <c r="K144" i="29"/>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D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G210" i="29"/>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K183" i="29"/>
  <c r="B1380" i="106"/>
  <c r="D1380" i="106"/>
  <c r="K180" i="29"/>
  <c r="K184" i="29"/>
  <c r="F13" i="4"/>
  <c r="B2596" i="106"/>
  <c r="D2596" i="106"/>
  <c r="K188" i="29"/>
  <c r="B3007" i="106"/>
  <c r="D3007" i="106"/>
  <c r="K189" i="29"/>
  <c r="B3008" i="106"/>
  <c r="D3008" i="106"/>
  <c r="K190" i="29"/>
  <c r="K191" i="29"/>
  <c r="B3010" i="106"/>
  <c r="D3010" i="106"/>
  <c r="K192" i="29"/>
  <c r="K193" i="29"/>
  <c r="B3012" i="106"/>
  <c r="D3012" i="106"/>
  <c r="K195" i="29"/>
  <c r="B2839" i="106"/>
  <c r="K199" i="29"/>
  <c r="B1383" i="106"/>
  <c r="D1383" i="106"/>
  <c r="K200" i="29"/>
  <c r="B1384" i="106"/>
  <c r="D1384" i="106"/>
  <c r="K203" i="29"/>
  <c r="B1385" i="106"/>
  <c r="D1385" i="106"/>
  <c r="D1386" i="106"/>
  <c r="K201" i="29"/>
  <c r="B2841" i="106"/>
  <c r="D2841" i="106"/>
  <c r="K202" i="29"/>
  <c r="K205" i="29"/>
  <c r="B7068" i="106"/>
  <c r="D7068" i="106"/>
  <c r="K206" i="29"/>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K226" i="29"/>
  <c r="B7080" i="106"/>
  <c r="D7080" i="106"/>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K248" i="29"/>
  <c r="B7082" i="106"/>
  <c r="D7082" i="106"/>
  <c r="K249" i="29"/>
  <c r="K250" i="29"/>
  <c r="B7086" i="106"/>
  <c r="D7086" i="106"/>
  <c r="K251" i="29"/>
  <c r="K252" i="29"/>
  <c r="B7090" i="106"/>
  <c r="D7090" i="106"/>
  <c r="K253" i="29"/>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5" i="106"/>
  <c r="D2975"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F77" i="4"/>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C352" i="29"/>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7" i="106"/>
  <c r="D3647" i="106"/>
  <c r="B3648" i="106"/>
  <c r="D3648" i="106"/>
  <c r="D3651" i="106"/>
  <c r="B3652" i="106"/>
  <c r="D3652" i="106"/>
  <c r="B3653" i="106"/>
  <c r="D3653" i="106"/>
  <c r="H350" i="29"/>
  <c r="B3654" i="106"/>
  <c r="D3654" i="106"/>
  <c r="B3655" i="106"/>
  <c r="D3655" i="106"/>
  <c r="B3657" i="106"/>
  <c r="D3657" i="106"/>
  <c r="H362" i="29"/>
  <c r="B3658" i="106"/>
  <c r="D3658" i="106"/>
  <c r="D3659" i="106"/>
  <c r="H365" i="29"/>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6" i="106"/>
  <c r="D6286"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I210" i="29"/>
  <c r="B7071" i="106"/>
  <c r="D7071" i="106"/>
  <c r="J210" i="29"/>
  <c r="B7072" i="106"/>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208" i="106"/>
  <c r="D7208" i="106"/>
  <c r="K337" i="29"/>
  <c r="B7209" i="106"/>
  <c r="D7209" i="106"/>
  <c r="B7210" i="106"/>
  <c r="D7210" i="106"/>
  <c r="K338" i="29"/>
  <c r="B7212" i="106"/>
  <c r="D7212" i="106"/>
  <c r="K339" i="29"/>
  <c r="B7213" i="106"/>
  <c r="D7213" i="106"/>
  <c r="H340" i="29"/>
  <c r="H342" i="29"/>
  <c r="C342" i="29"/>
  <c r="B7216" i="106"/>
  <c r="D7216" i="106"/>
  <c r="B7226" i="106"/>
  <c r="D7226" i="106"/>
  <c r="B7227" i="106"/>
  <c r="D7227" i="106"/>
  <c r="B7228" i="106"/>
  <c r="D7228" i="106"/>
  <c r="B7229" i="106"/>
  <c r="D7229" i="106"/>
  <c r="I350" i="29"/>
  <c r="J350" i="29"/>
  <c r="B7231" i="106"/>
  <c r="D7231" i="106"/>
  <c r="B7232" i="106"/>
  <c r="D7232" i="106"/>
  <c r="B7233" i="106"/>
  <c r="D7233" i="106"/>
  <c r="J352" i="29"/>
  <c r="J367" i="29"/>
  <c r="B7245" i="106"/>
  <c r="A7245" i="106"/>
  <c r="D7245" i="106"/>
  <c r="B7236" i="106"/>
  <c r="D7236" i="106"/>
  <c r="B7237" i="106"/>
  <c r="D7237" i="106"/>
  <c r="B7238" i="106"/>
  <c r="D7238" i="106"/>
  <c r="B7239" i="106"/>
  <c r="D7239" i="106"/>
  <c r="B7240" i="106"/>
  <c r="D7240" i="106"/>
  <c r="B7241" i="106"/>
  <c r="D7241" i="106"/>
  <c r="B7242" i="106"/>
  <c r="D7242"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c r="C16" i="11"/>
  <c r="B2013" i="106"/>
  <c r="D2013"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F19" i="7"/>
  <c r="B1807" i="106"/>
  <c r="D1807"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50" i="29"/>
  <c r="L352" i="29"/>
  <c r="L362" i="29"/>
  <c r="L365" i="29"/>
  <c r="L367"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B5260" i="106"/>
  <c r="D5260" i="106"/>
  <c r="D204" i="5"/>
  <c r="B5444" i="106"/>
  <c r="D5444" i="106"/>
  <c r="F204" i="5"/>
  <c r="B5677" i="106"/>
  <c r="D5677" i="106"/>
  <c r="G204" i="5"/>
  <c r="B5803" i="106"/>
  <c r="D5803" i="106"/>
  <c r="D209" i="5"/>
  <c r="B4412" i="106"/>
  <c r="D4412" i="106"/>
  <c r="F209" i="5"/>
  <c r="B4413" i="106"/>
  <c r="D4413" i="106"/>
  <c r="G209" i="5"/>
  <c r="B4414" i="106"/>
  <c r="D4414" i="106"/>
  <c r="B5286" i="106"/>
  <c r="D5286"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D14" i="4"/>
  <c r="B2570" i="106"/>
  <c r="D2570" i="106"/>
  <c r="B2633" i="106"/>
  <c r="D2633" i="106"/>
  <c r="D7" i="118"/>
  <c r="D8" i="118"/>
  <c r="D9" i="118"/>
  <c r="H14" i="118"/>
  <c r="H19" i="118"/>
  <c r="H24" i="118"/>
  <c r="H28" i="118"/>
  <c r="H33" i="118"/>
  <c r="D22" i="37"/>
  <c r="J22" i="37"/>
  <c r="L22" i="37"/>
  <c r="D24" i="37"/>
  <c r="B4270" i="106"/>
  <c r="D4270" i="106"/>
  <c r="L5" i="11"/>
  <c r="B2056" i="106"/>
  <c r="D2056" i="106"/>
  <c r="B5752" i="106"/>
  <c r="D5752" i="106"/>
  <c r="B1308" i="106"/>
  <c r="D1308" i="106"/>
  <c r="E174" i="29"/>
  <c r="B1309" i="106"/>
  <c r="D1309" i="106"/>
  <c r="D17" i="7"/>
  <c r="B4104" i="106"/>
  <c r="D4104" i="106"/>
  <c r="D9" i="7"/>
  <c r="B1767" i="106"/>
  <c r="D1767" i="106"/>
  <c r="D11" i="37"/>
  <c r="H29" i="118"/>
  <c r="K28" i="118"/>
  <c r="O27" i="118"/>
  <c r="O29" i="118"/>
  <c r="N22" i="3"/>
  <c r="B283" i="106"/>
  <c r="D283" i="106"/>
  <c r="F14" i="4"/>
  <c r="B2597" i="106"/>
  <c r="D2597" i="106"/>
  <c r="B7727" i="106"/>
  <c r="D7727" i="106"/>
  <c r="F49" i="34"/>
  <c r="F44" i="34"/>
  <c r="G38" i="108"/>
  <c r="D37" i="108"/>
  <c r="D26" i="108"/>
  <c r="D41" i="108"/>
  <c r="E43" i="108"/>
  <c r="E30" i="108"/>
  <c r="F37" i="108"/>
  <c r="E28" i="108"/>
  <c r="F26" i="108"/>
  <c r="D31" i="36"/>
  <c r="B7235" i="106"/>
  <c r="D7235" i="106"/>
  <c r="B4087" i="106"/>
  <c r="D4087" i="106"/>
  <c r="K41" i="3"/>
  <c r="L15" i="11"/>
  <c r="B3459" i="106"/>
  <c r="D3459" i="106"/>
  <c r="B3254" i="106"/>
  <c r="D3254" i="106"/>
  <c r="I24" i="12"/>
  <c r="B3649" i="106"/>
  <c r="D3649" i="106"/>
  <c r="G367" i="29"/>
  <c r="D5" i="4"/>
  <c r="B3406" i="106"/>
  <c r="D3406" i="106"/>
  <c r="L312" i="29"/>
  <c r="I342" i="29"/>
  <c r="B7222" i="106"/>
  <c r="D7222" i="106"/>
  <c r="K350" i="29"/>
  <c r="F21" i="8"/>
  <c r="K24" i="12"/>
  <c r="B3621" i="106"/>
  <c r="D3621" i="106"/>
  <c r="C367" i="29"/>
  <c r="F41" i="34"/>
  <c r="F35" i="34"/>
  <c r="D3583" i="106"/>
  <c r="B3635" i="106"/>
  <c r="F66" i="34"/>
  <c r="F45" i="34"/>
  <c r="K285" i="29"/>
  <c r="B1410" i="106"/>
  <c r="D1410" i="106"/>
  <c r="B1329" i="106"/>
  <c r="D1329" i="106"/>
  <c r="F61" i="34"/>
  <c r="D12" i="7"/>
  <c r="B1769" i="106"/>
  <c r="D1769" i="106"/>
  <c r="B1746" i="106"/>
  <c r="D1746" i="106"/>
  <c r="F127" i="34"/>
  <c r="D13" i="7"/>
  <c r="B3726" i="106"/>
  <c r="D3726" i="106"/>
  <c r="I170" i="5"/>
  <c r="B4216" i="106"/>
  <c r="D4216" i="106"/>
  <c r="B5096" i="106"/>
  <c r="D5096" i="106"/>
  <c r="D4" i="7"/>
  <c r="B1760" i="106"/>
  <c r="D1760" i="106"/>
  <c r="F106" i="34"/>
  <c r="G5" i="4"/>
  <c r="B3409" i="106"/>
  <c r="D3409" i="106"/>
  <c r="F124" i="34"/>
  <c r="C109" i="5"/>
  <c r="B5121" i="106"/>
  <c r="D5121" i="106"/>
  <c r="G169" i="5"/>
  <c r="G170" i="5"/>
  <c r="B5778" i="106"/>
  <c r="D5778" i="106"/>
  <c r="B5770" i="106"/>
  <c r="D5770" i="106"/>
  <c r="D109" i="5"/>
  <c r="I267" i="5"/>
  <c r="B4396" i="106"/>
  <c r="D4396" i="106"/>
  <c r="G109" i="5"/>
  <c r="B5066" i="106"/>
  <c r="D5066" i="106"/>
  <c r="F111" i="34"/>
  <c r="C169" i="5"/>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F169" i="5"/>
  <c r="B5644" i="106"/>
  <c r="D5644" i="106"/>
  <c r="C41" i="3"/>
  <c r="B93" i="106"/>
  <c r="D93" i="106"/>
  <c r="H295" i="29"/>
  <c r="B1454" i="106"/>
  <c r="D1454" i="106"/>
  <c r="B4156" i="106"/>
  <c r="D4156" i="106"/>
  <c r="H172" i="29"/>
  <c r="H174" i="29"/>
  <c r="B2823" i="106"/>
  <c r="D2823" i="106"/>
  <c r="J90" i="28"/>
  <c r="H352" i="29"/>
  <c r="B3656" i="106"/>
  <c r="D3656" i="106"/>
  <c r="B3724" i="106"/>
  <c r="D3724" i="106"/>
  <c r="K168" i="29"/>
  <c r="K172" i="29"/>
  <c r="K174" i="29"/>
  <c r="F10" i="34"/>
  <c r="E102" i="29"/>
  <c r="B2790" i="106"/>
  <c r="D2790" i="106"/>
  <c r="J342" i="29"/>
  <c r="B7223" i="106"/>
  <c r="D7223" i="106"/>
  <c r="G342" i="29"/>
  <c r="B7220" i="106"/>
  <c r="D7220" i="106"/>
  <c r="K137" i="29"/>
  <c r="K84" i="29"/>
  <c r="B2088" i="106"/>
  <c r="D2088" i="106"/>
  <c r="B79" i="36"/>
  <c r="B77" i="36"/>
  <c r="D18" i="7"/>
  <c r="B4105" i="106"/>
  <c r="D4105" i="106"/>
  <c r="F105" i="34"/>
  <c r="F107" i="34"/>
  <c r="F109" i="5"/>
  <c r="J109" i="5"/>
  <c r="J170" i="5"/>
  <c r="F95" i="34"/>
  <c r="F125" i="34"/>
  <c r="D14" i="7"/>
  <c r="B1770" i="106"/>
  <c r="D1770" i="106"/>
  <c r="N23" i="3"/>
  <c r="B284" i="106"/>
  <c r="D284" i="106"/>
  <c r="F5" i="4"/>
  <c r="B3408" i="106"/>
  <c r="D3408" i="106"/>
  <c r="C5" i="4"/>
  <c r="B3405" i="106"/>
  <c r="D3405" i="106"/>
  <c r="B6840" i="106"/>
  <c r="D6840" i="106"/>
  <c r="B6839" i="106"/>
  <c r="D6839" i="106"/>
  <c r="B6838" i="106"/>
  <c r="D6838" i="106"/>
  <c r="D169" i="5"/>
  <c r="B5412" i="106"/>
  <c r="D5412" i="106"/>
  <c r="B5618" i="106"/>
  <c r="D5618" i="106"/>
  <c r="K109" i="5"/>
  <c r="F16" i="11"/>
  <c r="F48" i="34"/>
  <c r="F40" i="34"/>
  <c r="B7200" i="106"/>
  <c r="D7200" i="106"/>
  <c r="D342" i="29"/>
  <c r="B7217" i="106"/>
  <c r="D7217" i="106"/>
  <c r="B7144" i="106"/>
  <c r="D7144" i="106"/>
  <c r="K330" i="29"/>
  <c r="B6901" i="106"/>
  <c r="D6901" i="106"/>
  <c r="F51" i="34"/>
  <c r="B6885" i="106"/>
  <c r="D6885" i="106"/>
  <c r="F43" i="34"/>
  <c r="B7211" i="106"/>
  <c r="D7211" i="106"/>
  <c r="K340" i="29"/>
  <c r="K342" i="29"/>
  <c r="F13" i="34"/>
  <c r="B6893" i="106"/>
  <c r="D6893" i="106"/>
  <c r="F47" i="34"/>
  <c r="B6877" i="106"/>
  <c r="D6877" i="106"/>
  <c r="F39" i="34"/>
  <c r="B6216" i="106"/>
  <c r="D6216" i="106"/>
  <c r="D51" i="36"/>
  <c r="B3703" i="106"/>
  <c r="D3703" i="106"/>
  <c r="K362" i="29"/>
  <c r="B3676" i="106"/>
  <c r="D3676" i="106"/>
  <c r="B3650" i="106"/>
  <c r="D3650" i="106"/>
  <c r="D352" i="29"/>
  <c r="D367" i="29"/>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4435" i="106"/>
  <c r="D4435" i="106"/>
  <c r="I7" i="4"/>
  <c r="B4444" i="106"/>
  <c r="D4444" i="106"/>
  <c r="F266" i="5"/>
  <c r="B5713" i="106"/>
  <c r="D5713" i="106"/>
  <c r="B4397" i="106"/>
  <c r="D4397" i="106"/>
  <c r="B4950" i="106"/>
  <c r="D4950" i="106"/>
  <c r="H267" i="5"/>
  <c r="H7" i="4"/>
  <c r="B2657" i="106"/>
  <c r="D2657" i="106"/>
  <c r="L210" i="29"/>
  <c r="L102" i="29"/>
  <c r="B1121" i="106"/>
  <c r="D1121" i="106"/>
  <c r="K53" i="29"/>
  <c r="E12" i="145"/>
  <c r="B731" i="106"/>
  <c r="D731" i="106"/>
  <c r="C74" i="29"/>
  <c r="B755" i="106"/>
  <c r="D755" i="106"/>
  <c r="B1116" i="106"/>
  <c r="D1116" i="106"/>
  <c r="K47" i="29"/>
  <c r="F157" i="34"/>
  <c r="F41" i="108"/>
  <c r="G43" i="108"/>
  <c r="B7600" i="106"/>
  <c r="L6" i="11"/>
  <c r="B7605" i="106"/>
  <c r="A7250" i="106"/>
  <c r="A7251" i="106"/>
  <c r="A7252" i="106"/>
  <c r="A7253" i="106"/>
  <c r="A7254" i="106"/>
  <c r="A7255" i="106"/>
  <c r="A7256" i="106"/>
  <c r="A7257" i="106"/>
  <c r="D7249" i="106"/>
  <c r="G6" i="4"/>
  <c r="B2604" i="106"/>
  <c r="D2604" i="106"/>
  <c r="D44" i="36"/>
  <c r="E266" i="5"/>
  <c r="B6835" i="106"/>
  <c r="D6835" i="106"/>
  <c r="G266" i="5"/>
  <c r="B4398" i="106"/>
  <c r="D4398" i="106"/>
  <c r="B5537" i="106"/>
  <c r="D5537" i="106"/>
  <c r="E170" i="5"/>
  <c r="I109" i="5"/>
  <c r="B5527" i="106"/>
  <c r="D5527" i="106"/>
  <c r="L279" i="29"/>
  <c r="L295" i="29"/>
  <c r="L74" i="29"/>
  <c r="L114" i="29"/>
  <c r="K33" i="29"/>
  <c r="B720" i="106"/>
  <c r="D720" i="106"/>
  <c r="C114" i="29"/>
  <c r="B757" i="106"/>
  <c r="D757" i="106"/>
  <c r="B2031" i="106"/>
  <c r="D2031" i="106"/>
  <c r="L16" i="11"/>
  <c r="B2061" i="106"/>
  <c r="D2061" i="106"/>
  <c r="B7618" i="106"/>
  <c r="L14" i="11"/>
  <c r="B7623" i="106"/>
  <c r="D7250" i="106"/>
  <c r="B7230" i="106"/>
  <c r="D7230" i="106"/>
  <c r="I352" i="29"/>
  <c r="I367" i="29"/>
  <c r="B7215" i="106"/>
  <c r="D7215" i="106"/>
  <c r="J16" i="4"/>
  <c r="B6226" i="106"/>
  <c r="D6226" i="106"/>
  <c r="B7202" i="106"/>
  <c r="D7202" i="106"/>
  <c r="F342" i="29"/>
  <c r="B7219" i="106"/>
  <c r="D7219" i="106"/>
  <c r="B7503" i="106"/>
  <c r="B7531" i="106"/>
  <c r="D7251" i="106"/>
  <c r="B7214" i="106"/>
  <c r="D7214" i="106"/>
  <c r="B7221" i="106"/>
  <c r="D7221" i="106"/>
  <c r="B7201" i="106"/>
  <c r="D7201" i="106"/>
  <c r="E342" i="29"/>
  <c r="B7218" i="106"/>
  <c r="D7218" i="106"/>
  <c r="B6917" i="106"/>
  <c r="D6917" i="106"/>
  <c r="J74" i="29"/>
  <c r="D266" i="5"/>
  <c r="B5501" i="106"/>
  <c r="D5501" i="106"/>
  <c r="D7256" i="106"/>
  <c r="D7254" i="106"/>
  <c r="D7248" i="106"/>
  <c r="D7247" i="106"/>
  <c r="D7246" i="106"/>
  <c r="J312" i="29"/>
  <c r="B7117" i="106"/>
  <c r="D7117" i="106"/>
  <c r="I312" i="29"/>
  <c r="B7116" i="106"/>
  <c r="D7116" i="106"/>
  <c r="J151" i="29"/>
  <c r="B7052" i="106"/>
  <c r="D7052" i="106"/>
  <c r="I151" i="29"/>
  <c r="F59" i="34"/>
  <c r="B6916" i="106"/>
  <c r="D6916" i="106"/>
  <c r="I74" i="29"/>
  <c r="I49" i="8"/>
  <c r="B3633" i="106"/>
  <c r="D3633" i="106"/>
  <c r="E352" i="29"/>
  <c r="E367" i="29"/>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81" i="106"/>
  <c r="D1381" i="106"/>
  <c r="B1318" i="106"/>
  <c r="D1318" i="106"/>
  <c r="B1127" i="106"/>
  <c r="D1127" i="106"/>
  <c r="K65" i="29"/>
  <c r="B1133" i="106"/>
  <c r="D1133" i="106"/>
  <c r="B1123" i="106"/>
  <c r="D1123" i="106"/>
  <c r="K57" i="29"/>
  <c r="K365"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66" i="106"/>
  <c r="D1266" i="106"/>
  <c r="H151" i="29"/>
  <c r="B1273" i="106"/>
  <c r="D1273"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L151" i="29"/>
  <c r="C266" i="5"/>
  <c r="J24" i="12"/>
  <c r="B7730" i="106"/>
  <c r="D7730" i="106"/>
  <c r="B3447" i="106"/>
  <c r="D3447" i="106"/>
  <c r="B7270" i="106"/>
  <c r="I26" i="12"/>
  <c r="B7741" i="106"/>
  <c r="D7741" i="106"/>
  <c r="B1996" i="106"/>
  <c r="D1996" i="106"/>
  <c r="B1317" i="106"/>
  <c r="D1317" i="106"/>
  <c r="D7255" i="106"/>
  <c r="D7253" i="106"/>
  <c r="D7252" i="106"/>
  <c r="F174" i="34"/>
  <c r="B3568" i="106"/>
  <c r="D3568" i="106"/>
  <c r="D52" i="36"/>
  <c r="B7733" i="106"/>
  <c r="D7733" i="106"/>
  <c r="K26" i="12"/>
  <c r="B7743" i="106"/>
  <c r="D7743" i="106"/>
  <c r="B1879" i="106"/>
  <c r="D1879" i="106"/>
  <c r="H22" i="37"/>
  <c r="B3628" i="106"/>
  <c r="D3628" i="106"/>
  <c r="F73" i="34"/>
  <c r="G15" i="4"/>
  <c r="B6032" i="106"/>
  <c r="D6032" i="106"/>
  <c r="B3670" i="106"/>
  <c r="D3670" i="106"/>
  <c r="K352" i="29"/>
  <c r="K367"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B1145" i="106"/>
  <c r="D1145"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D3635"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G22" i="108"/>
  <c r="B1119" i="106"/>
  <c r="D1119" i="106"/>
  <c r="E22" i="108"/>
  <c r="G12" i="145"/>
  <c r="G19" i="145"/>
  <c r="J20" i="145"/>
  <c r="E19" i="145"/>
  <c r="B5915" i="106"/>
  <c r="D5915" i="106"/>
  <c r="B7298" i="106"/>
  <c r="B7299" i="106"/>
  <c r="D268" i="5"/>
  <c r="E41" i="108"/>
  <c r="E44" i="108"/>
  <c r="E45" i="108"/>
  <c r="J17" i="4"/>
  <c r="G41" i="108"/>
  <c r="G44" i="108"/>
  <c r="G45" i="108"/>
  <c r="K13" i="4"/>
  <c r="B3572" i="106"/>
  <c r="D3572" i="106"/>
  <c r="B3672" i="106"/>
  <c r="D3672" i="106"/>
  <c r="F268" i="5"/>
  <c r="B5720" i="106"/>
  <c r="D5720" i="106"/>
  <c r="B5507" i="106"/>
  <c r="D5507" i="106"/>
  <c r="B5719" i="106"/>
  <c r="D5719" i="106"/>
  <c r="F6" i="4"/>
  <c r="B2593" i="106"/>
  <c r="D2593" i="106"/>
  <c r="B5653" i="106"/>
  <c r="D5653" i="106"/>
  <c r="B2655" i="106"/>
  <c r="D2655" i="106"/>
  <c r="H8" i="4"/>
  <c r="F8" i="4"/>
  <c r="F10" i="4"/>
  <c r="B4125" i="106"/>
  <c r="D4125" i="106"/>
  <c r="B5223" i="106"/>
  <c r="D5223" i="106"/>
  <c r="C6" i="4"/>
  <c r="B2553" i="106"/>
  <c r="D2553" i="106"/>
  <c r="J8" i="4"/>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D8" i="146"/>
  <c r="H37" i="37"/>
  <c r="B285" i="106"/>
  <c r="D285" i="106"/>
  <c r="N37" i="3"/>
  <c r="B3678" i="106"/>
  <c r="D3678" i="106"/>
  <c r="K368" i="29"/>
  <c r="B3681" i="106"/>
  <c r="D3681" i="106"/>
  <c r="B1510" i="106"/>
  <c r="D1510" i="106"/>
  <c r="K295" i="29"/>
  <c r="F12" i="34"/>
  <c r="G13" i="4"/>
  <c r="K17" i="4"/>
  <c r="B3574" i="106"/>
  <c r="D3574" i="106"/>
  <c r="B1282" i="106"/>
  <c r="D1282" i="106"/>
  <c r="D15" i="4"/>
  <c r="B2571" i="106"/>
  <c r="D2571" i="106"/>
  <c r="J19" i="4"/>
  <c r="B6229" i="106"/>
  <c r="D6229" i="106"/>
  <c r="B6227" i="106"/>
  <c r="D6227"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20" i="4"/>
  <c r="J10" i="4"/>
  <c r="B6225" i="106"/>
  <c r="D6225" i="106"/>
  <c r="B6223" i="106"/>
  <c r="D6223" i="106"/>
  <c r="B5508" i="106"/>
  <c r="D5508" i="106"/>
  <c r="B2567" i="106"/>
  <c r="D2567" i="106"/>
  <c r="F76" i="34"/>
  <c r="B2595" i="106"/>
  <c r="D2595" i="106"/>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H13" i="118"/>
  <c r="D20" i="4"/>
  <c r="B2574" i="106"/>
  <c r="D2574" i="106"/>
  <c r="F14" i="34"/>
  <c r="F77" i="34"/>
  <c r="F175"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3588" i="106"/>
  <c r="D3588" i="106"/>
  <c r="K81" i="4"/>
  <c r="F78" i="4"/>
  <c r="B2601" i="106"/>
  <c r="D2601" i="106"/>
  <c r="B3320" i="106"/>
  <c r="D3320" i="106"/>
  <c r="I81" i="4"/>
  <c r="K17" i="118"/>
  <c r="B3300" i="106"/>
  <c r="D3300" i="106"/>
  <c r="H81" i="4"/>
  <c r="B7631" i="106"/>
  <c r="F176" i="34"/>
  <c r="F177" i="34"/>
  <c r="F179"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F81" i="4"/>
  <c r="G81" i="4"/>
  <c r="H12" i="118"/>
  <c r="K12" i="118"/>
  <c r="J20" i="118"/>
  <c r="O16" i="118"/>
  <c r="K20" i="118"/>
  <c r="J16" i="37"/>
  <c r="B4269" i="106"/>
  <c r="D4269" i="106"/>
  <c r="B3256" i="106"/>
  <c r="D3256" i="106"/>
  <c r="B3262" i="106"/>
  <c r="D3262" i="106"/>
  <c r="B3323" i="106"/>
  <c r="D3323" i="106"/>
  <c r="I82" i="4"/>
  <c r="D63" i="36"/>
  <c r="E11" i="146"/>
  <c r="B3591" i="106"/>
  <c r="D3591" i="106"/>
  <c r="D65" i="36"/>
  <c r="K82" i="4"/>
  <c r="J83" i="4"/>
  <c r="B6283" i="106"/>
  <c r="D6283" i="106"/>
  <c r="B6274" i="106"/>
  <c r="D6274" i="106"/>
  <c r="D82" i="4"/>
  <c r="B1644" i="106"/>
  <c r="D1644" i="106"/>
  <c r="D58" i="36"/>
  <c r="C11" i="146"/>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A1" i="173" l="1"/>
  <c r="A1" i="170"/>
  <c r="B1" i="177"/>
  <c r="A2" i="171"/>
  <c r="B2" i="174"/>
  <c r="B2" i="176"/>
  <c r="B2" i="175"/>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<sst xmlns="http://schemas.openxmlformats.org/spreadsheetml/2006/main" count="5055" uniqueCount="2089">
  <si>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</si>
  <si>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</si>
  <si>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</si>
  <si>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</si>
  <si>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</si>
  <si>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</si>
  <si>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</si>
  <si>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</si>
  <si>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</si>
  <si>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</si>
  <si>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</si>
  <si>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</si>
  <si>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</si>
  <si>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</si>
  <si>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</si>
  <si>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</si>
  <si>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</si>
  <si>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</si>
  <si>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</si>
  <si>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</si>
  <si>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</si>
  <si>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</si>
  <si>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</si>
  <si>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</si>
  <si>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</si>
  <si>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</si>
  <si>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</si>
  <si>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</si>
  <si>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</si>
  <si>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</si>
  <si>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</si>
  <si>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</si>
  <si>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</si>
  <si>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</si>
  <si>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</si>
  <si>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</si>
  <si>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</si>
  <si>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</si>
  <si>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</si>
  <si>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</si>
  <si>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</si>
  <si>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</si>
  <si>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</si>
  <si>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</si>
  <si>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</si>
  <si>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</si>
  <si>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</si>
  <si>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</si>
  <si>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</si>
  <si>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</si>
  <si>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</si>
  <si>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</si>
  <si>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</si>
  <si>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</si>
  <si>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</si>
  <si>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</si>
  <si>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</si>
  <si>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</si>
  <si>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</si>
  <si>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</si>
  <si>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</si>
  <si>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</si>
  <si>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</si>
  <si>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</si>
  <si>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</si>
  <si>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</si>
  <si>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</si>
  <si>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</si>
  <si>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</si>
  <si>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</si>
  <si>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</si>
  <si>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</si>
  <si>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</si>
  <si>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</si>
  <si>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</si>
  <si>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</si>
  <si>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</si>
  <si>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</si>
  <si>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</si>
  <si>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</si>
  <si>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</si>
  <si>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</si>
  <si>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</si>
  <si>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</si>
  <si>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</si>
  <si>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</si>
  <si>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</si>
  <si>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</si>
  <si>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</si>
  <si>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</si>
  <si>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</si>
  <si>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</si>
  <si>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</si>
  <si>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</si>
  <si>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</si>
  <si>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</si>
  <si>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</si>
  <si>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</si>
  <si>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</si>
  <si>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</si>
  <si>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</si>
  <si>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</si>
  <si>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</si>
  <si>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</si>
  <si>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</si>
  <si>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</si>
  <si>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</si>
  <si>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</si>
  <si>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</si>
  <si>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</si>
  <si>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</si>
  <si>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</si>
  <si>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</si>
  <si>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</si>
  <si>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</si>
  <si>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</si>
  <si>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</si>
  <si>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</si>
  <si>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</si>
  <si>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</si>
  <si>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</si>
  <si>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</si>
  <si>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</si>
  <si>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</si>
  <si>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</si>
  <si>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</si>
  <si>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</si>
  <si>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</si>
  <si>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</si>
  <si>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</si>
  <si>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</si>
  <si>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</si>
  <si>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</si>
  <si>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</si>
  <si>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</si>
  <si>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</si>
  <si>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</si>
  <si>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</si>
  <si>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</si>
  <si>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</si>
  <si>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</si>
  <si>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</si>
  <si>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</si>
  <si>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</si>
  <si>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</si>
  <si>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</si>
  <si>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</si>
  <si>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</si>
  <si>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</si>
  <si>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</si>
  <si>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</si>
  <si>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</si>
  <si>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</si>
  <si>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</si>
  <si>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</si>
  <si>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</si>
  <si>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</si>
  <si>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</si>
  <si>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</si>
  <si>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</si>
  <si>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</si>
  <si>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</si>
  <si>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</si>
  <si>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</si>
  <si>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</si>
  <si>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</si>
  <si>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</si>
  <si>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</si>
  <si>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</si>
  <si>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</si>
  <si>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</si>
  <si>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</si>
  <si>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</si>
  <si>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</si>
  <si>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</si>
  <si>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</si>
  <si>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</si>
  <si>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</si>
  <si>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</si>
  <si>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</si>
  <si>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</si>
  <si>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</si>
  <si>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</si>
  <si>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</si>
  <si>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</si>
  <si>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</si>
  <si>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</si>
  <si>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</si>
  <si>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</si>
  <si>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</si>
  <si>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</si>
  <si>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</si>
  <si>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</si>
  <si>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</si>
  <si>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</si>
  <si>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</si>
  <si>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</si>
  <si>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</si>
  <si>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</si>
  <si>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</si>
  <si>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</si>
  <si>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</si>
  <si>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</si>
  <si>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</si>
  <si>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</si>
  <si>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</si>
  <si>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</si>
  <si>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</si>
  <si>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</si>
  <si>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</si>
  <si>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</si>
  <si>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</si>
  <si>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</si>
  <si>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</si>
  <si>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</si>
  <si>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</si>
  <si>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</si>
  <si>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</si>
  <si>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</si>
  <si>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</si>
  <si>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</si>
  <si>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</si>
  <si>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</si>
  <si>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</si>
  <si>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</si>
  <si>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</si>
  <si>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</si>
  <si>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</si>
  <si>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</si>
  <si>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</si>
  <si>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</si>
  <si>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</si>
  <si>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</si>
  <si>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</si>
  <si>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</si>
  <si>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</si>
  <si>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</si>
  <si>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</si>
  <si>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</si>
  <si>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</si>
  <si>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</si>
  <si>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</si>
  <si>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</si>
  <si>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</si>
  <si>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</si>
  <si>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</si>
  <si>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</si>
  <si>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</si>
  <si>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</si>
  <si>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</si>
  <si>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</si>
  <si>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</si>
  <si>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</si>
  <si>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</si>
  <si>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</si>
  <si>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</si>
  <si>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</si>
  <si>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</si>
  <si>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</si>
  <si>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</si>
  <si>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</si>
  <si>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</si>
  <si>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</si>
  <si>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</si>
  <si>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</si>
  <si>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</si>
  <si>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</si>
  <si>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</si>
  <si>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</si>
  <si>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</si>
  <si>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</si>
  <si>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</si>
  <si>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</si>
  <si>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</si>
  <si>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</si>
  <si>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</si>
  <si>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</si>
  <si>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</si>
  <si>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</si>
  <si>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</si>
  <si>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</si>
  <si>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</si>
  <si>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</si>
  <si>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</si>
  <si>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</si>
  <si>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</si>
  <si>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</si>
  <si>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</si>
  <si>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</si>
  <si>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</si>
  <si>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</si>
  <si>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</si>
  <si>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</si>
  <si>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</si>
  <si>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</si>
  <si>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</si>
  <si>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</si>
  <si>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</si>
  <si>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</si>
  <si>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</si>
  <si>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</si>
  <si>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</si>
  <si>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</si>
  <si>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</si>
  <si>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</si>
  <si>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</si>
  <si>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</si>
  <si>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</si>
  <si>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</si>
  <si>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</si>
  <si>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</si>
  <si>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</si>
  <si>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</si>
  <si>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</si>
  <si>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</si>
  <si>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</si>
  <si>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</si>
  <si>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</si>
  <si>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</si>
  <si>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</si>
  <si>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</si>
  <si>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</si>
  <si>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</si>
  <si>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</si>
  <si>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</si>
  <si>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</si>
  <si>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</si>
  <si>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</si>
  <si>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</si>
  <si>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</si>
  <si>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</si>
  <si>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</si>
  <si>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</si>
  <si>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</si>
  <si>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</si>
  <si>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</si>
  <si>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</si>
  <si>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</si>
  <si>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</si>
  <si>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</si>
  <si>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</si>
  <si>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</si>
  <si>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</si>
  <si>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</si>
  <si>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</si>
  <si>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</si>
  <si>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</si>
  <si>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</si>
  <si>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</si>
  <si>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</si>
  <si>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</si>
  <si>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</si>
  <si>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</si>
  <si>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</si>
  <si>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</si>
  <si>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</si>
  <si>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</si>
  <si>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</si>
  <si>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</si>
  <si>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</si>
  <si>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</si>
  <si>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</si>
  <si>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</si>
  <si>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</si>
  <si>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</si>
  <si>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</si>
  <si>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</si>
  <si>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</si>
  <si>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</si>
  <si>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</si>
  <si>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</si>
  <si>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</si>
  <si>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</si>
  <si>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</si>
  <si>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</si>
  <si>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</si>
  <si>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</si>
  <si>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</si>
  <si>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</si>
  <si>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</si>
  <si>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</si>
  <si>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</si>
  <si>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</si>
  <si>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</si>
  <si>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</si>
  <si>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</si>
  <si>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</si>
  <si>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</si>
  <si>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</si>
  <si>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</si>
  <si>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</si>
  <si>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</si>
  <si>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</si>
  <si>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</si>
  <si>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</si>
  <si>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</si>
  <si>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</si>
  <si>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</si>
  <si>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</si>
  <si>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</si>
  <si>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</si>
  <si>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</si>
  <si>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</si>
  <si>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</si>
  <si>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</si>
  <si>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</si>
  <si>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</si>
  <si>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</si>
  <si>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</si>
  <si>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</si>
  <si>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</si>
  <si>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</si>
  <si>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</si>
  <si>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</si>
  <si>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</si>
  <si>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</si>
  <si>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</si>
  <si>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</si>
  <si>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</si>
  <si>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</si>
  <si>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</si>
  <si>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</si>
  <si>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</si>
  <si>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</si>
  <si>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</si>
  <si>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</si>
  <si>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</si>
  <si>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</si>
  <si>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</si>
  <si>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</si>
  <si>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</si>
  <si>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</si>
  <si>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</si>
  <si>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</si>
  <si>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</si>
  <si>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</si>
  <si>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</si>
  <si>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</si>
  <si>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</si>
  <si>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</si>
  <si>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</si>
  <si>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</si>
  <si>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</si>
  <si>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</si>
  <si>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</si>
  <si>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</si>
  <si>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</si>
  <si>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</si>
  <si>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</si>
  <si>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</si>
  <si>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</si>
  <si>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</si>
  <si>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</si>
  <si>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</si>
  <si>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</si>
  <si>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</si>
  <si>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</si>
  <si>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</si>
  <si>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</si>
  <si>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</si>
  <si>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</si>
  <si>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</si>
  <si>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</si>
  <si>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</si>
  <si>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</si>
  <si>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</si>
  <si>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</si>
  <si>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</si>
  <si>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</si>
  <si>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</si>
  <si>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</si>
  <si>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</si>
  <si>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</si>
  <si>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</si>
  <si>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</si>
  <si>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</si>
  <si>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</si>
  <si>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</si>
  <si>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</si>
  <si>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</si>
  <si>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</si>
  <si>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</si>
  <si>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</si>
  <si>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</si>
  <si>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</si>
  <si>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</si>
  <si>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</si>
  <si>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</si>
  <si>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</si>
  <si>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</si>
  <si>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</si>
  <si>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</si>
  <si>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</si>
  <si>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</si>
  <si>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</si>
  <si>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</si>
  <si>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</si>
  <si>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</si>
  <si>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</si>
  <si>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</si>
  <si>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</si>
  <si>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</si>
  <si>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</si>
  <si>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</si>
  <si>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</si>
  <si>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</si>
  <si>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</si>
  <si>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</si>
  <si>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</si>
  <si>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</si>
  <si>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</si>
  <si>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</si>
  <si>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</si>
  <si>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</si>
  <si>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</si>
  <si>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</si>
  <si>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</si>
  <si>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</si>
  <si>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</si>
  <si>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</si>
  <si>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</si>
  <si>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</si>
  <si>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</si>
  <si>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</si>
  <si>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</si>
  <si>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</si>
  <si>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</si>
  <si>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</si>
  <si>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</si>
  <si>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</si>
  <si>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</si>
  <si>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</si>
  <si>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</si>
  <si>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</si>
  <si>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</si>
  <si>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</si>
  <si>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</si>
  <si>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</si>
  <si>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</si>
  <si>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</si>
  <si>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</si>
  <si>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</si>
  <si>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</si>
  <si>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</si>
  <si>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</si>
  <si>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</si>
  <si>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</si>
  <si>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</si>
  <si>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</si>
  <si>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</si>
  <si>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</si>
  <si>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</si>
  <si>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</si>
  <si>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</si>
  <si>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</si>
  <si>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</si>
  <si>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</si>
  <si>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</si>
  <si>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</si>
  <si>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</si>
  <si>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</si>
  <si>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</si>
  <si>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</si>
  <si>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</si>
  <si>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</si>
  <si>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</si>
  <si>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</si>
  <si>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</si>
  <si>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</si>
  <si>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</si>
  <si>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</si>
  <si>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</si>
  <si>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</si>
  <si>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</si>
  <si>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</si>
  <si>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</si>
  <si>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</si>
  <si>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</si>
  <si>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</si>
  <si>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</si>
  <si>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</si>
  <si>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</si>
  <si>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</si>
  <si>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</si>
  <si>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</si>
  <si>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</si>
  <si>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</si>
  <si>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</si>
  <si>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</si>
  <si>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</si>
  <si>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</si>
  <si>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</si>
  <si>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</si>
  <si>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</si>
  <si>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</si>
  <si>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</si>
  <si>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</si>
  <si>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</si>
  <si>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</si>
  <si>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</si>
  <si>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</si>
  <si>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</si>
  <si>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</si>
  <si>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</si>
  <si>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</si>
  <si>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</si>
  <si>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</si>
  <si>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</si>
  <si>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</si>
  <si>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</si>
  <si>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</si>
  <si>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</si>
  <si>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</si>
  <si>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</si>
  <si>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</si>
  <si>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</si>
  <si>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</si>
  <si>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</si>
  <si>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</si>
  <si>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</si>
  <si>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</si>
  <si>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</si>
  <si>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</si>
  <si>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</si>
  <si>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</si>
  <si>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</si>
  <si>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</si>
  <si>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</si>
  <si>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</si>
  <si>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</si>
  <si>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</si>
  <si>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</si>
  <si>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</si>
  <si>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</si>
  <si>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</si>
  <si>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</si>
  <si>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</si>
  <si>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</si>
  <si>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</si>
  <si>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</si>
  <si>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</si>
  <si>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</si>
  <si>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</si>
  <si>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</si>
  <si>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</si>
  <si>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</si>
  <si>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</si>
  <si>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</si>
  <si>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</si>
  <si>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</si>
  <si>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</si>
  <si>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</si>
  <si>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</si>
  <si>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</si>
  <si>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</si>
  <si>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</si>
  <si>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</si>
  <si>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</si>
  <si>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</si>
  <si>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</si>
  <si>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</si>
  <si>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</si>
  <si>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</si>
  <si>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</si>
  <si>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</si>
  <si>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</si>
  <si>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</si>
  <si>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</si>
  <si>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</si>
  <si>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</si>
  <si>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</si>
  <si>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</si>
  <si>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</si>
  <si>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</si>
  <si>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</si>
  <si>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</si>
  <si>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</si>
  <si>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</si>
  <si>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</si>
  <si>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</si>
  <si>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</si>
  <si>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</si>
  <si>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</si>
  <si>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</si>
  <si>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</si>
  <si>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</si>
  <si>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</si>
  <si>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</si>
  <si>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</si>
  <si>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</si>
  <si>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</si>
  <si>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</si>
  <si>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</si>
  <si>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</si>
  <si>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</si>
  <si>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</si>
  <si>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</si>
  <si>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</si>
  <si>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</si>
  <si>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</si>
  <si>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</si>
  <si>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</si>
  <si>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</si>
  <si>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</si>
  <si>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</si>
  <si>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</si>
  <si>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</si>
  <si>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</si>
  <si>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</si>
  <si>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</si>
  <si>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</si>
  <si>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</si>
  <si>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</si>
  <si>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</si>
  <si>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</si>
  <si>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</si>
  <si>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</si>
  <si>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</si>
  <si>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</si>
  <si>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</si>
  <si>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</si>
  <si>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</si>
  <si>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</si>
  <si>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</si>
  <si>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</si>
  <si>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</si>
  <si>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</si>
  <si>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</si>
  <si>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</si>
  <si>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</si>
  <si>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</si>
  <si>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</si>
  <si>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</si>
  <si>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</si>
  <si>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</si>
  <si>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</si>
  <si>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</si>
  <si>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</si>
  <si>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</si>
  <si>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</si>
  <si>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</si>
  <si>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</si>
  <si>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</si>
  <si>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</si>
  <si>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</si>
  <si>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</si>
  <si>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</si>
  <si>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</si>
  <si>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</si>
  <si>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</si>
  <si>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</si>
  <si>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</si>
  <si>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</si>
  <si>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</si>
  <si>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</si>
  <si>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</si>
  <si>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</si>
  <si>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</si>
  <si>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</si>
  <si>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</si>
  <si>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</si>
  <si>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</si>
  <si>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</si>
  <si>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</si>
  <si>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</si>
  <si>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</si>
  <si>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</si>
  <si>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</si>
  <si>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</si>
  <si>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</si>
  <si>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</si>
  <si>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</si>
  <si>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</si>
  <si>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</si>
  <si>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</si>
  <si>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</si>
  <si>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</si>
  <si>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</si>
  <si>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</si>
  <si>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</si>
  <si>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</si>
  <si>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</si>
  <si>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</si>
  <si>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</si>
  <si>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</si>
  <si>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</si>
  <si>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</si>
  <si>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</si>
  <si>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</si>
  <si>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</si>
  <si>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</si>
  <si>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</si>
  <si>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</si>
  <si>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</si>
  <si>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</si>
  <si>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</si>
  <si>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</si>
  <si>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</si>
  <si>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</si>
  <si>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</si>
  <si>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</si>
  <si>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</si>
  <si>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</si>
  <si>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</si>
  <si>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</si>
  <si>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</si>
  <si>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</si>
  <si>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</si>
  <si>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</si>
  <si>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</si>
  <si>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</si>
  <si>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</si>
  <si>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</si>
  <si>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</si>
  <si>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</si>
  <si>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</si>
  <si>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</si>
  <si>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</si>
  <si>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</si>
  <si>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</si>
  <si>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</si>
  <si>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</si>
  <si>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</si>
  <si>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</si>
  <si>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</si>
  <si>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</si>
  <si>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</si>
  <si>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</si>
  <si>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</si>
  <si>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</si>
  <si>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</si>
  <si>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</si>
  <si>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</si>
  <si>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</si>
  <si>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</si>
  <si>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</si>
  <si>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</si>
  <si>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</si>
  <si>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</si>
  <si>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</si>
  <si>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</si>
  <si>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</si>
  <si>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</si>
  <si>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</si>
  <si>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</si>
  <si>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</si>
  <si>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</si>
  <si>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</si>
  <si>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</si>
  <si>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</si>
  <si>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</si>
  <si>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</si>
  <si>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</si>
  <si>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</si>
  <si>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</si>
  <si>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</si>
  <si>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</si>
  <si>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</si>
  <si>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</si>
  <si>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</si>
  <si>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</si>
  <si>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</si>
  <si>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</si>
  <si>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</si>
  <si>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</si>
  <si>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</si>
  <si>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</si>
  <si>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</si>
  <si>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</si>
  <si>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</si>
  <si>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</si>
  <si>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</si>
  <si>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</si>
  <si>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</si>
  <si>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</si>
  <si>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</si>
  <si>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</si>
  <si>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</si>
  <si>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</si>
  <si>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</si>
  <si>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</si>
  <si>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</si>
  <si>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</si>
  <si>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</si>
  <si>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</si>
  <si>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</si>
  <si>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</si>
  <si>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</si>
  <si>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</si>
  <si>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</si>
  <si>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</si>
  <si>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</si>
  <si>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</si>
  <si>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</si>
  <si>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</si>
  <si>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</si>
  <si>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</si>
  <si>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</si>
  <si>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</si>
  <si>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</si>
  <si>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</si>
  <si>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</si>
  <si>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</si>
  <si>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</si>
  <si>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</si>
  <si>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</si>
  <si>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</si>
  <si>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</si>
  <si>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</si>
  <si>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</si>
  <si>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</si>
  <si>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</si>
  <si>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</si>
  <si>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</si>
  <si>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</si>
  <si>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</si>
  <si>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</si>
  <si>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</si>
  <si>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</si>
  <si>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</si>
  <si>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</si>
  <si>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</si>
  <si>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</si>
  <si>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</si>
  <si>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</si>
  <si>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</si>
  <si>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</si>
  <si>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</si>
  <si>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</si>
  <si>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</si>
  <si>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</si>
  <si>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</si>
  <si>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</si>
  <si>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</si>
  <si>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</si>
  <si>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</si>
  <si>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</si>
  <si>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</si>
  <si>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</si>
  <si>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</si>
  <si>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</si>
  <si>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</si>
  <si>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</si>
  <si>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</si>
  <si>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</si>
  <si>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</si>
  <si>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</si>
  <si>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</si>
  <si>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</si>
  <si>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</si>
  <si>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</si>
  <si>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</si>
  <si>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</si>
  <si>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</si>
  <si>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</si>
  <si>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</si>
  <si>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</si>
  <si>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</si>
  <si>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</si>
  <si>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</si>
  <si>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</si>
  <si>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</si>
  <si>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</si>
  <si>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</si>
  <si>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</si>
  <si>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</si>
  <si>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</si>
  <si>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</si>
  <si>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</si>
  <si>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</si>
  <si>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</si>
  <si>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</si>
  <si>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</si>
  <si>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</si>
  <si>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</si>
  <si>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</si>
  <si>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</si>
  <si>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</si>
  <si>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</si>
  <si>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</si>
  <si>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</si>
  <si>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</si>
  <si>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</si>
  <si>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</si>
  <si>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</si>
  <si>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</si>
  <si>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</si>
  <si>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</si>
  <si>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</si>
  <si>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</si>
  <si>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</si>
  <si>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</si>
  <si>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</si>
  <si>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</si>
  <si>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</si>
  <si>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</si>
  <si>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</si>
  <si>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</si>
  <si>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</si>
  <si>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</si>
  <si>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</si>
  <si>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</si>
  <si>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</si>
  <si>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</si>
  <si>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</si>
  <si>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</si>
  <si>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</si>
  <si>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</si>
  <si>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</si>
  <si>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</si>
  <si>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</si>
  <si>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</si>
  <si>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</si>
  <si>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</si>
  <si>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</si>
  <si>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</si>
  <si>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</si>
  <si>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</si>
  <si>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</si>
  <si>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</si>
  <si>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</si>
  <si>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</si>
  <si>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</si>
  <si>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</si>
  <si>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</si>
  <si>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</si>
  <si>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</si>
  <si>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</si>
  <si>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</si>
  <si>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</si>
  <si>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</si>
  <si>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</si>
  <si>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</si>
  <si>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</si>
  <si>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</si>
  <si>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</si>
  <si>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</si>
  <si>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</si>
  <si>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</si>
  <si>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</si>
  <si>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</si>
  <si>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</si>
  <si>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</si>
  <si>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</si>
  <si>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</si>
  <si>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</si>
  <si>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</si>
  <si>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</si>
  <si>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</si>
  <si>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</si>
  <si>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</si>
  <si>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</si>
  <si>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</si>
  <si>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</si>
  <si>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</si>
  <si>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</si>
  <si>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</si>
  <si>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</si>
  <si>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</si>
  <si>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</si>
  <si>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</si>
  <si>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</si>
  <si>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</si>
  <si>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</si>
  <si>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</si>
  <si>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</si>
  <si>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</si>
  <si>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</si>
  <si>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</si>
  <si>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</si>
  <si>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</si>
  <si>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</si>
  <si>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</si>
  <si>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</si>
  <si>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</si>
  <si>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</si>
  <si>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</si>
  <si>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</si>
  <si>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</si>
  <si>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</si>
  <si>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</si>
  <si>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</si>
  <si>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</si>
  <si>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</si>
  <si>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</si>
  <si>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</si>
  <si>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</si>
  <si>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</si>
  <si>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</si>
  <si>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</si>
  <si>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</si>
  <si>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</si>
  <si>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</si>
  <si>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</si>
  <si>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</si>
  <si>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</si>
  <si>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</si>
  <si>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</si>
  <si>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</si>
  <si>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</si>
  <si>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</si>
  <si>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</si>
  <si>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</si>
  <si>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</si>
  <si>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</si>
  <si>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</si>
  <si>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</si>
  <si>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</si>
  <si>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</si>
  <si>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</si>
  <si>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</si>
  <si>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</si>
  <si>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</si>
  <si>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</si>
  <si>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</si>
  <si>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</si>
  <si>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</si>
  <si>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</si>
  <si>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</si>
  <si>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</si>
  <si>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</si>
  <si>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</si>
  <si>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</si>
  <si>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</si>
  <si>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</si>
  <si>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</si>
  <si>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</si>
  <si>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</si>
  <si>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</si>
  <si>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</si>
  <si>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</si>
  <si>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</si>
  <si>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</si>
  <si>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</si>
  <si>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</si>
  <si>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</si>
  <si>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</si>
  <si>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</si>
  <si>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</si>
  <si>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</si>
  <si>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</si>
  <si>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</si>
  <si>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</si>
  <si>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</si>
  <si>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</si>
  <si>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</si>
  <si>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</si>
  <si>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</si>
  <si>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</si>
  <si>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</si>
  <si>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</si>
  <si>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</si>
  <si>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</si>
  <si>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</si>
  <si>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</si>
  <si>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</si>
  <si>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</si>
  <si>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</si>
  <si>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</si>
  <si>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</si>
  <si>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</si>
  <si>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</si>
  <si>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</si>
  <si>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</si>
  <si>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</si>
  <si>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</si>
  <si>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</si>
  <si>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</si>
  <si>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</si>
  <si>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</si>
  <si>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</si>
  <si>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</si>
  <si>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</si>
  <si>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</si>
  <si>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</si>
  <si>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</si>
  <si>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</si>
  <si>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</si>
  <si>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</si>
  <si>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</si>
  <si>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</si>
  <si>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</si>
  <si>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</si>
  <si>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</si>
  <si>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</si>
  <si>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</si>
  <si>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</si>
  <si>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</si>
  <si>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</si>
  <si>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</si>
  <si>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</si>
  <si>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</si>
  <si>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</si>
  <si>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</si>
  <si>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</si>
  <si>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</si>
  <si>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</si>
  <si>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</si>
  <si>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</si>
  <si>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</si>
  <si>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</si>
  <si>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</si>
  <si>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</si>
  <si>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</si>
  <si>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</si>
  <si>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</si>
  <si>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</si>
  <si>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</si>
  <si>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</si>
  <si>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</si>
  <si>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</si>
  <si>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</si>
  <si>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</si>
  <si>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</si>
  <si>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</si>
  <si>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</si>
  <si>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</si>
  <si>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</si>
  <si>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</si>
  <si>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</si>
  <si>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</si>
  <si>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</si>
  <si>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</si>
  <si>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</si>
  <si>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</si>
  <si>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</si>
  <si>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</si>
  <si>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</si>
  <si>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</si>
  <si>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</si>
  <si>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</si>
  <si>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</si>
  <si>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</si>
  <si>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</si>
  <si>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</si>
  <si>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</si>
  <si>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</si>
  <si>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</si>
  <si>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</si>
  <si>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</si>
  <si>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</si>
  <si>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</si>
  <si>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</si>
  <si>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</si>
  <si>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</si>
  <si>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</si>
  <si>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</si>
  <si>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</si>
  <si>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</si>
  <si>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</si>
  <si>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</si>
  <si>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</si>
  <si>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</si>
  <si>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</si>
  <si>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</si>
  <si>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</si>
  <si>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</si>
  <si>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</si>
  <si>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</si>
  <si>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</si>
  <si>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</si>
  <si>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</si>
  <si>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</si>
  <si>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</si>
  <si>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</si>
  <si>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</si>
  <si>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</si>
  <si>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</si>
  <si>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</si>
  <si>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</si>
  <si>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</si>
  <si>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</si>
  <si>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</si>
  <si>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</si>
  <si>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</si>
  <si>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</si>
  <si>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</si>
  <si>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</si>
  <si>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</si>
  <si>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</si>
  <si>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</si>
  <si>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</si>
  <si>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</si>
  <si>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</si>
  <si>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</si>
  <si>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</si>
  <si>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</si>
  <si>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</si>
  <si>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</si>
  <si>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</si>
  <si>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</si>
  <si>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</si>
  <si>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</si>
  <si>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</si>
  <si>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</si>
  <si>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</si>
  <si>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</si>
  <si>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</si>
  <si>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</si>
  <si>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</si>
  <si>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</si>
  <si>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</si>
  <si>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</si>
  <si>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</si>
  <si>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</si>
  <si>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</si>
  <si>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</si>
  <si>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</si>
  <si>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</si>
  <si>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</si>
  <si>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</si>
  <si>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</si>
  <si>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</si>
  <si>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</si>
  <si>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</si>
  <si>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</si>
  <si>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</si>
  <si>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</si>
  <si>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</si>
  <si>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</si>
  <si>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</si>
  <si>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</si>
  <si>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</si>
  <si>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</si>
  <si>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</si>
  <si>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</si>
  <si>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</si>
  <si>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</si>
  <si>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</si>
  <si>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</si>
  <si>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</si>
  <si>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</si>
  <si>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</si>
  <si>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</si>
  <si>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</si>
  <si>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</si>
  <si>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</si>
  <si>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</si>
  <si>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</si>
  <si>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</si>
  <si>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</si>
  <si>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</si>
  <si>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</si>
  <si>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</si>
  <si>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</si>
  <si>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</si>
  <si>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</si>
  <si>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</si>
  <si>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</si>
  <si>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</si>
  <si>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</si>
  <si>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</si>
  <si>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</si>
  <si>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</si>
  <si>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</si>
  <si>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</si>
  <si>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</si>
  <si>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</si>
  <si>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</si>
  <si>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</si>
  <si>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</si>
  <si>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</si>
  <si>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</si>
  <si>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</si>
  <si>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</si>
  <si>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</si>
  <si>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</si>
  <si>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</si>
  <si>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</si>
  <si>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</si>
  <si>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</si>
  <si>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</si>
  <si>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</si>
  <si>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</si>
  <si>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</si>
  <si>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</si>
  <si>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</si>
  <si>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</si>
  <si>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</si>
  <si>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</si>
  <si>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</si>
  <si>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</si>
  <si>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</si>
  <si>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</si>
  <si>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</si>
  <si>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</si>
  <si>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</si>
  <si>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</si>
  <si>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</si>
  <si>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</si>
  <si>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</si>
  <si>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</si>
  <si>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</si>
  <si>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</si>
  <si>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</si>
  <si>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</si>
  <si>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</si>
  <si>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</si>
  <si>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</si>
  <si>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</si>
  <si>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</si>
  <si>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</si>
  <si>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</si>
  <si>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</si>
  <si>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</si>
  <si>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</si>
  <si>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</si>
  <si>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</si>
  <si>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</si>
  <si>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</si>
  <si>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</si>
  <si>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</si>
  <si>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</si>
  <si>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</si>
  <si>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</si>
  <si>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</si>
  <si>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</si>
  <si>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</si>
  <si>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</si>
  <si>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</si>
  <si>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</si>
  <si>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</si>
  <si>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</si>
  <si>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</si>
  <si>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</si>
  <si>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</si>
  <si>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</si>
  <si>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</si>
  <si>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</si>
  <si>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</si>
  <si>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</si>
  <si>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</si>
  <si>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</si>
  <si>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</si>
  <si>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</si>
  <si>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</si>
  <si>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</si>
  <si>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</si>
  <si>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</si>
  <si>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</si>
  <si>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</si>
  <si>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</si>
  <si>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</si>
  <si>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</si>
  <si>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</si>
  <si>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</si>
  <si>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</si>
  <si>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</si>
  <si>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</si>
  <si>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</si>
  <si>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</si>
  <si>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</si>
  <si>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</si>
  <si>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</si>
  <si>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</si>
  <si>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</si>
  <si>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</si>
  <si>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</si>
  <si>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</si>
  <si>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</si>
  <si>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</si>
  <si>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</si>
  <si>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</si>
  <si>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</si>
  <si>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</si>
  <si>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</si>
  <si>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</si>
  <si>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</si>
  <si>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</si>
  <si>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</si>
  <si>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</si>
  <si>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</si>
  <si>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</si>
  <si>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</si>
  <si>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</si>
  <si>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</si>
  <si>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</si>
  <si>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</si>
  <si>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</si>
  <si>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</si>
  <si>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</si>
  <si>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</si>
  <si>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</si>
  <si>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</si>
  <si>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</si>
  <si>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</si>
  <si>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</si>
  <si>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</si>
  <si>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</si>
  <si>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</si>
  <si>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</si>
  <si>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</si>
  <si>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</si>
  <si>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</si>
  <si>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</si>
  <si>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</si>
  <si>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</si>
  <si>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</si>
  <si>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</si>
  <si>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</si>
  <si>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</si>
  <si>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</si>
  <si>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</si>
  <si>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</si>
  <si>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</si>
  <si>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</si>
  <si>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</si>
  <si>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</si>
  <si>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</si>
  <si>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</si>
  <si>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</si>
  <si>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</si>
  <si>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</si>
  <si>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</si>
  <si>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</si>
  <si>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</si>
  <si>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</si>
  <si>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</si>
  <si>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</si>
  <si>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</si>
  <si>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</si>
  <si>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</si>
  <si>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</si>
  <si>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</si>
  <si>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</si>
  <si>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</si>
  <si>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</si>
  <si>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</si>
  <si>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</si>
  <si>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</si>
  <si>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</si>
  <si>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</si>
  <si>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</si>
  <si>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</si>
  <si>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</si>
  <si>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</si>
  <si>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</si>
  <si>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</si>
  <si>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</si>
  <si>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</si>
  <si>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</si>
  <si>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</si>
  <si>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</si>
  <si>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</si>
  <si>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</si>
  <si>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</si>
  <si>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</si>
  <si>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</si>
  <si>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</si>
  <si>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</si>
  <si>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</si>
  <si>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</si>
  <si>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</si>
  <si>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</si>
  <si>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</si>
  <si>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</si>
  <si>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</si>
  <si>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</si>
  <si>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</si>
  <si>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</si>
  <si>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</si>
  <si>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</si>
  <si>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</si>
  <si>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</si>
  <si>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</si>
  <si>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</si>
  <si>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</si>
  <si>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</si>
  <si>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</si>
  <si>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</si>
  <si>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</si>
  <si>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</si>
  <si>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</si>
  <si>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</si>
  <si>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</si>
  <si>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</si>
  <si>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</si>
  <si>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</si>
  <si>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</si>
  <si>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</si>
  <si>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</si>
  <si>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</si>
  <si>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</si>
  <si>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</si>
  <si>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</si>
  <si>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</si>
  <si>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</si>
  <si>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</si>
  <si>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</si>
  <si>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</si>
  <si>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</si>
  <si>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</si>
  <si>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</si>
  <si>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</si>
  <si>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</si>
  <si>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</si>
  <si>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</si>
  <si>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</si>
  <si>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</si>
  <si>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</si>
  <si>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</si>
  <si>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</si>
  <si>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</si>
  <si>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</si>
  <si>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</si>
  <si>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</si>
  <si>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</si>
  <si>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</si>
  <si>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</si>
  <si>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</si>
  <si>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</si>
  <si>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</si>
  <si>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</si>
  <si>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</si>
  <si>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</si>
  <si>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</si>
  <si>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</si>
  <si>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</si>
  <si>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</si>
  <si>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</si>
  <si>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</si>
  <si>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</si>
  <si>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</si>
  <si>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</si>
  <si>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</si>
  <si>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</si>
  <si>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</si>
  <si>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</si>
  <si>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</si>
  <si>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</si>
  <si>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</si>
  <si>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</si>
  <si>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</si>
  <si>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</si>
  <si>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</si>
  <si>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</si>
  <si>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</si>
  <si>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</si>
  <si>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</si>
  <si>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</si>
  <si>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</si>
  <si>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</si>
  <si>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</si>
  <si>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</si>
  <si>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</si>
  <si>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</si>
  <si>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</si>
  <si>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</si>
  <si>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</si>
  <si>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</si>
  <si>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</si>
  <si>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</si>
  <si>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</si>
  <si>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</si>
  <si>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</si>
  <si>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</si>
  <si>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</si>
  <si>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</si>
  <si>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</si>
  <si>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</si>
  <si>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</si>
  <si>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</si>
  <si>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</si>
  <si>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</si>
  <si>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</si>
  <si>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</si>
  <si>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</si>
  <si>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</si>
  <si>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</si>
  <si>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</si>
  <si>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</si>
  <si>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</si>
  <si>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</si>
  <si>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</si>
  <si>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</si>
  <si>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</si>
  <si>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</si>
  <si>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</si>
  <si>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</si>
  <si>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</si>
  <si>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</si>
  <si>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</si>
  <si>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</si>
  <si>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</si>
  <si>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</si>
  <si>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</si>
  <si>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</si>
  <si>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</si>
  <si>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</si>
  <si>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</si>
  <si>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</si>
  <si>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</si>
  <si>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</si>
  <si>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</si>
  <si>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</si>
  <si>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</si>
  <si>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</si>
  <si>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</si>
  <si>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</si>
  <si>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</si>
  <si>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</si>
  <si>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</si>
  <si>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</si>
  <si>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</si>
  <si>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</si>
  <si>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</si>
  <si>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</si>
  <si>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</si>
  <si>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</si>
  <si>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</si>
  <si>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</si>
  <si>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</si>
  <si>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</si>
  <si>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</si>
  <si>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</si>
  <si>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</si>
  <si>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</si>
  <si>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</si>
  <si>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</si>
  <si>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</si>
  <si>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</si>
  <si>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</si>
  <si>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</si>
  <si>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</si>
  <si>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</si>
  <si>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</si>
  <si>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</si>
  <si>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</si>
  <si>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</si>
  <si>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</si>
  <si>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</si>
  <si>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</si>
  <si>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</si>
  <si>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</si>
  <si>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</si>
  <si>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</si>
  <si>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</si>
  <si>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</si>
  <si>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</si>
  <si>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</si>
  <si>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</si>
  <si>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</si>
  <si>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</si>
  <si>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</si>
  <si>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</si>
  <si>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</si>
  <si>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</si>
  <si>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</si>
  <si>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</si>
  <si>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</si>
  <si>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</si>
  <si>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</si>
  <si>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</si>
  <si>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</si>
  <si>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</si>
  <si>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</si>
  <si>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</si>
  <si>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</si>
  <si>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</si>
  <si>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</si>
  <si>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</si>
  <si>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</si>
  <si>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</si>
  <si>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</si>
  <si>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</si>
  <si>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</si>
  <si>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</si>
  <si>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</si>
  <si>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</si>
  <si>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</si>
  <si>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</si>
  <si>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</si>
  <si>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</si>
  <si>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</si>
  <si>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</si>
  <si>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</si>
  <si>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</si>
  <si>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</si>
  <si>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</si>
  <si>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</si>
  <si>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</si>
  <si>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</si>
  <si>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</si>
  <si>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</si>
  <si>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</si>
  <si>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</si>
  <si>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</si>
  <si>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</si>
  <si>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</si>
  <si>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</si>
  <si>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</si>
  <si>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</si>
  <si>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</si>
  <si>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</si>
  <si>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</si>
  <si>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</si>
  <si>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</si>
  <si>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</si>
  <si>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</si>
  <si>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</si>
  <si>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</si>
  <si>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</si>
  <si>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</si>
  <si>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</si>
  <si>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</si>
  <si>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</si>
  <si>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</si>
  <si>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</si>
  <si>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</si>
  <si>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</si>
  <si>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</si>
  <si>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</si>
  <si>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</si>
  <si>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</si>
  <si>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</si>
  <si>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</si>
  <si>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</si>
  <si>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</si>
  <si>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</si>
  <si>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</si>
  <si>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</si>
  <si>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</si>
  <si>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</si>
  <si>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</si>
  <si>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</si>
  <si>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</si>
  <si>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</si>
  <si>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</si>
  <si>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</si>
  <si>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</si>
  <si>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</si>
  <si>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</si>
  <si>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</si>
  <si>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</si>
  <si>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</si>
  <si>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</si>
  <si>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</si>
  <si>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</si>
  <si>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</si>
  <si>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</si>
  <si>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</si>
  <si>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</si>
  <si>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</si>
  <si>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</si>
  <si>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</si>
  <si>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</si>
  <si>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</si>
  <si>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</si>
  <si>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</si>
  <si>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</si>
  <si>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</si>
  <si>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</si>
  <si>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</si>
  <si>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</si>
  <si>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</si>
  <si>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</si>
  <si>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</si>
  <si>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</si>
  <si>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</si>
  <si>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</si>
  <si>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</si>
  <si>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</si>
  <si>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</si>
  <si>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</si>
  <si>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</si>
  <si>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</si>
  <si>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</si>
  <si>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</si>
  <si>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</si>
  <si>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</si>
  <si>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</si>
  <si>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</si>
  <si>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</si>
  <si>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</si>
  <si>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</si>
  <si>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</si>
  <si>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</si>
  <si>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</si>
  <si>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</si>
  <si>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</si>
  <si>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</si>
  <si>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</si>
  <si>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</si>
  <si>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</si>
  <si>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</si>
  <si>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</si>
  <si>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</si>
  <si>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</si>
  <si>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</si>
  <si>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</si>
  <si>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</si>
  <si>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</si>
  <si>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</si>
  <si>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</si>
  <si>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</si>
  <si>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</si>
  <si>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</si>
  <si>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</si>
  <si>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</si>
  <si>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</si>
  <si>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</si>
  <si>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</si>
  <si>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</si>
  <si>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</si>
  <si>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</si>
  <si>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</si>
  <si>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</si>
  <si>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</si>
  <si>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</si>
  <si>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</si>
  <si>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</si>
  <si>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</si>
  <si>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</si>
  <si>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</si>
  <si>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</si>
  <si>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</si>
  <si>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</si>
  <si>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</si>
  <si>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</si>
  <si>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</si>
  <si>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</si>
  <si>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</si>
  <si>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</si>
  <si>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</si>
  <si>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</si>
  <si>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</si>
  <si>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</si>
  <si>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</si>
  <si>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</si>
  <si>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</si>
  <si>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</si>
  <si>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</si>
  <si>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</si>
  <si>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</si>
  <si>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</si>
  <si>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</si>
  <si>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</si>
  <si>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</si>
  <si>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</si>
  <si>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</si>
  <si>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</si>
  <si>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</si>
  <si>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</si>
  <si>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</si>
  <si>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</si>
  <si>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</si>
  <si>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</si>
  <si>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</si>
  <si>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</si>
  <si>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</si>
  <si>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</si>
  <si>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</si>
  <si>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</si>
  <si>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</si>
  <si>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</si>
  <si>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</si>
  <si>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</si>
  <si>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</si>
  <si>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</si>
  <si>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</si>
  <si>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</si>
  <si>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</si>
  <si>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</si>
  <si>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</si>
  <si>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</si>
  <si>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</si>
  <si>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</si>
  <si>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</si>
  <si>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</si>
  <si>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</si>
  <si>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</si>
  <si>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</si>
  <si>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</si>
  <si>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</si>
  <si>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</si>
  <si>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</si>
  <si>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</si>
  <si>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</si>
  <si>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</si>
  <si>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</si>
  <si>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</si>
  <si>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</si>
  <si>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</si>
  <si>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</si>
  <si>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</si>
  <si>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</si>
  <si>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</si>
  <si>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</si>
  <si>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</si>
  <si>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</si>
  <si>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</si>
  <si>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</si>
  <si>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</si>
  <si>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</si>
  <si>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</si>
  <si>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</si>
  <si>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</si>
  <si>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</si>
  <si>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</si>
  <si>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</si>
  <si>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</si>
  <si>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</si>
  <si>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</si>
  <si>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</si>
  <si>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</si>
  <si>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</si>
  <si>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</si>
  <si>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</si>
  <si>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</si>
  <si>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</si>
  <si>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</si>
  <si>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</si>
  <si>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</si>
  <si>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</si>
  <si>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</si>
  <si>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</si>
  <si>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</si>
  <si>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</si>
  <si>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</si>
  <si>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</si>
  <si>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</si>
  <si>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</si>
  <si>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</si>
  <si>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</si>
  <si>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</si>
  <si>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</si>
  <si>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</si>
  <si>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</si>
  <si>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</si>
  <si>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</si>
  <si>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</si>
  <si>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</si>
  <si>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</si>
  <si>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</si>
  <si>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</si>
  <si>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</si>
  <si>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</si>
  <si>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</si>
  <si>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</si>
  <si>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</si>
  <si>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</si>
  <si>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</si>
  <si>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</si>
  <si>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</si>
  <si>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</si>
  <si>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</si>
  <si>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</si>
  <si>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</si>
  <si>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</si>
  <si>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</si>
  <si>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</si>
  <si>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</si>
  <si>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</si>
  <si>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</si>
  <si>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</si>
  <si>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</si>
  <si>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</si>
  <si>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</si>
  <si>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</si>
  <si>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</si>
  <si>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</si>
  <si>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</si>
  <si>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</si>
  <si>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</si>
  <si>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</si>
  <si>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</si>
  <si>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Whiteside</t>
  </si>
  <si>
    <t>1608 5th Avenue</t>
  </si>
  <si>
    <t>wacc.net</t>
  </si>
  <si>
    <t>Sterling</t>
  </si>
  <si>
    <t>R. Tad Everett</t>
  </si>
  <si>
    <t>teverett@sps5.org</t>
  </si>
  <si>
    <t>815-626-5050</t>
  </si>
  <si>
    <t>815-622-4156</t>
  </si>
  <si>
    <t>Wipfli LLP</t>
  </si>
  <si>
    <t>Matthew Schueler</t>
  </si>
  <si>
    <t>403 East Third</t>
  </si>
  <si>
    <t>Illinois</t>
  </si>
  <si>
    <t>815-626-1277</t>
  </si>
  <si>
    <t>815-626-9118</t>
  </si>
  <si>
    <t>066-004023</t>
  </si>
  <si>
    <t>mschueler@wipfli.com</t>
  </si>
  <si>
    <t xml:space="preserve">  Fund 10, Other Food Service Income, account 1690 - Food Service program sales</t>
  </si>
  <si>
    <t xml:space="preserve">  Fund 10 Other Revenue from Local sources, Account 1999 - Miscellaneous Income and Operation Fees</t>
  </si>
  <si>
    <t>Fund 10, Line 83 Function 4190 - Cosmetology Services</t>
  </si>
  <si>
    <t>Owen Harrell</t>
  </si>
  <si>
    <t>10-1400-300</t>
  </si>
  <si>
    <t>Instruction - CTE Program</t>
  </si>
  <si>
    <t>Whiteside Regional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</si>
</sst>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auto="1"/>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top style="thin">
        <color auto="1"/>
      </top>
      <bottom style="thin">
        <color theme="0"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auto="1"/>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auto="1"/>
      </left>
      <right style="thin">
        <color auto="1"/>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auto="1"/>
      </left>
      <right style="thin">
        <color auto="1"/>
      </right>
      <top/>
      <bottom style="thin">
        <color auto="1"/>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auto="1"/>
      </left>
      <right style="medium">
        <color auto="1"/>
      </right>
      <top style="medium">
        <color auto="1"/>
      </top>
      <bottom style="medium">
        <color auto="1"/>
      </bottom>
      <diagonal/>
    </border>
    <border>
      <left/>
      <right style="thin">
        <color theme="0" tint="-0.34998626667073579"/>
      </right>
      <top style="thin">
        <color auto="1"/>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9" fillId="0" borderId="0" xfId="3"/>
    <xf numFmtId="0" fontId="0" fillId="0" borderId="0" xfId="3" applyFont="1" applyFill="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25" xfId="2" applyNumberFormat="1" applyFill="1" applyBorder="1" applyAlignment="1" applyProtection="1">
      <alignment horizontal="left" vertical="center" indent="1"/>
      <protection locked="0"/>
    </xf>
    <xf numFmtId="49" fontId="36" fillId="0" borderId="128" xfId="0" applyNumberFormat="1" applyFont="1" applyBorder="1" applyAlignment="1" applyProtection="1">
      <alignment horizontal="left" vertical="center" indent="1"/>
      <protection locked="0"/>
    </xf>
    <xf numFmtId="49" fontId="36" fillId="0" borderId="126"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28576</xdr:rowOff>
    </xdr:from>
    <xdr:to>
      <xdr:col>9</xdr:col>
      <xdr:colOff>514491</xdr:colOff>
      <xdr:row>48</xdr:row>
      <xdr:rowOff>19050</xdr:rowOff>
    </xdr:to>
    <xdr:pic>
      <xdr:nvPicPr>
        <xdr:cNvPr id="3" name="Picture 2">
          <a:extLst>
            <a:ext uri="{FF2B5EF4-FFF2-40B4-BE49-F238E27FC236}">
              <a16:creationId xmlns:a16="http://schemas.microsoft.com/office/drawing/2014/main" id="{9CC76F2D-20F6-4357-852A-FDEF5F396207}"/>
            </a:ext>
          </a:extLst>
        </xdr:cNvPr>
        <xdr:cNvPicPr>
          <a:picLocks noChangeAspect="1"/>
        </xdr:cNvPicPr>
      </xdr:nvPicPr>
      <xdr:blipFill>
        <a:blip xmlns:r="http://schemas.openxmlformats.org/officeDocument/2006/relationships" r:embed="rId1"/>
        <a:stretch>
          <a:fillRect/>
        </a:stretch>
      </xdr:blipFill>
      <xdr:spPr>
        <a:xfrm>
          <a:off x="1" y="28576"/>
          <a:ext cx="6000890" cy="7762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B25AED8D-6829-4BB2-905E-7493FFC454D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25" zoomScaleNormal="125" zoomScalePageLayoutView="125"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42578125" style="26" customWidth="1"/>
    <col min="5" max="5" width="3" style="26" customWidth="1"/>
    <col min="6" max="6" width="7.42578125" style="26" customWidth="1"/>
    <col min="7" max="7" width="8.28515625" style="26" customWidth="1"/>
    <col min="8" max="8" width="8.7109375" style="26" customWidth="1"/>
    <col min="9" max="9" width="1.42578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1990</v>
      </c>
      <c r="B1" s="45"/>
      <c r="C1" s="45"/>
      <c r="D1" s="46"/>
      <c r="I1" s="1989" t="s">
        <v>405</v>
      </c>
      <c r="J1" s="1990"/>
      <c r="K1" s="1990"/>
      <c r="L1" s="1990"/>
      <c r="M1" s="1990"/>
      <c r="N1" s="1990"/>
      <c r="O1" s="1990"/>
      <c r="P1" s="1990"/>
      <c r="Q1" s="1990"/>
      <c r="R1" s="1990"/>
      <c r="S1" s="1990"/>
    </row>
    <row r="2" spans="1:28" ht="12" customHeight="1" x14ac:dyDescent="0.2">
      <c r="A2" s="47" t="s">
        <v>1991</v>
      </c>
      <c r="D2" s="48"/>
      <c r="I2" s="1991" t="s">
        <v>979</v>
      </c>
      <c r="J2" s="1990"/>
      <c r="K2" s="1990"/>
      <c r="L2" s="1990"/>
      <c r="M2" s="1990"/>
      <c r="N2" s="1990"/>
      <c r="O2" s="1990"/>
      <c r="P2" s="1990"/>
      <c r="Q2" s="1990"/>
      <c r="R2" s="1990"/>
      <c r="S2" s="1990"/>
    </row>
    <row r="3" spans="1:28" ht="12" customHeight="1" x14ac:dyDescent="0.2">
      <c r="A3" s="155" t="s">
        <v>1943</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c r="C5" s="26" t="s">
        <v>910</v>
      </c>
      <c r="D5" s="84"/>
      <c r="E5" s="84"/>
      <c r="H5" s="38"/>
      <c r="I5" s="1999" t="s">
        <v>680</v>
      </c>
      <c r="J5" s="1998"/>
      <c r="K5" s="1998"/>
      <c r="L5" s="1998"/>
      <c r="M5" s="1998"/>
      <c r="N5" s="1998"/>
      <c r="O5" s="1998"/>
      <c r="P5" s="1998"/>
      <c r="Q5" s="1998"/>
      <c r="R5" s="1998"/>
      <c r="S5" s="1998"/>
    </row>
    <row r="6" spans="1:28" ht="14.1" customHeight="1" x14ac:dyDescent="0.2">
      <c r="B6" s="104" t="s">
        <v>2065</v>
      </c>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t="s">
        <v>2065</v>
      </c>
      <c r="P12" s="100" t="s">
        <v>202</v>
      </c>
      <c r="Q12" s="74"/>
      <c r="R12" s="30"/>
      <c r="S12" s="30"/>
      <c r="T12" s="85" t="s">
        <v>265</v>
      </c>
      <c r="U12" s="51"/>
      <c r="V12" s="51"/>
      <c r="W12" s="51"/>
      <c r="X12" s="51"/>
      <c r="Y12" s="45"/>
      <c r="Z12" s="45"/>
      <c r="AA12" s="46"/>
    </row>
    <row r="13" spans="1:28" ht="13.5" customHeight="1" x14ac:dyDescent="0.2">
      <c r="A13" s="2025">
        <v>47098005046</v>
      </c>
      <c r="B13" s="2026"/>
      <c r="C13" s="2026"/>
      <c r="D13" s="2026"/>
      <c r="E13" s="2026"/>
      <c r="F13" s="2026"/>
      <c r="G13" s="2026"/>
      <c r="H13" s="2027"/>
      <c r="I13" s="31"/>
      <c r="J13" s="30"/>
      <c r="K13" s="28"/>
      <c r="L13" s="30"/>
      <c r="M13" s="30"/>
      <c r="N13" s="30"/>
      <c r="O13" s="30"/>
      <c r="P13" s="30"/>
      <c r="Q13" s="30"/>
      <c r="R13" s="30"/>
      <c r="S13" s="30"/>
      <c r="T13" s="2031" t="s">
        <v>2074</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8" t="s">
        <v>2066</v>
      </c>
      <c r="B15" s="2029"/>
      <c r="C15" s="2029"/>
      <c r="D15" s="2029"/>
      <c r="E15" s="2029"/>
      <c r="F15" s="2029"/>
      <c r="G15" s="2029"/>
      <c r="H15" s="2030"/>
      <c r="T15" s="2035" t="s">
        <v>2075</v>
      </c>
      <c r="U15" s="2036"/>
      <c r="V15" s="2036"/>
      <c r="W15" s="2036"/>
      <c r="X15" s="2036"/>
      <c r="Y15" s="2037"/>
      <c r="Z15" s="2037"/>
      <c r="AA15" s="203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2088</v>
      </c>
      <c r="B17" s="1982"/>
      <c r="C17" s="1982"/>
      <c r="D17" s="1982"/>
      <c r="E17" s="1982"/>
      <c r="F17" s="1982"/>
      <c r="G17" s="1982"/>
      <c r="H17" s="2009"/>
      <c r="T17" s="2041" t="s">
        <v>2076</v>
      </c>
      <c r="U17" s="2042"/>
      <c r="V17" s="2042"/>
      <c r="W17" s="2042"/>
      <c r="X17" s="2042"/>
      <c r="Y17" s="2042"/>
      <c r="Z17" s="2042"/>
      <c r="AA17" s="2043"/>
    </row>
    <row r="18" spans="1:27" ht="13.5" customHeight="1" x14ac:dyDescent="0.2">
      <c r="A18" s="85" t="s">
        <v>530</v>
      </c>
      <c r="B18" s="76"/>
      <c r="C18" s="72"/>
      <c r="D18" s="76"/>
      <c r="E18" s="76"/>
      <c r="F18" s="76"/>
      <c r="G18" s="76"/>
      <c r="H18" s="56"/>
      <c r="I18" s="2008"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3" t="s">
        <v>2067</v>
      </c>
      <c r="B19" s="2024"/>
      <c r="C19" s="2024"/>
      <c r="D19" s="2024"/>
      <c r="E19" s="2024"/>
      <c r="F19" s="2024"/>
      <c r="G19" s="2024"/>
      <c r="H19" s="1984"/>
      <c r="I19" s="30"/>
      <c r="J19" s="99"/>
      <c r="K19" s="40"/>
      <c r="L19" s="38"/>
      <c r="M19" s="112" t="s">
        <v>315</v>
      </c>
      <c r="P19" s="27"/>
      <c r="Q19" s="27"/>
      <c r="R19" s="27"/>
      <c r="S19" s="31"/>
      <c r="T19" s="2028" t="s">
        <v>2069</v>
      </c>
      <c r="U19" s="1946"/>
      <c r="V19" s="1946"/>
      <c r="W19" s="1947"/>
      <c r="X19" s="2040" t="s">
        <v>2077</v>
      </c>
      <c r="Y19" s="1983"/>
      <c r="Z19" s="2039">
        <v>61081</v>
      </c>
      <c r="AA19" s="198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2069</v>
      </c>
      <c r="B21" s="1946"/>
      <c r="C21" s="1946"/>
      <c r="D21" s="1946"/>
      <c r="E21" s="1946"/>
      <c r="F21" s="1946"/>
      <c r="G21" s="1946"/>
      <c r="H21" s="1947"/>
      <c r="I21" s="2003" t="s">
        <v>678</v>
      </c>
      <c r="J21" s="1998"/>
      <c r="K21" s="1998"/>
      <c r="L21" s="1998"/>
      <c r="M21" s="1998"/>
      <c r="N21" s="1998"/>
      <c r="O21" s="1998"/>
      <c r="P21" s="1998"/>
      <c r="Q21" s="1998"/>
      <c r="R21" s="1998"/>
      <c r="S21" s="2004"/>
      <c r="T21" s="2048" t="s">
        <v>2078</v>
      </c>
      <c r="U21" s="2049"/>
      <c r="V21" s="2049"/>
      <c r="W21" s="2049"/>
      <c r="X21" s="2055" t="s">
        <v>2079</v>
      </c>
      <c r="Y21" s="2056"/>
      <c r="Z21" s="2056"/>
      <c r="AA21" s="2057"/>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t="s">
        <v>2068</v>
      </c>
      <c r="B23" s="2001"/>
      <c r="C23" s="2001"/>
      <c r="D23" s="2001"/>
      <c r="E23" s="2001"/>
      <c r="F23" s="2001"/>
      <c r="G23" s="2001"/>
      <c r="H23" s="2002"/>
      <c r="T23" s="1981" t="s">
        <v>2080</v>
      </c>
      <c r="U23" s="2047"/>
      <c r="V23" s="2047"/>
      <c r="W23" s="2047"/>
      <c r="X23" s="2052"/>
      <c r="Y23" s="2053"/>
      <c r="Z23" s="2053"/>
      <c r="AA23" s="2054"/>
    </row>
    <row r="24" spans="1:27" ht="14.1" customHeight="1" x14ac:dyDescent="0.2">
      <c r="A24" s="88" t="s">
        <v>677</v>
      </c>
      <c r="B24" s="49"/>
      <c r="C24" s="49"/>
      <c r="D24" s="49"/>
      <c r="E24" s="49"/>
      <c r="F24" s="49"/>
      <c r="G24" s="49"/>
      <c r="H24" s="61"/>
      <c r="J24" s="1968" t="str">
        <f>IF(B5="x",IF(AUDITCHECK!D29="AFR form Incomplete.","",IF(AUDITCHECK!D29="Deficit reduction plan is required.","School District must complete a deficit reduction plan in the 2019-2020 Budget",)),"")</f>
        <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61081</v>
      </c>
      <c r="B25" s="1946"/>
      <c r="C25" s="1946"/>
      <c r="D25" s="1946"/>
      <c r="E25" s="1946"/>
      <c r="F25" s="1946"/>
      <c r="G25" s="1946"/>
      <c r="H25" s="1947"/>
      <c r="I25" s="113"/>
      <c r="J25" s="1970"/>
      <c r="K25" s="1970"/>
      <c r="L25" s="1970"/>
      <c r="M25" s="1970"/>
      <c r="N25" s="1970"/>
      <c r="O25" s="1970"/>
      <c r="P25" s="1970"/>
      <c r="Q25" s="1970"/>
      <c r="R25" s="1970"/>
      <c r="S25" s="1971"/>
      <c r="T25" s="2044" t="s">
        <v>2081</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2070</v>
      </c>
      <c r="B38" s="1982"/>
      <c r="C38" s="1982"/>
      <c r="D38" s="1982"/>
      <c r="E38" s="1982"/>
      <c r="F38" s="1983"/>
      <c r="G38" s="1983"/>
      <c r="H38" s="1984"/>
      <c r="I38" s="1974"/>
      <c r="J38" s="1975"/>
      <c r="K38" s="1975"/>
      <c r="L38" s="1975"/>
      <c r="M38" s="1975"/>
      <c r="N38" s="1975"/>
      <c r="O38" s="1975"/>
      <c r="P38" s="1976"/>
      <c r="Q38" s="1976"/>
      <c r="R38" s="1976"/>
      <c r="S38" s="1977"/>
      <c r="T38" s="2050"/>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2071</v>
      </c>
      <c r="B40" s="1960"/>
      <c r="C40" s="1961"/>
      <c r="D40" s="1961"/>
      <c r="E40" s="1961"/>
      <c r="F40" s="1962"/>
      <c r="G40" s="1962"/>
      <c r="H40" s="1963"/>
      <c r="I40" s="1986"/>
      <c r="J40" s="1987"/>
      <c r="K40" s="1987"/>
      <c r="L40" s="1987"/>
      <c r="M40" s="1987"/>
      <c r="N40" s="1987"/>
      <c r="O40" s="1987"/>
      <c r="P40" s="1987"/>
      <c r="Q40" s="1987"/>
      <c r="R40" s="1987"/>
      <c r="S40" s="1988"/>
      <c r="T40" s="1986"/>
      <c r="U40" s="2051"/>
      <c r="V40" s="1987"/>
      <c r="W40" s="1987"/>
      <c r="X40" s="1987"/>
      <c r="Y40" s="1987"/>
      <c r="Z40" s="1987"/>
      <c r="AA40" s="1988"/>
    </row>
    <row r="41" spans="1:27" ht="11.6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2072</v>
      </c>
      <c r="B42" s="1965"/>
      <c r="C42" s="1966"/>
      <c r="D42" s="1964" t="s">
        <v>2073</v>
      </c>
      <c r="E42" s="1965"/>
      <c r="F42" s="1965"/>
      <c r="G42" s="1965"/>
      <c r="H42" s="1966"/>
      <c r="I42" s="1948"/>
      <c r="J42" s="1949"/>
      <c r="K42" s="1949"/>
      <c r="L42" s="1949"/>
      <c r="M42" s="1949"/>
      <c r="N42" s="1949"/>
      <c r="O42" s="1950"/>
      <c r="P42" s="1985"/>
      <c r="Q42" s="1949"/>
      <c r="R42" s="1949"/>
      <c r="S42" s="1950"/>
      <c r="T42" s="1948"/>
      <c r="U42" s="1949"/>
      <c r="V42" s="1949"/>
      <c r="W42" s="1950"/>
      <c r="X42" s="1985"/>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C1" colorId="8" zoomScale="125" zoomScaleNormal="125" zoomScalePageLayoutView="125" workbookViewId="0">
      <pane ySplit="2" topLeftCell="A120" activePane="bottomLeft" state="frozen"/>
      <selection activeCell="T25" sqref="T25:AA25"/>
      <selection pane="bottomLeft" activeCell="T25" sqref="T25:AA25"/>
    </sheetView>
  </sheetViews>
  <sheetFormatPr defaultColWidth="9.140625" defaultRowHeight="12.75" x14ac:dyDescent="0.2"/>
  <cols>
    <col min="1" max="1" width="48.42578125" style="709" customWidth="1"/>
    <col min="2" max="2" width="5" style="710" customWidth="1"/>
    <col min="3" max="8" width="13.28515625" style="609" customWidth="1"/>
    <col min="9" max="10" width="13.28515625" style="343" customWidth="1"/>
    <col min="11" max="11" width="13.28515625" style="711" customWidth="1"/>
    <col min="12" max="12" width="11.7109375" style="343" customWidth="1"/>
    <col min="13" max="13" width="1.42578125" style="210" customWidth="1"/>
    <col min="14" max="14" width="9.140625" style="210"/>
    <col min="15" max="16384" width="9.140625" style="329"/>
  </cols>
  <sheetData>
    <row r="1" spans="1:14" x14ac:dyDescent="0.2">
      <c r="A1" s="213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v>1807</v>
      </c>
      <c r="D12" s="466">
        <f>245</f>
        <v>245</v>
      </c>
      <c r="E12" s="466">
        <v>536</v>
      </c>
      <c r="F12" s="466"/>
      <c r="G12" s="466"/>
      <c r="H12" s="466"/>
      <c r="I12" s="467"/>
      <c r="J12" s="467"/>
      <c r="K12" s="1671">
        <f t="shared" si="0"/>
        <v>2588</v>
      </c>
      <c r="L12" s="466">
        <v>9150</v>
      </c>
    </row>
    <row r="13" spans="1:14" x14ac:dyDescent="0.2">
      <c r="A13" s="1504" t="s">
        <v>723</v>
      </c>
      <c r="B13" s="614">
        <v>1400</v>
      </c>
      <c r="C13" s="466">
        <v>636690</v>
      </c>
      <c r="D13" s="466">
        <v>214298</v>
      </c>
      <c r="E13" s="466">
        <v>41558</v>
      </c>
      <c r="F13" s="466">
        <v>121339</v>
      </c>
      <c r="G13" s="466"/>
      <c r="H13" s="466"/>
      <c r="I13" s="467">
        <v>27156</v>
      </c>
      <c r="J13" s="467"/>
      <c r="K13" s="1671">
        <f t="shared" si="0"/>
        <v>1041041</v>
      </c>
      <c r="L13" s="466">
        <v>1048869</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95" customHeight="1" x14ac:dyDescent="0.2">
      <c r="A24" s="1505" t="s">
        <v>742</v>
      </c>
      <c r="B24" s="602" t="s">
        <v>729</v>
      </c>
      <c r="C24" s="477"/>
      <c r="D24" s="477"/>
      <c r="E24" s="477"/>
      <c r="F24" s="477"/>
      <c r="G24" s="477"/>
      <c r="H24" s="474"/>
      <c r="I24" s="616"/>
      <c r="J24" s="477"/>
      <c r="K24" s="1671">
        <f t="shared" si="0"/>
        <v>0</v>
      </c>
      <c r="L24" s="471"/>
    </row>
    <row r="25" spans="1:12" ht="12.9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95" customHeight="1" thickBot="1" x14ac:dyDescent="0.25">
      <c r="A33" s="1668" t="s">
        <v>1668</v>
      </c>
      <c r="B33" s="1669" t="s">
        <v>570</v>
      </c>
      <c r="C33" s="1670">
        <f>SUM(C5:C32)</f>
        <v>638497</v>
      </c>
      <c r="D33" s="1670">
        <f t="shared" ref="D33:L33" si="1">SUM(D5:D32)</f>
        <v>214543</v>
      </c>
      <c r="E33" s="1670">
        <f t="shared" si="1"/>
        <v>42094</v>
      </c>
      <c r="F33" s="1670">
        <f t="shared" si="1"/>
        <v>121339</v>
      </c>
      <c r="G33" s="1670">
        <f t="shared" si="1"/>
        <v>0</v>
      </c>
      <c r="H33" s="1670">
        <f t="shared" si="1"/>
        <v>0</v>
      </c>
      <c r="I33" s="1670">
        <f t="shared" si="1"/>
        <v>27156</v>
      </c>
      <c r="J33" s="1670">
        <f t="shared" si="1"/>
        <v>0</v>
      </c>
      <c r="K33" s="1670">
        <f t="shared" si="1"/>
        <v>1043629</v>
      </c>
      <c r="L33" s="1670">
        <f t="shared" si="1"/>
        <v>1058019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37105</v>
      </c>
      <c r="D37" s="466">
        <v>13989</v>
      </c>
      <c r="E37" s="466">
        <v>30453</v>
      </c>
      <c r="F37" s="466">
        <v>3615</v>
      </c>
      <c r="G37" s="466"/>
      <c r="H37" s="466"/>
      <c r="I37" s="467"/>
      <c r="J37" s="467"/>
      <c r="K37" s="1671">
        <f t="shared" si="2"/>
        <v>85162</v>
      </c>
      <c r="L37" s="466">
        <v>82985</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95" customHeight="1" thickBot="1" x14ac:dyDescent="0.25">
      <c r="A42" s="1668" t="s">
        <v>560</v>
      </c>
      <c r="B42" s="1669" t="s">
        <v>716</v>
      </c>
      <c r="C42" s="1670">
        <f>SUM(C36:C41)</f>
        <v>37105</v>
      </c>
      <c r="D42" s="1670">
        <f t="shared" ref="D42:L42" si="3">SUM(D36:D41)</f>
        <v>13989</v>
      </c>
      <c r="E42" s="1670">
        <f t="shared" si="3"/>
        <v>30453</v>
      </c>
      <c r="F42" s="1670">
        <f t="shared" si="3"/>
        <v>3615</v>
      </c>
      <c r="G42" s="1670">
        <f t="shared" si="3"/>
        <v>0</v>
      </c>
      <c r="H42" s="1670">
        <f t="shared" si="3"/>
        <v>0</v>
      </c>
      <c r="I42" s="1670">
        <f t="shared" si="3"/>
        <v>0</v>
      </c>
      <c r="J42" s="1670">
        <f t="shared" si="3"/>
        <v>0</v>
      </c>
      <c r="K42" s="1670">
        <f t="shared" si="3"/>
        <v>85162</v>
      </c>
      <c r="L42" s="1670">
        <f t="shared" si="3"/>
        <v>82985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18934+13161</f>
        <v>32095</v>
      </c>
      <c r="D44" s="481">
        <f>2885</f>
        <v>2885</v>
      </c>
      <c r="E44" s="481">
        <f>2541+207+3797</f>
        <v>6545</v>
      </c>
      <c r="F44" s="481"/>
      <c r="G44" s="481"/>
      <c r="H44" s="481"/>
      <c r="I44" s="467"/>
      <c r="J44" s="467"/>
      <c r="K44" s="1672">
        <f>SUM(C44:J44)</f>
        <v>41525</v>
      </c>
      <c r="L44" s="481">
        <v>55918</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7059</v>
      </c>
      <c r="F46" s="466"/>
      <c r="G46" s="466"/>
      <c r="H46" s="466"/>
      <c r="I46" s="467"/>
      <c r="J46" s="467"/>
      <c r="K46" s="1672">
        <f>SUM(C46:J46)</f>
        <v>7059</v>
      </c>
      <c r="L46" s="466">
        <v>4208</v>
      </c>
    </row>
    <row r="47" spans="1:14" ht="12.95" customHeight="1" thickBot="1" x14ac:dyDescent="0.25">
      <c r="A47" s="1668" t="s">
        <v>561</v>
      </c>
      <c r="B47" s="1669" t="s">
        <v>32</v>
      </c>
      <c r="C47" s="1670">
        <f>SUM(C44:C46)</f>
        <v>32095</v>
      </c>
      <c r="D47" s="1670">
        <f t="shared" ref="D47:K47" si="4">SUM(D44:D46)</f>
        <v>2885</v>
      </c>
      <c r="E47" s="1670">
        <f t="shared" si="4"/>
        <v>13604</v>
      </c>
      <c r="F47" s="1670">
        <f t="shared" si="4"/>
        <v>0</v>
      </c>
      <c r="G47" s="1670">
        <f t="shared" si="4"/>
        <v>0</v>
      </c>
      <c r="H47" s="1670">
        <f t="shared" si="4"/>
        <v>0</v>
      </c>
      <c r="I47" s="1670">
        <f t="shared" si="4"/>
        <v>0</v>
      </c>
      <c r="J47" s="1670">
        <f t="shared" si="4"/>
        <v>0</v>
      </c>
      <c r="K47" s="1670">
        <f t="shared" si="4"/>
        <v>48584</v>
      </c>
      <c r="L47" s="1670">
        <f>SUM(L44:L46)</f>
        <v>60126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42516</v>
      </c>
      <c r="D49" s="481">
        <v>29010</v>
      </c>
      <c r="E49" s="481">
        <v>68445</v>
      </c>
      <c r="F49" s="481">
        <v>1434</v>
      </c>
      <c r="G49" s="481"/>
      <c r="H49" s="481">
        <v>6586</v>
      </c>
      <c r="I49" s="467"/>
      <c r="J49" s="467"/>
      <c r="K49" s="1672">
        <f>SUM(C49:J49)</f>
        <v>147991</v>
      </c>
      <c r="L49" s="481">
        <v>153191</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95" customHeight="1" thickBot="1" x14ac:dyDescent="0.25">
      <c r="A53" s="1668" t="s">
        <v>717</v>
      </c>
      <c r="B53" s="1669" t="s">
        <v>33</v>
      </c>
      <c r="C53" s="1670">
        <f>SUM(C49:C52)</f>
        <v>42516</v>
      </c>
      <c r="D53" s="1670">
        <f t="shared" ref="D53:L53" si="5">SUM(D49:D52)</f>
        <v>29010</v>
      </c>
      <c r="E53" s="1670">
        <f t="shared" si="5"/>
        <v>68445</v>
      </c>
      <c r="F53" s="1670">
        <f t="shared" si="5"/>
        <v>1434</v>
      </c>
      <c r="G53" s="1670">
        <f t="shared" si="5"/>
        <v>0</v>
      </c>
      <c r="H53" s="1670">
        <f t="shared" si="5"/>
        <v>6586</v>
      </c>
      <c r="I53" s="1670">
        <f t="shared" si="5"/>
        <v>0</v>
      </c>
      <c r="J53" s="1670">
        <f t="shared" si="5"/>
        <v>0</v>
      </c>
      <c r="K53" s="1670">
        <f t="shared" si="5"/>
        <v>147991</v>
      </c>
      <c r="L53" s="1670">
        <f t="shared" si="5"/>
        <v>153191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95000+28433</f>
        <v>123433</v>
      </c>
      <c r="D55" s="481">
        <v>27097</v>
      </c>
      <c r="E55" s="481">
        <v>799</v>
      </c>
      <c r="F55" s="481">
        <v>289</v>
      </c>
      <c r="G55" s="481"/>
      <c r="H55" s="481">
        <v>1475</v>
      </c>
      <c r="I55" s="467">
        <v>1253</v>
      </c>
      <c r="J55" s="467"/>
      <c r="K55" s="1672">
        <f>SUM(C55:J55)</f>
        <v>154346</v>
      </c>
      <c r="L55" s="481">
        <v>150282</v>
      </c>
    </row>
    <row r="56" spans="1:14" ht="12.95" customHeight="1" x14ac:dyDescent="0.2">
      <c r="A56" s="1508" t="s">
        <v>376</v>
      </c>
      <c r="B56" s="628">
        <v>2490</v>
      </c>
      <c r="C56" s="466"/>
      <c r="D56" s="466"/>
      <c r="E56" s="466"/>
      <c r="F56" s="466"/>
      <c r="G56" s="466"/>
      <c r="H56" s="466"/>
      <c r="I56" s="467"/>
      <c r="J56" s="467"/>
      <c r="K56" s="1672">
        <f>SUM(C56:J56)</f>
        <v>0</v>
      </c>
      <c r="L56" s="466"/>
    </row>
    <row r="57" spans="1:14" s="343" customFormat="1" ht="12.95" customHeight="1" thickBot="1" x14ac:dyDescent="0.25">
      <c r="A57" s="1668" t="s">
        <v>263</v>
      </c>
      <c r="B57" s="1673" t="s">
        <v>34</v>
      </c>
      <c r="C57" s="1674">
        <f>SUM(C55:C56)</f>
        <v>123433</v>
      </c>
      <c r="D57" s="1674">
        <f t="shared" ref="D57:K57" si="6">SUM(D55:D56)</f>
        <v>27097</v>
      </c>
      <c r="E57" s="1674">
        <f t="shared" si="6"/>
        <v>799</v>
      </c>
      <c r="F57" s="1674">
        <f t="shared" si="6"/>
        <v>289</v>
      </c>
      <c r="G57" s="1674">
        <f t="shared" si="6"/>
        <v>0</v>
      </c>
      <c r="H57" s="1674">
        <f t="shared" si="6"/>
        <v>1475</v>
      </c>
      <c r="I57" s="1674">
        <f t="shared" si="6"/>
        <v>1253</v>
      </c>
      <c r="J57" s="1674">
        <f t="shared" si="6"/>
        <v>0</v>
      </c>
      <c r="K57" s="1674">
        <f t="shared" si="6"/>
        <v>154346</v>
      </c>
      <c r="L57" s="1670">
        <f>SUM(L55:L56)</f>
        <v>150282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v>1860</v>
      </c>
      <c r="F59" s="481"/>
      <c r="G59" s="481"/>
      <c r="H59" s="481"/>
      <c r="I59" s="467"/>
      <c r="J59" s="467"/>
      <c r="K59" s="1672">
        <f t="shared" ref="K59:K64" si="7">SUM(C59:J59)</f>
        <v>1860</v>
      </c>
      <c r="L59" s="481">
        <v>2300</v>
      </c>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95" customHeight="1" thickBot="1" x14ac:dyDescent="0.25">
      <c r="A65" s="1668" t="s">
        <v>719</v>
      </c>
      <c r="B65" s="1669" t="s">
        <v>35</v>
      </c>
      <c r="C65" s="1670">
        <f>SUM(C59:C64)</f>
        <v>0</v>
      </c>
      <c r="D65" s="1670">
        <f t="shared" ref="D65:L65" si="8">SUM(D59:D64)</f>
        <v>0</v>
      </c>
      <c r="E65" s="1670">
        <f t="shared" si="8"/>
        <v>1860</v>
      </c>
      <c r="F65" s="1670">
        <f t="shared" si="8"/>
        <v>0</v>
      </c>
      <c r="G65" s="1670">
        <f t="shared" si="8"/>
        <v>0</v>
      </c>
      <c r="H65" s="1670">
        <f t="shared" si="8"/>
        <v>0</v>
      </c>
      <c r="I65" s="1670">
        <f t="shared" si="8"/>
        <v>0</v>
      </c>
      <c r="J65" s="1670">
        <f t="shared" si="8"/>
        <v>0</v>
      </c>
      <c r="K65" s="1670">
        <f t="shared" si="8"/>
        <v>1860</v>
      </c>
      <c r="L65" s="1670">
        <f t="shared" si="8"/>
        <v>2300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9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95" customHeight="1" thickTop="1" thickBot="1" x14ac:dyDescent="0.25">
      <c r="A74" s="1668" t="s">
        <v>811</v>
      </c>
      <c r="B74" s="1676">
        <v>2000</v>
      </c>
      <c r="C74" s="1677">
        <f>SUM(C42,C47,C53,C57,C65,C72,C73)</f>
        <v>235149</v>
      </c>
      <c r="D74" s="1677">
        <f t="shared" ref="D74:K74" si="10">SUM(D42,D47,D53,D57,D65,D72,D73)</f>
        <v>72981</v>
      </c>
      <c r="E74" s="1677">
        <f t="shared" si="10"/>
        <v>115161</v>
      </c>
      <c r="F74" s="1677">
        <f t="shared" si="10"/>
        <v>5338</v>
      </c>
      <c r="G74" s="1677">
        <f t="shared" si="10"/>
        <v>0</v>
      </c>
      <c r="H74" s="1677">
        <f t="shared" si="10"/>
        <v>8061</v>
      </c>
      <c r="I74" s="1677">
        <f t="shared" si="10"/>
        <v>1253</v>
      </c>
      <c r="J74" s="1677">
        <f t="shared" si="10"/>
        <v>0</v>
      </c>
      <c r="K74" s="1677">
        <f t="shared" si="10"/>
        <v>437943</v>
      </c>
      <c r="L74" s="1677">
        <f>SUM(L42,L47,L53,L57,L65,L72,L73)</f>
        <v>448884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281532</v>
      </c>
      <c r="I81" s="477"/>
      <c r="J81" s="477"/>
      <c r="K81" s="1671">
        <f t="shared" si="11"/>
        <v>281532</v>
      </c>
      <c r="L81" s="466">
        <v>186523</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34800</v>
      </c>
      <c r="F83" s="616"/>
      <c r="G83" s="616"/>
      <c r="H83" s="466"/>
      <c r="I83" s="477"/>
      <c r="J83" s="477"/>
      <c r="K83" s="1671">
        <f t="shared" si="11"/>
        <v>34800</v>
      </c>
      <c r="L83" s="466">
        <v>34800</v>
      </c>
    </row>
    <row r="84" spans="1:12" ht="13.5" thickBot="1" x14ac:dyDescent="0.25">
      <c r="A84" s="1668" t="s">
        <v>1485</v>
      </c>
      <c r="B84" s="1678">
        <v>4100</v>
      </c>
      <c r="C84" s="616"/>
      <c r="D84" s="616"/>
      <c r="E84" s="1670">
        <f>SUM(E78:E83)</f>
        <v>34800</v>
      </c>
      <c r="F84" s="616"/>
      <c r="G84" s="616"/>
      <c r="H84" s="1670">
        <f>SUM(H78:H83)</f>
        <v>281532</v>
      </c>
      <c r="I84" s="477"/>
      <c r="J84" s="477"/>
      <c r="K84" s="1670">
        <f>SUM(K78:K83)</f>
        <v>316332</v>
      </c>
      <c r="L84" s="1670">
        <f>SUM(L78:L83)</f>
        <v>221323</v>
      </c>
    </row>
    <row r="85" spans="1:12" ht="12.95" customHeight="1" thickTop="1" thickBot="1" x14ac:dyDescent="0.25">
      <c r="A85" s="1511" t="s">
        <v>255</v>
      </c>
      <c r="B85" s="635">
        <v>4210</v>
      </c>
      <c r="C85" s="616"/>
      <c r="D85" s="616"/>
      <c r="E85" s="636"/>
      <c r="F85" s="616"/>
      <c r="G85" s="616"/>
      <c r="H85" s="535"/>
      <c r="I85" s="477"/>
      <c r="J85" s="477"/>
      <c r="K85" s="1677">
        <f>H85</f>
        <v>0</v>
      </c>
      <c r="L85" s="530"/>
    </row>
    <row r="86" spans="1:12" ht="12.9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95" customHeight="1" thickTop="1" thickBot="1" x14ac:dyDescent="0.25">
      <c r="A88" s="1513" t="s">
        <v>765</v>
      </c>
      <c r="B88" s="639">
        <v>4240</v>
      </c>
      <c r="C88" s="616"/>
      <c r="D88" s="616"/>
      <c r="E88" s="638"/>
      <c r="F88" s="616"/>
      <c r="G88" s="616"/>
      <c r="H88" s="467"/>
      <c r="I88" s="477"/>
      <c r="J88" s="477"/>
      <c r="K88" s="1677">
        <f t="shared" si="12"/>
        <v>0</v>
      </c>
      <c r="L88" s="530"/>
    </row>
    <row r="89" spans="1:12" ht="12.95" customHeight="1" thickTop="1" thickBot="1" x14ac:dyDescent="0.25">
      <c r="A89" s="1513" t="s">
        <v>701</v>
      </c>
      <c r="B89" s="639">
        <v>4270</v>
      </c>
      <c r="C89" s="616"/>
      <c r="D89" s="616"/>
      <c r="E89" s="638"/>
      <c r="F89" s="616"/>
      <c r="G89" s="616"/>
      <c r="H89" s="467"/>
      <c r="I89" s="477"/>
      <c r="J89" s="477"/>
      <c r="K89" s="1677">
        <f t="shared" si="12"/>
        <v>0</v>
      </c>
      <c r="L89" s="530"/>
    </row>
    <row r="90" spans="1:12" ht="12.95" customHeight="1" thickTop="1" thickBot="1" x14ac:dyDescent="0.25">
      <c r="A90" s="1513" t="s">
        <v>686</v>
      </c>
      <c r="B90" s="639">
        <v>4280</v>
      </c>
      <c r="C90" s="616"/>
      <c r="D90" s="616"/>
      <c r="E90" s="638"/>
      <c r="F90" s="616"/>
      <c r="G90" s="616"/>
      <c r="H90" s="467"/>
      <c r="I90" s="477"/>
      <c r="J90" s="477"/>
      <c r="K90" s="1677">
        <f t="shared" si="12"/>
        <v>0</v>
      </c>
      <c r="L90" s="530"/>
    </row>
    <row r="91" spans="1:12" ht="12.9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9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9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9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95" customHeight="1" thickTop="1" thickBot="1" x14ac:dyDescent="0.25">
      <c r="A102" s="1668" t="s">
        <v>1487</v>
      </c>
      <c r="B102" s="1678">
        <v>4000</v>
      </c>
      <c r="C102" s="616"/>
      <c r="D102" s="616"/>
      <c r="E102" s="1677">
        <f>SUM(E84,E92,E100,E101)</f>
        <v>34800</v>
      </c>
      <c r="F102" s="616"/>
      <c r="G102" s="616"/>
      <c r="H102" s="1677">
        <f>SUM(H84,H92,H100,H101)</f>
        <v>281532</v>
      </c>
      <c r="I102" s="477"/>
      <c r="J102" s="477"/>
      <c r="K102" s="1677">
        <f>SUM(K84,K92,K100,K101)</f>
        <v>316332</v>
      </c>
      <c r="L102" s="1677">
        <f>SUM(L84,L92,L100,L101)</f>
        <v>221323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9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9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9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9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95" customHeight="1" thickTop="1" thickBot="1" x14ac:dyDescent="0.25">
      <c r="A114" s="1668" t="s">
        <v>48</v>
      </c>
      <c r="B114" s="1682"/>
      <c r="C114" s="1670">
        <f>SUM(C33,C74,C75,C102,C112,C113)</f>
        <v>873646</v>
      </c>
      <c r="D114" s="1670">
        <f t="shared" ref="D114:K114" si="13">SUM(D33,D74,D75,D102,D112,D113)</f>
        <v>287524</v>
      </c>
      <c r="E114" s="1670">
        <f t="shared" si="13"/>
        <v>192055</v>
      </c>
      <c r="F114" s="1670">
        <f t="shared" si="13"/>
        <v>126677</v>
      </c>
      <c r="G114" s="1670">
        <f t="shared" si="13"/>
        <v>0</v>
      </c>
      <c r="H114" s="1670">
        <f>SUM(H33,H74,H75,H102,H112,H113)</f>
        <v>289593</v>
      </c>
      <c r="I114" s="1670">
        <f t="shared" si="13"/>
        <v>28409</v>
      </c>
      <c r="J114" s="1670">
        <f t="shared" si="13"/>
        <v>0</v>
      </c>
      <c r="K114" s="1670">
        <f t="shared" si="13"/>
        <v>1797904</v>
      </c>
      <c r="L114" s="1670">
        <f>SUM(L33,L74,L75,L102,L112,L113)</f>
        <v>1728226</v>
      </c>
    </row>
    <row r="115" spans="1:14" ht="13.5" thickTop="1" x14ac:dyDescent="0.2">
      <c r="A115" s="2164" t="s">
        <v>996</v>
      </c>
      <c r="B115" s="2165"/>
      <c r="C115" s="618"/>
      <c r="D115" s="618"/>
      <c r="E115" s="618"/>
      <c r="F115" s="618"/>
      <c r="G115" s="618"/>
      <c r="H115" s="618"/>
      <c r="I115" s="618"/>
      <c r="J115" s="618"/>
      <c r="K115" s="1684">
        <f>'Revenues 9-14'!C268-'Expenditures 15-22'!K114</f>
        <v>-138551</v>
      </c>
      <c r="L115" s="618"/>
    </row>
    <row r="116" spans="1:14" s="180" customFormat="1" ht="9.1999999999999993"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9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v>2500</v>
      </c>
    </row>
    <row r="124" spans="1:14" ht="14.25" thickTop="1" thickBot="1" x14ac:dyDescent="0.25">
      <c r="A124" s="1504" t="s">
        <v>197</v>
      </c>
      <c r="B124" s="614">
        <v>2540</v>
      </c>
      <c r="C124" s="466">
        <v>61031</v>
      </c>
      <c r="D124" s="466">
        <f>24136+65</f>
        <v>24201</v>
      </c>
      <c r="E124" s="466">
        <v>99830</v>
      </c>
      <c r="F124" s="466">
        <v>25000</v>
      </c>
      <c r="G124" s="466">
        <v>119230</v>
      </c>
      <c r="H124" s="466">
        <v>203</v>
      </c>
      <c r="I124" s="467">
        <v>21798</v>
      </c>
      <c r="J124" s="467"/>
      <c r="K124" s="1670">
        <f>SUM(C124:J124)</f>
        <v>351293</v>
      </c>
      <c r="L124" s="466">
        <v>228000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95" customHeight="1" thickTop="1" thickBot="1" x14ac:dyDescent="0.25">
      <c r="A127" s="1668" t="s">
        <v>719</v>
      </c>
      <c r="B127" s="1669" t="s">
        <v>35</v>
      </c>
      <c r="C127" s="1670">
        <f>SUM(C122:C126)</f>
        <v>61031</v>
      </c>
      <c r="D127" s="1670">
        <f t="shared" ref="D127:L127" si="14">SUM(D122:D126)</f>
        <v>24201</v>
      </c>
      <c r="E127" s="1670">
        <f t="shared" si="14"/>
        <v>99830</v>
      </c>
      <c r="F127" s="1670">
        <f t="shared" si="14"/>
        <v>25000</v>
      </c>
      <c r="G127" s="1670">
        <f t="shared" si="14"/>
        <v>119230</v>
      </c>
      <c r="H127" s="1670">
        <f t="shared" si="14"/>
        <v>203</v>
      </c>
      <c r="I127" s="1670">
        <f t="shared" si="14"/>
        <v>21798</v>
      </c>
      <c r="J127" s="1670">
        <f t="shared" si="14"/>
        <v>0</v>
      </c>
      <c r="K127" s="1670">
        <f t="shared" si="14"/>
        <v>351293</v>
      </c>
      <c r="L127" s="1670">
        <f t="shared" si="14"/>
        <v>230500</v>
      </c>
    </row>
    <row r="128" spans="1:14" ht="12.95" customHeight="1" thickTop="1" x14ac:dyDescent="0.2">
      <c r="A128" s="1511" t="s">
        <v>980</v>
      </c>
      <c r="B128" s="655" t="s">
        <v>574</v>
      </c>
      <c r="C128" s="656"/>
      <c r="D128" s="656"/>
      <c r="E128" s="656"/>
      <c r="F128" s="656"/>
      <c r="G128" s="656"/>
      <c r="H128" s="656"/>
      <c r="I128" s="535"/>
      <c r="J128" s="535"/>
      <c r="K128" s="1685">
        <f>SUM(C128:J128)</f>
        <v>0</v>
      </c>
      <c r="L128" s="656"/>
    </row>
    <row r="129" spans="1:14" ht="12.95" customHeight="1" thickBot="1" x14ac:dyDescent="0.25">
      <c r="A129" s="1686" t="s">
        <v>811</v>
      </c>
      <c r="B129" s="1687" t="s">
        <v>569</v>
      </c>
      <c r="C129" s="1677">
        <f>SUM(C120,C127,C128)</f>
        <v>61031</v>
      </c>
      <c r="D129" s="1677">
        <f t="shared" ref="D129:L129" si="15">SUM(D120,D127,D128)</f>
        <v>24201</v>
      </c>
      <c r="E129" s="1677">
        <f t="shared" si="15"/>
        <v>99830</v>
      </c>
      <c r="F129" s="1677">
        <f t="shared" si="15"/>
        <v>25000</v>
      </c>
      <c r="G129" s="1677">
        <f t="shared" si="15"/>
        <v>119230</v>
      </c>
      <c r="H129" s="1677">
        <f t="shared" si="15"/>
        <v>203</v>
      </c>
      <c r="I129" s="1677">
        <f t="shared" si="15"/>
        <v>21798</v>
      </c>
      <c r="J129" s="1677">
        <f t="shared" si="15"/>
        <v>0</v>
      </c>
      <c r="K129" s="1677">
        <f t="shared" si="15"/>
        <v>351293</v>
      </c>
      <c r="L129" s="1677">
        <f t="shared" si="15"/>
        <v>230500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9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95" customHeight="1" thickTop="1" thickBot="1" x14ac:dyDescent="0.25">
      <c r="A138" s="1510" t="s">
        <v>96</v>
      </c>
      <c r="B138" s="643" t="s">
        <v>931</v>
      </c>
      <c r="C138" s="616"/>
      <c r="D138" s="616"/>
      <c r="E138" s="479"/>
      <c r="F138" s="616"/>
      <c r="G138" s="616"/>
      <c r="H138" s="576"/>
      <c r="I138" s="477"/>
      <c r="J138" s="616"/>
      <c r="K138" s="1672">
        <f>SUM(E138,H138)</f>
        <v>0</v>
      </c>
      <c r="L138" s="576"/>
    </row>
    <row r="139" spans="1:14" ht="12.9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9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95" customHeight="1" x14ac:dyDescent="0.2">
      <c r="A146" s="1504" t="s">
        <v>619</v>
      </c>
      <c r="B146" s="614" t="s">
        <v>618</v>
      </c>
      <c r="C146" s="616"/>
      <c r="D146" s="616"/>
      <c r="E146" s="616"/>
      <c r="F146" s="616"/>
      <c r="G146" s="616"/>
      <c r="H146" s="466"/>
      <c r="I146" s="468"/>
      <c r="J146" s="616"/>
      <c r="K146" s="1672">
        <f>SUM(H146)</f>
        <v>0</v>
      </c>
      <c r="L146" s="466"/>
    </row>
    <row r="147" spans="1:14" ht="12.9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9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95" customHeight="1" thickTop="1" thickBot="1" x14ac:dyDescent="0.25">
      <c r="A151" s="2181" t="s">
        <v>620</v>
      </c>
      <c r="B151" s="2161"/>
      <c r="C151" s="1670">
        <f>SUM(C129,C130,C139,C149,C150)</f>
        <v>61031</v>
      </c>
      <c r="D151" s="1670">
        <f t="shared" ref="D151:K151" si="16">SUM(D129,D130,D139,D149,D150)</f>
        <v>24201</v>
      </c>
      <c r="E151" s="1670">
        <f t="shared" si="16"/>
        <v>99830</v>
      </c>
      <c r="F151" s="1670">
        <f t="shared" si="16"/>
        <v>25000</v>
      </c>
      <c r="G151" s="1670">
        <f t="shared" si="16"/>
        <v>119230</v>
      </c>
      <c r="H151" s="1670">
        <f t="shared" si="16"/>
        <v>203</v>
      </c>
      <c r="I151" s="1670">
        <f t="shared" si="16"/>
        <v>21798</v>
      </c>
      <c r="J151" s="1670">
        <f t="shared" si="16"/>
        <v>0</v>
      </c>
      <c r="K151" s="1670">
        <f t="shared" si="16"/>
        <v>351293</v>
      </c>
      <c r="L151" s="1670">
        <f>SUM(L129,L130,L139,L149,L150)</f>
        <v>230500</v>
      </c>
    </row>
    <row r="152" spans="1:14" ht="12.95" customHeight="1" thickTop="1" x14ac:dyDescent="0.2">
      <c r="A152" s="2184" t="s">
        <v>1178</v>
      </c>
      <c r="B152" s="2185"/>
      <c r="C152" s="618"/>
      <c r="D152" s="618"/>
      <c r="E152" s="618"/>
      <c r="F152" s="618"/>
      <c r="G152" s="618"/>
      <c r="H152" s="618"/>
      <c r="I152" s="618"/>
      <c r="J152" s="616"/>
      <c r="K152" s="1684">
        <f>'Revenues 9-14'!D268-'Expenditures 15-22'!K151</f>
        <v>-57666</v>
      </c>
      <c r="L152" s="618"/>
    </row>
    <row r="153" spans="1:14" s="666" customFormat="1" ht="9.1999999999999993"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9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9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9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9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4" t="s">
        <v>996</v>
      </c>
      <c r="B175" s="2165"/>
      <c r="C175" s="616"/>
      <c r="D175" s="616"/>
      <c r="E175" s="616"/>
      <c r="F175" s="616"/>
      <c r="G175" s="616"/>
      <c r="H175" s="618"/>
      <c r="I175" s="616"/>
      <c r="J175" s="616"/>
      <c r="K175" s="1684">
        <f>'Revenues 9-14'!E268-'Expenditures 15-22'!K174</f>
        <v>0</v>
      </c>
      <c r="L175" s="618"/>
    </row>
    <row r="176" spans="1:14" s="666" customFormat="1" ht="9.1999999999999993"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9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95" customHeight="1" x14ac:dyDescent="0.2">
      <c r="A182" s="1504" t="s">
        <v>953</v>
      </c>
      <c r="B182" s="614">
        <v>2550</v>
      </c>
      <c r="C182" s="466">
        <v>5225</v>
      </c>
      <c r="D182" s="466">
        <v>697</v>
      </c>
      <c r="E182" s="466">
        <v>874</v>
      </c>
      <c r="F182" s="466">
        <v>598</v>
      </c>
      <c r="G182" s="466"/>
      <c r="H182" s="466"/>
      <c r="I182" s="467"/>
      <c r="J182" s="467"/>
      <c r="K182" s="1671">
        <f>SUM(C182:J182)</f>
        <v>7394</v>
      </c>
      <c r="L182" s="466">
        <v>8071</v>
      </c>
    </row>
    <row r="183" spans="1:14" ht="12.95" customHeight="1" thickBot="1" x14ac:dyDescent="0.25">
      <c r="A183" s="1509" t="s">
        <v>980</v>
      </c>
      <c r="B183" s="677">
        <v>2900</v>
      </c>
      <c r="C183" s="573"/>
      <c r="D183" s="573"/>
      <c r="E183" s="573"/>
      <c r="F183" s="573"/>
      <c r="G183" s="573"/>
      <c r="H183" s="573"/>
      <c r="I183" s="532"/>
      <c r="J183" s="532"/>
      <c r="K183" s="1677">
        <f>SUM(C183:J183)</f>
        <v>0</v>
      </c>
      <c r="L183" s="573"/>
    </row>
    <row r="184" spans="1:14" ht="12.95" customHeight="1" thickTop="1" thickBot="1" x14ac:dyDescent="0.25">
      <c r="A184" s="1691" t="s">
        <v>811</v>
      </c>
      <c r="B184" s="1669" t="s">
        <v>569</v>
      </c>
      <c r="C184" s="1677">
        <f>SUM(C180,C182,C183)</f>
        <v>5225</v>
      </c>
      <c r="D184" s="1677">
        <f t="shared" ref="D184:J184" si="17">SUM(D180,D182,D183)</f>
        <v>697</v>
      </c>
      <c r="E184" s="1677">
        <f t="shared" si="17"/>
        <v>874</v>
      </c>
      <c r="F184" s="1677">
        <f t="shared" si="17"/>
        <v>598</v>
      </c>
      <c r="G184" s="1677">
        <f t="shared" si="17"/>
        <v>0</v>
      </c>
      <c r="H184" s="1677">
        <f t="shared" si="17"/>
        <v>0</v>
      </c>
      <c r="I184" s="1677">
        <f t="shared" si="17"/>
        <v>0</v>
      </c>
      <c r="J184" s="1677">
        <f t="shared" si="17"/>
        <v>0</v>
      </c>
      <c r="K184" s="1677">
        <f>SUM(K180,K182,K183)</f>
        <v>7394</v>
      </c>
      <c r="L184" s="1677">
        <f>SUM(L180, L182:L183)</f>
        <v>8071</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9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9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9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9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95" customHeight="1" thickTop="1" thickBot="1" x14ac:dyDescent="0.25">
      <c r="A210" s="1692" t="s">
        <v>277</v>
      </c>
      <c r="B210" s="1693"/>
      <c r="C210" s="1670">
        <f>SUM(C184,C185)</f>
        <v>5225</v>
      </c>
      <c r="D210" s="1670">
        <f>SUM(D184,D185)</f>
        <v>697</v>
      </c>
      <c r="E210" s="1670">
        <f>SUM(E184,E185,E196)</f>
        <v>874</v>
      </c>
      <c r="F210" s="1670">
        <f>SUM(F184,F185)</f>
        <v>598</v>
      </c>
      <c r="G210" s="1670">
        <f>SUM(G184,G185)</f>
        <v>0</v>
      </c>
      <c r="H210" s="1670">
        <f>SUM(H184,H185,H196,H208,H209)</f>
        <v>0</v>
      </c>
      <c r="I210" s="1670">
        <f>SUM(I184,I185)</f>
        <v>0</v>
      </c>
      <c r="J210" s="1670">
        <f>SUM(J184,J185)</f>
        <v>0</v>
      </c>
      <c r="K210" s="1671">
        <f>SUM(K184,K185,K196,K208,K209)</f>
        <v>7394</v>
      </c>
      <c r="L210" s="1670">
        <f>SUM(L184,L185,L196,L208,L209)</f>
        <v>8071</v>
      </c>
    </row>
    <row r="211" spans="1:14" ht="13.5" thickTop="1" x14ac:dyDescent="0.2">
      <c r="A211" s="2164" t="s">
        <v>996</v>
      </c>
      <c r="B211" s="2165"/>
      <c r="C211" s="618"/>
      <c r="D211" s="618"/>
      <c r="E211" s="618"/>
      <c r="F211" s="618"/>
      <c r="G211" s="618"/>
      <c r="H211" s="618"/>
      <c r="I211" s="616"/>
      <c r="J211" s="616"/>
      <c r="K211" s="1684">
        <f>'Revenues 9-14'!F268-'Expenditures 15-22'!K210</f>
        <v>9237</v>
      </c>
      <c r="L211" s="618"/>
    </row>
    <row r="212" spans="1:14" s="666" customFormat="1" ht="9.1999999999999993"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9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9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9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9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9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9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9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9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9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9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9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95" customHeight="1" thickTop="1" thickBot="1" x14ac:dyDescent="0.25">
      <c r="A295" s="2182" t="s">
        <v>505</v>
      </c>
      <c r="B295" s="218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64" t="s">
        <v>996</v>
      </c>
      <c r="B296" s="2165"/>
      <c r="C296" s="616"/>
      <c r="D296" s="618"/>
      <c r="E296" s="616"/>
      <c r="F296" s="616"/>
      <c r="G296" s="616"/>
      <c r="H296" s="687"/>
      <c r="I296" s="616"/>
      <c r="J296" s="616"/>
      <c r="K296" s="1684">
        <f>'Revenues 9-14'!G268-'Expenditures 15-22'!K295</f>
        <v>0</v>
      </c>
      <c r="L296" s="687"/>
    </row>
    <row r="297" spans="1:14" s="666" customFormat="1" ht="9.1999999999999993"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9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95" customHeight="1" x14ac:dyDescent="0.2">
      <c r="A309" s="1508" t="s">
        <v>698</v>
      </c>
      <c r="B309" s="628">
        <v>4190</v>
      </c>
      <c r="C309" s="616"/>
      <c r="D309" s="616"/>
      <c r="E309" s="467"/>
      <c r="F309" s="616"/>
      <c r="G309" s="616"/>
      <c r="H309" s="467"/>
      <c r="I309" s="477"/>
      <c r="J309" s="616"/>
      <c r="K309" s="1671">
        <f>SUM(E309,H309)</f>
        <v>0</v>
      </c>
      <c r="L309" s="466"/>
    </row>
    <row r="310" spans="1:14" ht="12.9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95" customHeight="1" thickTop="1" thickBot="1" x14ac:dyDescent="0.25">
      <c r="A312" s="2179" t="s">
        <v>277</v>
      </c>
      <c r="B312" s="218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5" t="s">
        <v>996</v>
      </c>
      <c r="B313" s="2176"/>
      <c r="C313" s="626"/>
      <c r="D313" s="626"/>
      <c r="E313" s="626"/>
      <c r="F313" s="626"/>
      <c r="G313" s="626"/>
      <c r="H313" s="626"/>
      <c r="I313" s="626"/>
      <c r="J313" s="626"/>
      <c r="K313" s="1685">
        <f>'Revenues 9-14'!H268-'Expenditures 15-22'!K312</f>
        <v>0</v>
      </c>
      <c r="L313" s="626"/>
    </row>
    <row r="314" spans="1:14" s="666" customFormat="1" ht="9.1999999999999993"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6"/>
      <c r="D315" s="1557"/>
      <c r="E315" s="1557"/>
      <c r="F315" s="1557"/>
      <c r="G315" s="1557"/>
      <c r="H315" s="1557"/>
      <c r="I315" s="1557"/>
      <c r="J315" s="1557"/>
      <c r="K315" s="1557"/>
      <c r="L315" s="1558"/>
    </row>
    <row r="316" spans="1:14" s="674" customFormat="1" ht="9.1999999999999993"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9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9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9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9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9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9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9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95" customHeight="1" thickTop="1" x14ac:dyDescent="0.2">
      <c r="A343" s="2177" t="s">
        <v>996</v>
      </c>
      <c r="B343" s="217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9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95" customHeight="1" thickTop="1" x14ac:dyDescent="0.2">
      <c r="A351" s="1510" t="s">
        <v>980</v>
      </c>
      <c r="B351" s="643" t="s">
        <v>574</v>
      </c>
      <c r="C351" s="481"/>
      <c r="D351" s="481"/>
      <c r="E351" s="481"/>
      <c r="F351" s="481"/>
      <c r="G351" s="481"/>
      <c r="H351" s="481"/>
      <c r="I351" s="478"/>
      <c r="J351" s="478"/>
      <c r="K351" s="615">
        <f>SUM(C351:J351)</f>
        <v>0</v>
      </c>
      <c r="L351" s="481"/>
    </row>
    <row r="352" spans="1:14" ht="12.9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95" customHeight="1" x14ac:dyDescent="0.2">
      <c r="A355" s="1513" t="s">
        <v>1853</v>
      </c>
      <c r="B355" s="690" t="s">
        <v>1846</v>
      </c>
      <c r="C355" s="616"/>
      <c r="D355" s="616"/>
      <c r="E355" s="616"/>
      <c r="F355" s="616"/>
      <c r="G355" s="616"/>
      <c r="H355" s="467"/>
      <c r="I355" s="701"/>
      <c r="J355" s="616"/>
      <c r="K355" s="1743">
        <f>H355</f>
        <v>0</v>
      </c>
      <c r="L355" s="467"/>
    </row>
    <row r="356" spans="1:14" ht="12.95" customHeight="1" x14ac:dyDescent="0.2">
      <c r="A356" s="1834" t="s">
        <v>698</v>
      </c>
      <c r="B356" s="683" t="s">
        <v>558</v>
      </c>
      <c r="C356" s="616"/>
      <c r="D356" s="616"/>
      <c r="E356" s="616"/>
      <c r="F356" s="616"/>
      <c r="G356" s="616"/>
      <c r="H356" s="479"/>
      <c r="I356" s="701"/>
      <c r="J356" s="616"/>
      <c r="K356" s="1740">
        <f>H356</f>
        <v>0</v>
      </c>
      <c r="L356" s="479"/>
    </row>
    <row r="357" spans="1:14" ht="12.9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95" customHeight="1" x14ac:dyDescent="0.2">
      <c r="A361" s="1505" t="s">
        <v>619</v>
      </c>
      <c r="B361" s="602" t="s">
        <v>618</v>
      </c>
      <c r="C361" s="616"/>
      <c r="D361" s="616"/>
      <c r="E361" s="616"/>
      <c r="F361" s="616"/>
      <c r="G361" s="616"/>
      <c r="H361" s="467"/>
      <c r="I361" s="616"/>
      <c r="J361" s="616"/>
      <c r="K361" s="1671">
        <f>SUM(C361:J361)</f>
        <v>0</v>
      </c>
      <c r="L361" s="466"/>
    </row>
    <row r="362" spans="1:14" ht="12.9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9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9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4" t="s">
        <v>996</v>
      </c>
      <c r="B368" s="2165"/>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zoomScalePageLayoutView="110" workbookViewId="0">
      <selection activeCell="T25" sqref="T25:AA25"/>
    </sheetView>
  </sheetViews>
  <sheetFormatPr defaultColWidth="8.710937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8.7109375" style="329"/>
  </cols>
  <sheetData>
    <row r="1" spans="1:6" ht="33.75" customHeight="1" x14ac:dyDescent="0.2">
      <c r="A1" s="1883" t="s">
        <v>104</v>
      </c>
    </row>
    <row r="2" spans="1:6" ht="39.75" customHeight="1" x14ac:dyDescent="0.2">
      <c r="A2" s="2191" t="s">
        <v>1802</v>
      </c>
      <c r="B2" s="1528" t="s">
        <v>1949</v>
      </c>
      <c r="C2" s="714" t="s">
        <v>1950</v>
      </c>
      <c r="D2" s="714" t="s">
        <v>1951</v>
      </c>
      <c r="E2" s="714" t="s">
        <v>1952</v>
      </c>
      <c r="F2" s="714" t="s">
        <v>1953</v>
      </c>
    </row>
    <row r="3" spans="1:6" ht="12" customHeight="1" x14ac:dyDescent="0.2">
      <c r="A3" s="2192"/>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zoomScalePageLayoutView="110" workbookViewId="0">
      <selection activeCell="T25" sqref="T25:AA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13" t="s">
        <v>629</v>
      </c>
      <c r="B1" s="2211"/>
      <c r="C1" s="721"/>
    </row>
    <row r="2" spans="1:7" ht="33.75" x14ac:dyDescent="0.2">
      <c r="A2" s="2218" t="s">
        <v>1802</v>
      </c>
      <c r="B2" s="2219"/>
      <c r="C2" s="1884" t="s">
        <v>1954</v>
      </c>
      <c r="D2" s="723" t="s">
        <v>1955</v>
      </c>
      <c r="E2" s="723" t="s">
        <v>1956</v>
      </c>
      <c r="F2" s="1884" t="s">
        <v>1957</v>
      </c>
    </row>
    <row r="3" spans="1:7" ht="15.75" customHeight="1" x14ac:dyDescent="0.2">
      <c r="A3" s="2220" t="s">
        <v>1114</v>
      </c>
      <c r="B3" s="2221"/>
      <c r="C3" s="2214"/>
      <c r="D3" s="2215"/>
      <c r="E3" s="2215"/>
      <c r="F3" s="2216"/>
    </row>
    <row r="4" spans="1:7" ht="12.95" customHeight="1" thickBot="1" x14ac:dyDescent="0.25">
      <c r="A4" s="2208" t="s">
        <v>630</v>
      </c>
      <c r="B4" s="2209"/>
      <c r="C4" s="581"/>
      <c r="D4" s="581"/>
      <c r="E4" s="581"/>
      <c r="F4" s="1755">
        <f>SUM(C4+D4)-E4</f>
        <v>0</v>
      </c>
    </row>
    <row r="5" spans="1:7" ht="15.75" customHeight="1" thickTop="1" x14ac:dyDescent="0.2">
      <c r="A5" s="2212" t="s">
        <v>1110</v>
      </c>
      <c r="B5" s="2207"/>
      <c r="C5" s="2201"/>
      <c r="D5" s="2202"/>
      <c r="E5" s="2202"/>
      <c r="F5" s="2203"/>
    </row>
    <row r="6" spans="1:7" ht="12.95" customHeight="1" thickBot="1" x14ac:dyDescent="0.25">
      <c r="A6" s="724" t="s">
        <v>64</v>
      </c>
      <c r="B6" s="725"/>
      <c r="C6" s="726"/>
      <c r="D6" s="585"/>
      <c r="E6" s="726"/>
      <c r="F6" s="1755">
        <f t="shared" ref="F6:F14" si="0">SUM(C6+D6)-E6</f>
        <v>0</v>
      </c>
    </row>
    <row r="7" spans="1:7" ht="12.95" customHeight="1" thickTop="1" thickBot="1" x14ac:dyDescent="0.25">
      <c r="A7" s="724" t="s">
        <v>6</v>
      </c>
      <c r="B7" s="725"/>
      <c r="C7" s="726"/>
      <c r="D7" s="585"/>
      <c r="E7" s="726"/>
      <c r="F7" s="1755">
        <f t="shared" si="0"/>
        <v>0</v>
      </c>
    </row>
    <row r="8" spans="1:7" ht="12.95" customHeight="1" thickTop="1" thickBot="1" x14ac:dyDescent="0.25">
      <c r="A8" s="724" t="s">
        <v>508</v>
      </c>
      <c r="B8" s="725"/>
      <c r="C8" s="726"/>
      <c r="D8" s="585"/>
      <c r="E8" s="726"/>
      <c r="F8" s="1755">
        <f t="shared" si="0"/>
        <v>0</v>
      </c>
    </row>
    <row r="9" spans="1:7" ht="12.95" customHeight="1" thickTop="1" thickBot="1" x14ac:dyDescent="0.25">
      <c r="A9" s="724" t="s">
        <v>509</v>
      </c>
      <c r="B9" s="725"/>
      <c r="C9" s="726"/>
      <c r="D9" s="585"/>
      <c r="E9" s="726"/>
      <c r="F9" s="1755">
        <f t="shared" si="0"/>
        <v>0</v>
      </c>
    </row>
    <row r="10" spans="1:7" ht="12.95" customHeight="1" thickTop="1" thickBot="1" x14ac:dyDescent="0.25">
      <c r="A10" s="724" t="s">
        <v>510</v>
      </c>
      <c r="B10" s="725"/>
      <c r="C10" s="726"/>
      <c r="D10" s="585"/>
      <c r="E10" s="726"/>
      <c r="F10" s="1755">
        <f t="shared" si="0"/>
        <v>0</v>
      </c>
    </row>
    <row r="11" spans="1:7" ht="12.95" customHeight="1" thickTop="1" thickBot="1" x14ac:dyDescent="0.25">
      <c r="A11" s="724" t="s">
        <v>341</v>
      </c>
      <c r="B11" s="725"/>
      <c r="C11" s="726"/>
      <c r="D11" s="585"/>
      <c r="E11" s="726"/>
      <c r="F11" s="1755">
        <f t="shared" si="0"/>
        <v>0</v>
      </c>
    </row>
    <row r="12" spans="1:7" ht="12.95" customHeight="1" thickTop="1" thickBot="1" x14ac:dyDescent="0.25">
      <c r="A12" s="724" t="s">
        <v>1157</v>
      </c>
      <c r="B12" s="725"/>
      <c r="C12" s="726"/>
      <c r="D12" s="585"/>
      <c r="E12" s="726"/>
      <c r="F12" s="1755">
        <f t="shared" si="0"/>
        <v>0</v>
      </c>
    </row>
    <row r="13" spans="1:7" ht="12.95" customHeight="1" thickTop="1" thickBot="1" x14ac:dyDescent="0.25">
      <c r="A13" s="724" t="s">
        <v>388</v>
      </c>
      <c r="B13" s="725"/>
      <c r="C13" s="726"/>
      <c r="D13" s="585"/>
      <c r="E13" s="726"/>
      <c r="F13" s="1755">
        <f t="shared" si="0"/>
        <v>0</v>
      </c>
    </row>
    <row r="14" spans="1:7" ht="12.95" customHeight="1" thickTop="1" thickBot="1" x14ac:dyDescent="0.25">
      <c r="A14" s="724" t="s">
        <v>448</v>
      </c>
      <c r="B14" s="725"/>
      <c r="C14" s="726"/>
      <c r="D14" s="585"/>
      <c r="E14" s="726"/>
      <c r="F14" s="1755">
        <f t="shared" si="0"/>
        <v>0</v>
      </c>
    </row>
    <row r="15" spans="1:7" ht="14.25" thickTop="1" thickBot="1" x14ac:dyDescent="0.25">
      <c r="A15" s="2204" t="s">
        <v>631</v>
      </c>
      <c r="B15" s="2205"/>
      <c r="C15" s="1755">
        <f>SUM(C6:C14)</f>
        <v>0</v>
      </c>
      <c r="D15" s="1755">
        <f>SUM(D6:D14)</f>
        <v>0</v>
      </c>
      <c r="E15" s="1755">
        <f>SUM(E6:E14)</f>
        <v>0</v>
      </c>
      <c r="F15" s="1755">
        <f>SUM(F6:F14)</f>
        <v>0</v>
      </c>
      <c r="G15" s="552"/>
    </row>
    <row r="16" spans="1:7" s="202" customFormat="1" ht="15.75" customHeight="1" thickTop="1" x14ac:dyDescent="0.2">
      <c r="A16" s="2217" t="s">
        <v>1111</v>
      </c>
      <c r="B16" s="2207"/>
      <c r="C16" s="2201"/>
      <c r="D16" s="2202"/>
      <c r="E16" s="2202"/>
      <c r="F16" s="2203"/>
    </row>
    <row r="17" spans="1:11" ht="12.95" customHeight="1" thickBot="1" x14ac:dyDescent="0.25">
      <c r="A17" s="2199" t="s">
        <v>64</v>
      </c>
      <c r="B17" s="2200"/>
      <c r="C17" s="726"/>
      <c r="D17" s="585"/>
      <c r="E17" s="726"/>
      <c r="F17" s="1755">
        <f>SUM(C17+D17)-E17</f>
        <v>0</v>
      </c>
    </row>
    <row r="18" spans="1:11" ht="12.95" customHeight="1" thickTop="1" thickBot="1" x14ac:dyDescent="0.25">
      <c r="A18" s="2199" t="s">
        <v>6</v>
      </c>
      <c r="B18" s="2200"/>
      <c r="C18" s="726"/>
      <c r="D18" s="585"/>
      <c r="E18" s="726"/>
      <c r="F18" s="1755">
        <f>SUM(C18+D18)-E18</f>
        <v>0</v>
      </c>
    </row>
    <row r="19" spans="1:11" ht="12.95" customHeight="1" thickTop="1" thickBot="1" x14ac:dyDescent="0.25">
      <c r="A19" s="2199" t="s">
        <v>388</v>
      </c>
      <c r="B19" s="2200"/>
      <c r="C19" s="726"/>
      <c r="D19" s="585"/>
      <c r="E19" s="726"/>
      <c r="F19" s="1755">
        <f>SUM(C19+D19)-E19</f>
        <v>0</v>
      </c>
    </row>
    <row r="20" spans="1:11" ht="12.95" customHeight="1" thickTop="1" thickBot="1" x14ac:dyDescent="0.25">
      <c r="A20" s="2199" t="s">
        <v>448</v>
      </c>
      <c r="B20" s="2200"/>
      <c r="C20" s="726"/>
      <c r="D20" s="585"/>
      <c r="E20" s="726"/>
      <c r="F20" s="1755">
        <f>SUM(C20+D20)-E20</f>
        <v>0</v>
      </c>
    </row>
    <row r="21" spans="1:11" ht="14.25" thickTop="1" thickBot="1" x14ac:dyDescent="0.25">
      <c r="A21" s="2204" t="s">
        <v>632</v>
      </c>
      <c r="B21" s="2205"/>
      <c r="C21" s="1755">
        <f>SUM(C17:C20)</f>
        <v>0</v>
      </c>
      <c r="D21" s="1755">
        <f>SUM(D17:D20)</f>
        <v>0</v>
      </c>
      <c r="E21" s="1755">
        <f>SUM(E17:E20)</f>
        <v>0</v>
      </c>
      <c r="F21" s="1755">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1"/>
      <c r="D23" s="581"/>
      <c r="E23" s="581"/>
      <c r="F23" s="1755">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1"/>
      <c r="D25" s="581"/>
      <c r="E25" s="581"/>
      <c r="F25" s="1755">
        <f>SUM(C25+D25)-E25</f>
        <v>0</v>
      </c>
      <c r="G25" s="552"/>
    </row>
    <row r="26" spans="1:11" ht="15.75" customHeight="1" thickTop="1" x14ac:dyDescent="0.2">
      <c r="A26" s="2212" t="s">
        <v>657</v>
      </c>
      <c r="B26" s="2207"/>
      <c r="C26" s="727"/>
      <c r="D26" s="727"/>
      <c r="E26" s="727"/>
      <c r="F26" s="728"/>
    </row>
    <row r="27" spans="1:11" ht="13.5" thickBot="1" x14ac:dyDescent="0.25">
      <c r="A27" s="2204" t="s">
        <v>1070</v>
      </c>
      <c r="B27" s="2205"/>
      <c r="C27" s="585"/>
      <c r="D27" s="585"/>
      <c r="E27" s="585"/>
      <c r="F27" s="1755">
        <f>SUM(C27+D27)-E27</f>
        <v>0</v>
      </c>
      <c r="G27" s="552"/>
    </row>
    <row r="28" spans="1:11" ht="7.5" customHeight="1" thickTop="1" x14ac:dyDescent="0.2">
      <c r="A28" s="593"/>
    </row>
    <row r="29" spans="1:11" ht="23.25" customHeight="1" x14ac:dyDescent="0.2">
      <c r="A29" s="2210" t="s">
        <v>582</v>
      </c>
      <c r="B29" s="2211"/>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3" t="s">
        <v>584</v>
      </c>
      <c r="C52" s="2194"/>
      <c r="D52" s="2194"/>
      <c r="E52" s="749" t="s">
        <v>845</v>
      </c>
      <c r="F52" s="2195"/>
      <c r="G52" s="2196"/>
      <c r="H52" s="736"/>
      <c r="I52" s="736"/>
      <c r="J52" s="746"/>
    </row>
    <row r="53" spans="1:11" ht="11.25" customHeight="1" x14ac:dyDescent="0.2">
      <c r="A53" s="750" t="s">
        <v>913</v>
      </c>
      <c r="B53" s="751" t="s">
        <v>951</v>
      </c>
      <c r="C53" s="746"/>
      <c r="D53" s="737"/>
      <c r="E53" s="749" t="s">
        <v>497</v>
      </c>
      <c r="F53" s="2197"/>
      <c r="G53" s="2198"/>
      <c r="H53" s="736"/>
      <c r="I53" s="736"/>
      <c r="J53" s="746"/>
    </row>
    <row r="54" spans="1:11" ht="11.25" customHeight="1" x14ac:dyDescent="0.2">
      <c r="A54" s="752" t="s">
        <v>914</v>
      </c>
      <c r="B54" s="747" t="s">
        <v>952</v>
      </c>
      <c r="C54" s="746"/>
      <c r="D54" s="737"/>
      <c r="E54" s="749" t="s">
        <v>498</v>
      </c>
      <c r="F54" s="2197"/>
      <c r="G54" s="219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zoomScalePageLayoutView="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42578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30"/>
      <c r="I1" s="760"/>
      <c r="J1" s="433"/>
    </row>
    <row r="2" spans="1:11" ht="26.25" x14ac:dyDescent="0.2">
      <c r="A2" s="2241" t="s">
        <v>1677</v>
      </c>
      <c r="B2" s="2242"/>
      <c r="C2" s="2242"/>
      <c r="D2" s="2242"/>
      <c r="E2" s="2243"/>
      <c r="F2" s="761" t="s">
        <v>904</v>
      </c>
      <c r="G2" s="762" t="s">
        <v>1674</v>
      </c>
      <c r="H2" s="762" t="s">
        <v>410</v>
      </c>
      <c r="I2" s="762" t="s">
        <v>1158</v>
      </c>
      <c r="J2" s="762" t="s">
        <v>1812</v>
      </c>
      <c r="K2" s="762" t="s">
        <v>138</v>
      </c>
    </row>
    <row r="3" spans="1:11" x14ac:dyDescent="0.2">
      <c r="A3" s="2244" t="s">
        <v>1962</v>
      </c>
      <c r="B3" s="2245"/>
      <c r="C3" s="2245"/>
      <c r="D3" s="2245"/>
      <c r="E3" s="2246"/>
      <c r="F3" s="763"/>
      <c r="G3" s="764"/>
      <c r="H3" s="764"/>
      <c r="I3" s="764"/>
      <c r="J3" s="765"/>
      <c r="K3" s="765"/>
    </row>
    <row r="4" spans="1:11" x14ac:dyDescent="0.2">
      <c r="A4" s="2247" t="s">
        <v>369</v>
      </c>
      <c r="B4" s="2248"/>
      <c r="C4" s="2248"/>
      <c r="D4" s="2248"/>
      <c r="E4" s="2194"/>
      <c r="F4" s="766"/>
      <c r="G4" s="767"/>
      <c r="H4" s="768"/>
      <c r="I4" s="767"/>
      <c r="J4" s="769"/>
      <c r="K4" s="769"/>
    </row>
    <row r="5" spans="1:11" x14ac:dyDescent="0.2">
      <c r="A5" s="2225" t="s">
        <v>1069</v>
      </c>
      <c r="B5" s="2226"/>
      <c r="C5" s="2226"/>
      <c r="D5" s="2226"/>
      <c r="E5" s="222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5" t="s">
        <v>1813</v>
      </c>
      <c r="B10" s="2226"/>
      <c r="C10" s="2226"/>
      <c r="D10" s="2226"/>
      <c r="E10" s="2228"/>
      <c r="F10" s="783" t="s">
        <v>862</v>
      </c>
      <c r="G10" s="782"/>
      <c r="H10" s="784"/>
      <c r="I10" s="764"/>
      <c r="J10" s="765"/>
      <c r="K10" s="765"/>
    </row>
    <row r="11" spans="1:11" x14ac:dyDescent="0.2">
      <c r="A11" s="2225" t="s">
        <v>160</v>
      </c>
      <c r="B11" s="2226"/>
      <c r="C11" s="2226"/>
      <c r="D11" s="2226"/>
      <c r="E11" s="2227"/>
      <c r="F11" s="770" t="s">
        <v>852</v>
      </c>
      <c r="G11" s="771"/>
      <c r="H11" s="764"/>
      <c r="I11" s="764"/>
      <c r="J11" s="765"/>
      <c r="K11" s="773"/>
    </row>
    <row r="12" spans="1:11" ht="13.5" thickBot="1" x14ac:dyDescent="0.25">
      <c r="A12" s="2252" t="s">
        <v>905</v>
      </c>
      <c r="B12" s="2253"/>
      <c r="C12" s="2253"/>
      <c r="D12" s="2253"/>
      <c r="E12" s="2254"/>
      <c r="F12" s="1757"/>
      <c r="G12" s="1758">
        <f>SUM(G5:G11)</f>
        <v>0</v>
      </c>
      <c r="H12" s="1758">
        <f>SUM(H5:H11)</f>
        <v>0</v>
      </c>
      <c r="I12" s="1758">
        <f>SUM(I5:I11)</f>
        <v>0</v>
      </c>
      <c r="J12" s="1758">
        <f>SUM(J5:J11)</f>
        <v>0</v>
      </c>
      <c r="K12" s="1758">
        <f>SUM(K5:K11)</f>
        <v>0</v>
      </c>
    </row>
    <row r="13" spans="1:11" ht="13.5" thickTop="1" x14ac:dyDescent="0.2">
      <c r="A13" s="2249" t="s">
        <v>370</v>
      </c>
      <c r="B13" s="2250"/>
      <c r="C13" s="2250"/>
      <c r="D13" s="2250"/>
      <c r="E13" s="2251"/>
      <c r="F13" s="785"/>
      <c r="G13" s="786"/>
      <c r="H13" s="787"/>
      <c r="I13" s="788"/>
      <c r="J13" s="788"/>
      <c r="K13" s="788"/>
    </row>
    <row r="14" spans="1:11" x14ac:dyDescent="0.2">
      <c r="A14" s="2232" t="s">
        <v>456</v>
      </c>
      <c r="B14" s="2232"/>
      <c r="C14" s="2232"/>
      <c r="D14" s="2232"/>
      <c r="E14" s="2233"/>
      <c r="F14" s="789" t="s">
        <v>854</v>
      </c>
      <c r="G14" s="782"/>
      <c r="H14" s="764"/>
      <c r="I14" s="771"/>
      <c r="J14" s="773"/>
      <c r="K14" s="765"/>
    </row>
    <row r="15" spans="1:11" x14ac:dyDescent="0.2">
      <c r="A15" s="2226" t="s">
        <v>4</v>
      </c>
      <c r="B15" s="2226"/>
      <c r="C15" s="2226"/>
      <c r="D15" s="2226"/>
      <c r="E15" s="2227"/>
      <c r="F15" s="789" t="s">
        <v>855</v>
      </c>
      <c r="G15" s="771"/>
      <c r="H15" s="764"/>
      <c r="I15" s="764"/>
      <c r="J15" s="765"/>
      <c r="K15" s="765"/>
    </row>
    <row r="16" spans="1:11" x14ac:dyDescent="0.2">
      <c r="A16" s="2226" t="s">
        <v>298</v>
      </c>
      <c r="B16" s="2226"/>
      <c r="C16" s="2226"/>
      <c r="D16" s="2226"/>
      <c r="E16" s="2227"/>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34" t="s">
        <v>1809</v>
      </c>
      <c r="B19" s="2234"/>
      <c r="C19" s="2234"/>
      <c r="D19" s="2234"/>
      <c r="E19" s="2235"/>
      <c r="F19" s="789" t="s">
        <v>933</v>
      </c>
      <c r="G19" s="782"/>
      <c r="H19" s="782"/>
      <c r="I19" s="782"/>
      <c r="J19" s="765"/>
      <c r="K19" s="795"/>
    </row>
    <row r="20" spans="1:11" x14ac:dyDescent="0.2">
      <c r="A20" s="2236" t="s">
        <v>1814</v>
      </c>
      <c r="B20" s="2237"/>
      <c r="C20" s="2237"/>
      <c r="D20" s="2237"/>
      <c r="E20" s="2238"/>
      <c r="F20" s="789" t="s">
        <v>934</v>
      </c>
      <c r="G20" s="782"/>
      <c r="H20" s="782"/>
      <c r="I20" s="782"/>
      <c r="J20" s="765"/>
      <c r="K20" s="795"/>
    </row>
    <row r="21" spans="1:11" ht="13.5" thickBot="1" x14ac:dyDescent="0.25">
      <c r="A21" s="2255" t="s">
        <v>638</v>
      </c>
      <c r="B21" s="2255"/>
      <c r="C21" s="2255"/>
      <c r="D21" s="2255"/>
      <c r="E21" s="2255"/>
      <c r="F21" s="1759"/>
      <c r="G21" s="792"/>
      <c r="H21" s="796"/>
      <c r="I21" s="796"/>
      <c r="J21" s="1760">
        <f>SUM(J18:J20)</f>
        <v>0</v>
      </c>
      <c r="K21" s="793"/>
    </row>
    <row r="22" spans="1:11" ht="13.5" thickTop="1" x14ac:dyDescent="0.2">
      <c r="A22" s="2226" t="s">
        <v>1815</v>
      </c>
      <c r="B22" s="2226"/>
      <c r="C22" s="2226"/>
      <c r="D22" s="2226"/>
      <c r="E22" s="2227"/>
      <c r="F22" s="789" t="s">
        <v>862</v>
      </c>
      <c r="G22" s="782"/>
      <c r="H22" s="764"/>
      <c r="I22" s="764"/>
      <c r="J22" s="797"/>
      <c r="K22" s="765"/>
    </row>
    <row r="23" spans="1:11" ht="13.5" thickBot="1" x14ac:dyDescent="0.25">
      <c r="A23" s="2256" t="s">
        <v>906</v>
      </c>
      <c r="B23" s="2255"/>
      <c r="C23" s="2255"/>
      <c r="D23" s="2255"/>
      <c r="E23" s="2255"/>
      <c r="F23" s="1761"/>
      <c r="G23" s="1758">
        <f>SUM(G14:G16,G21,G22)</f>
        <v>0</v>
      </c>
      <c r="H23" s="1758">
        <f>SUM(H14:H16,H21,H22)</f>
        <v>0</v>
      </c>
      <c r="I23" s="1758">
        <f>SUM(I14:I16,I21,I22)</f>
        <v>0</v>
      </c>
      <c r="J23" s="1758">
        <f>SUM(J14:J16,J21,J22)</f>
        <v>0</v>
      </c>
      <c r="K23" s="1758">
        <f>SUM(K14:K16,K21,K22)</f>
        <v>0</v>
      </c>
    </row>
    <row r="24" spans="1:11" ht="14.25" thickTop="1" thickBot="1" x14ac:dyDescent="0.25">
      <c r="A24" s="2256" t="s">
        <v>1963</v>
      </c>
      <c r="B24" s="2255"/>
      <c r="C24" s="2255"/>
      <c r="D24" s="2255"/>
      <c r="E24" s="225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9"/>
      <c r="I31" s="2230"/>
      <c r="J31" s="2230"/>
      <c r="K31" s="2230"/>
    </row>
    <row r="32" spans="1:11" x14ac:dyDescent="0.2">
      <c r="A32" s="809"/>
      <c r="B32" s="237"/>
      <c r="C32" s="237"/>
      <c r="D32" s="237"/>
      <c r="E32" s="805"/>
      <c r="F32" s="811" t="s">
        <v>540</v>
      </c>
      <c r="G32" s="764"/>
      <c r="H32" s="2231"/>
      <c r="I32" s="2230"/>
      <c r="J32" s="2230"/>
      <c r="K32" s="2230"/>
    </row>
    <row r="33" spans="1:11" ht="1.5" customHeight="1" x14ac:dyDescent="0.2">
      <c r="A33" s="812" t="s">
        <v>1169</v>
      </c>
      <c r="B33" s="364"/>
      <c r="C33" s="364"/>
      <c r="D33" s="364"/>
      <c r="E33" s="364"/>
      <c r="F33" s="364"/>
      <c r="G33" s="813"/>
      <c r="H33" s="2231"/>
      <c r="I33" s="2230"/>
      <c r="J33" s="2230"/>
      <c r="K33" s="223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6" t="s">
        <v>541</v>
      </c>
      <c r="B41" s="2239"/>
      <c r="C41" s="2239"/>
      <c r="D41" s="2239"/>
      <c r="E41" s="2239"/>
      <c r="F41" s="224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95" customHeight="1" x14ac:dyDescent="0.2">
      <c r="A47" s="821"/>
      <c r="B47" s="822" t="s">
        <v>1676</v>
      </c>
      <c r="E47" s="822"/>
      <c r="K47" s="824"/>
    </row>
    <row r="48" spans="1:11" ht="12.9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topLeftCell="A10" colorId="8" zoomScale="125" zoomScaleNormal="125" zoomScalePageLayoutView="125" workbookViewId="0">
      <selection activeCell="T25" sqref="T25:AA25"/>
    </sheetView>
  </sheetViews>
  <sheetFormatPr defaultColWidth="9.140625" defaultRowHeight="12.75" x14ac:dyDescent="0.2"/>
  <cols>
    <col min="1" max="1" width="28.7109375" style="808" customWidth="1"/>
    <col min="2" max="2" width="5.7109375" style="457" customWidth="1"/>
    <col min="3" max="6" width="12.7109375" style="457" customWidth="1"/>
    <col min="7" max="7" width="6.42578125" style="457" customWidth="1"/>
    <col min="8" max="8" width="14.140625" style="457" customWidth="1"/>
    <col min="9" max="9" width="12.7109375" style="457" customWidth="1"/>
    <col min="10" max="10" width="16.7109375" style="457" customWidth="1"/>
    <col min="11" max="11" width="15.42578125" style="457" customWidth="1"/>
    <col min="12" max="12" width="13.7109375" style="457" customWidth="1"/>
    <col min="13" max="16384" width="9.140625" style="457"/>
  </cols>
  <sheetData>
    <row r="1" spans="1:14" ht="33" customHeight="1" x14ac:dyDescent="0.2">
      <c r="A1" s="2261" t="s">
        <v>1908</v>
      </c>
      <c r="B1" s="2262"/>
      <c r="C1" s="2263"/>
      <c r="D1" s="826"/>
      <c r="E1" s="827"/>
      <c r="F1" s="827"/>
      <c r="G1" s="828"/>
      <c r="H1" s="829"/>
      <c r="I1" s="830"/>
      <c r="J1" s="2259"/>
      <c r="K1" s="2260"/>
      <c r="L1" s="226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2616908</v>
      </c>
      <c r="D8" s="844"/>
      <c r="E8" s="844"/>
      <c r="F8" s="1760">
        <f>(C8+D8)-E8</f>
        <v>2616908</v>
      </c>
      <c r="G8" s="843">
        <v>50</v>
      </c>
      <c r="H8" s="765">
        <v>1360436</v>
      </c>
      <c r="I8" s="765">
        <v>52338</v>
      </c>
      <c r="J8" s="765"/>
      <c r="K8" s="1769">
        <f>(H8+I8)-J8</f>
        <v>1412774</v>
      </c>
      <c r="L8" s="1769">
        <f>F8-K8</f>
        <v>1204134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v>30700</v>
      </c>
      <c r="E10" s="846"/>
      <c r="F10" s="1764">
        <f>(C10+D10)-E10</f>
        <v>30700</v>
      </c>
      <c r="G10" s="843">
        <v>20</v>
      </c>
      <c r="H10" s="847">
        <v>0</v>
      </c>
      <c r="I10" s="847">
        <v>1407</v>
      </c>
      <c r="J10" s="847"/>
      <c r="K10" s="1769">
        <f>(H10+I10)-J10</f>
        <v>1407</v>
      </c>
      <c r="L10" s="1769">
        <f>F10-K10</f>
        <v>29293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247857</v>
      </c>
      <c r="D12" s="844">
        <v>88530</v>
      </c>
      <c r="E12" s="844">
        <f>13799+7869</f>
        <v>21668</v>
      </c>
      <c r="F12" s="1760">
        <f>(C12+D12)-E12</f>
        <v>314719</v>
      </c>
      <c r="G12" s="843">
        <v>10</v>
      </c>
      <c r="H12" s="765">
        <v>62959</v>
      </c>
      <c r="I12" s="765">
        <v>24743</v>
      </c>
      <c r="J12" s="765">
        <v>21668</v>
      </c>
      <c r="K12" s="1769">
        <f>(H12+I12)-J12</f>
        <v>66034</v>
      </c>
      <c r="L12" s="1769">
        <f>F12-K12</f>
        <v>248685</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2864765</v>
      </c>
      <c r="D16" s="1760">
        <f>SUM(D3,D5:D6,D8:D10,D12:D15)</f>
        <v>119230</v>
      </c>
      <c r="E16" s="1760">
        <f>SUM(E3,E5:E6,E8:E10,E12:E15)</f>
        <v>21668</v>
      </c>
      <c r="F16" s="1760">
        <f>SUM(F3,F5:F6,F8:F10,F12:F15)</f>
        <v>2962327</v>
      </c>
      <c r="G16" s="843"/>
      <c r="H16" s="1760">
        <f>SUM(H3,H6,H8:H10,H12:H14,)</f>
        <v>1423395</v>
      </c>
      <c r="I16" s="1760">
        <f>SUM(I3,I6,I8:I10,I12:I14,)</f>
        <v>78488</v>
      </c>
      <c r="J16" s="1760">
        <f>SUM(J3,J6,J8:J10,J12:J14,)</f>
        <v>21668</v>
      </c>
      <c r="K16" s="1760">
        <f>(H16+I16)-J16</f>
        <v>1480215</v>
      </c>
      <c r="L16" s="1760">
        <f>F16-K16</f>
        <v>1482112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50207</v>
      </c>
      <c r="G17" s="837">
        <v>10</v>
      </c>
      <c r="H17" s="769"/>
      <c r="I17" s="1769">
        <f>F17/G17</f>
        <v>5020.7</v>
      </c>
      <c r="J17" s="769"/>
      <c r="K17" s="795"/>
      <c r="L17" s="795"/>
    </row>
    <row r="18" spans="1:12" ht="14.25" thickTop="1" thickBot="1" x14ac:dyDescent="0.25">
      <c r="A18" s="1767" t="s">
        <v>685</v>
      </c>
      <c r="B18" s="1768"/>
      <c r="C18" s="771"/>
      <c r="D18" s="771"/>
      <c r="E18" s="771"/>
      <c r="F18" s="850"/>
      <c r="G18" s="851"/>
      <c r="H18" s="773"/>
      <c r="I18" s="1760">
        <f>SUM(I16,I17)</f>
        <v>83508.7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&amp;L&amp;8Print Date: &amp;D
&amp;F</oddFooter>
  </headerFooter>
  <extLst>
    <ext xmlns:mx="http://schemas.microsoft.com/office/mac/excel/2008/main" uri="{64002731-A6B0-56B0-2670-7721B7C09600}">
      <mx:PLV Mode="0" OnePage="0" WScale="8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zoomScalePageLayoutView="110" workbookViewId="0">
      <pane ySplit="5" topLeftCell="A6" activePane="bottomLeft" state="frozen"/>
      <selection activeCell="T25" sqref="T25:AA25"/>
      <selection pane="bottomLeft" activeCell="T25" sqref="T25:AA25"/>
    </sheetView>
  </sheetViews>
  <sheetFormatPr defaultColWidth="8.7109375" defaultRowHeight="11.25" x14ac:dyDescent="0.2"/>
  <cols>
    <col min="1" max="1" width="22.140625" style="856" customWidth="1"/>
    <col min="2" max="2" width="31.7109375" style="856" customWidth="1"/>
    <col min="3" max="3" width="6.7109375" style="863" customWidth="1"/>
    <col min="4" max="4" width="55.7109375" style="856" customWidth="1"/>
    <col min="5" max="5" width="3.140625" style="863" customWidth="1"/>
    <col min="6" max="6" width="17.42578125" style="856" customWidth="1"/>
    <col min="7" max="7" width="0.7109375" style="856" customWidth="1"/>
    <col min="8" max="8" width="2.28515625" style="856" customWidth="1"/>
    <col min="9" max="16384" width="8.7109375" style="856"/>
  </cols>
  <sheetData>
    <row r="1" spans="1:7" ht="19.5" customHeight="1" thickTop="1" x14ac:dyDescent="0.2">
      <c r="A1" s="2267" t="s">
        <v>1973</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1797904</v>
      </c>
      <c r="G8" s="865"/>
    </row>
    <row r="9" spans="1:7" x14ac:dyDescent="0.2">
      <c r="A9" s="869" t="s">
        <v>460</v>
      </c>
      <c r="B9" s="870" t="s">
        <v>1876</v>
      </c>
      <c r="C9" s="871"/>
      <c r="D9" s="869" t="s">
        <v>501</v>
      </c>
      <c r="E9" s="868"/>
      <c r="F9" s="1909">
        <f>'Expenditures 15-22'!K151</f>
        <v>351293</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7394</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2156591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6090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2588</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316332</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28409</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119230</v>
      </c>
      <c r="G58" s="865"/>
    </row>
    <row r="59" spans="1:7" x14ac:dyDescent="0.2">
      <c r="A59" s="893" t="s">
        <v>460</v>
      </c>
      <c r="B59" s="856" t="s">
        <v>1883</v>
      </c>
      <c r="C59" s="894" t="s">
        <v>982</v>
      </c>
      <c r="D59" s="856" t="s">
        <v>291</v>
      </c>
      <c r="F59" s="1916">
        <f>'Expenditures 15-22'!I151</f>
        <v>21798</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494447</v>
      </c>
      <c r="G76" s="865"/>
    </row>
    <row r="77" spans="1:8" s="893" customFormat="1" ht="12" customHeight="1" thickTop="1" thickBot="1" x14ac:dyDescent="0.25">
      <c r="A77" s="1779"/>
      <c r="B77" s="1776"/>
      <c r="C77" s="1772"/>
      <c r="D77" s="1777" t="s">
        <v>1899</v>
      </c>
      <c r="E77" s="1774"/>
      <c r="F77" s="1780">
        <f>(F14-F76)</f>
        <v>1662144</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3158</v>
      </c>
      <c r="G94" s="912"/>
    </row>
    <row r="95" spans="1:7" x14ac:dyDescent="0.2">
      <c r="A95" s="908" t="s">
        <v>140</v>
      </c>
      <c r="B95" s="908" t="s">
        <v>175</v>
      </c>
      <c r="C95" s="910">
        <v>1700</v>
      </c>
      <c r="D95" s="918" t="str">
        <f>'Revenues 9-14'!A82</f>
        <v>Total District/School Activity Income</v>
      </c>
      <c r="E95" s="906"/>
      <c r="F95" s="1789">
        <f>SUM('Revenues 9-14'!C82,'Revenues 9-14'!D82)</f>
        <v>8187</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18750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269282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794830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9949</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130950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1235106</v>
      </c>
    </row>
    <row r="175" spans="1:7" ht="12" customHeight="1" x14ac:dyDescent="0.2">
      <c r="A175" s="1770"/>
      <c r="B175" s="1784"/>
      <c r="C175" s="1785"/>
      <c r="D175" s="1786" t="s">
        <v>2055</v>
      </c>
      <c r="E175" s="1787"/>
      <c r="F175" s="1789">
        <f>'PCTC-OEPP 27-28'!F77-F174</f>
        <v>427038</v>
      </c>
    </row>
    <row r="176" spans="1:7" ht="12" customHeight="1" x14ac:dyDescent="0.2">
      <c r="A176" s="1770"/>
      <c r="B176" s="1784"/>
      <c r="C176" s="1785"/>
      <c r="D176" s="1786" t="s">
        <v>1817</v>
      </c>
      <c r="E176" s="1787"/>
      <c r="F176" s="1789">
        <f>'Cap Outlay Deprec 26'!I18</f>
        <v>83508.7</v>
      </c>
    </row>
    <row r="177" spans="1:7" ht="12" customHeight="1" x14ac:dyDescent="0.2">
      <c r="A177" s="1770"/>
      <c r="B177" s="1784"/>
      <c r="C177" s="1785"/>
      <c r="D177" s="1786" t="s">
        <v>2056</v>
      </c>
      <c r="E177" s="1787"/>
      <c r="F177" s="1789">
        <f>F175+F176</f>
        <v>510546.7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4" workbookViewId="0">
      <selection activeCell="T25" sqref="T25:AA25"/>
    </sheetView>
  </sheetViews>
  <sheetFormatPr defaultColWidth="8.710937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42578125" style="1544" customWidth="1"/>
    <col min="7" max="7" width="23.28515625" style="1543" customWidth="1"/>
    <col min="8" max="16384" width="8.710937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1818</v>
      </c>
      <c r="B4" s="2279"/>
      <c r="C4" s="2279"/>
      <c r="D4" s="2279"/>
      <c r="E4" s="2279"/>
      <c r="F4" s="2279"/>
      <c r="G4" s="2280"/>
    </row>
    <row r="5" spans="1:7" x14ac:dyDescent="0.25">
      <c r="A5" s="2281"/>
      <c r="B5" s="2282"/>
      <c r="C5" s="2282"/>
      <c r="D5" s="2282"/>
      <c r="E5" s="2282"/>
      <c r="F5" s="2282"/>
      <c r="G5" s="2283"/>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95" customHeight="1" x14ac:dyDescent="0.25">
      <c r="A8" s="2284" t="s">
        <v>1931</v>
      </c>
      <c r="B8" s="2285"/>
      <c r="C8" s="2285"/>
      <c r="D8" s="2285"/>
      <c r="E8" s="2285"/>
      <c r="F8" s="2285"/>
      <c r="G8" s="2286"/>
    </row>
    <row r="9" spans="1:7" ht="15.75" customHeight="1" x14ac:dyDescent="0.25">
      <c r="A9" s="2287" t="s">
        <v>1906</v>
      </c>
      <c r="B9" s="2288"/>
      <c r="C9" s="2288"/>
      <c r="D9" s="2288"/>
      <c r="E9" s="2288"/>
      <c r="F9" s="2288"/>
      <c r="G9" s="2289"/>
    </row>
    <row r="10" spans="1:7" ht="35.25" customHeight="1" x14ac:dyDescent="0.25">
      <c r="A10" s="2284" t="s">
        <v>2063</v>
      </c>
      <c r="B10" s="2285"/>
      <c r="C10" s="2285"/>
      <c r="D10" s="2285"/>
      <c r="E10" s="2285"/>
      <c r="F10" s="2285"/>
      <c r="G10" s="2286"/>
    </row>
    <row r="11" spans="1:7" ht="15" customHeight="1" x14ac:dyDescent="0.25">
      <c r="A11" s="1537" t="s">
        <v>1820</v>
      </c>
      <c r="B11" s="1538"/>
      <c r="C11" s="1538"/>
      <c r="D11" s="1538"/>
      <c r="E11" s="1538"/>
      <c r="F11" s="1538"/>
      <c r="G11" s="1539"/>
    </row>
    <row r="12" spans="1:7" ht="17.25" customHeight="1" x14ac:dyDescent="0.25">
      <c r="A12" s="2284" t="s">
        <v>1933</v>
      </c>
      <c r="B12" s="2285"/>
      <c r="C12" s="2285"/>
      <c r="D12" s="2285"/>
      <c r="E12" s="2285"/>
      <c r="F12" s="2285"/>
      <c r="G12" s="2286"/>
    </row>
    <row r="13" spans="1:7" ht="15" customHeight="1" x14ac:dyDescent="0.25">
      <c r="A13" s="1537" t="s">
        <v>1825</v>
      </c>
      <c r="B13" s="1538"/>
      <c r="C13" s="1538"/>
      <c r="D13" s="1538"/>
      <c r="E13" s="1538"/>
      <c r="F13" s="1538"/>
      <c r="G13" s="1539"/>
    </row>
    <row r="14" spans="1:7" ht="32.25" customHeight="1" x14ac:dyDescent="0.25">
      <c r="A14" s="2275" t="s">
        <v>1974</v>
      </c>
      <c r="B14" s="2276"/>
      <c r="C14" s="2276"/>
      <c r="D14" s="2276"/>
      <c r="E14" s="2276"/>
      <c r="F14" s="2276"/>
      <c r="G14" s="2277"/>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2087</v>
      </c>
      <c r="B18" s="1943" t="s">
        <v>2086</v>
      </c>
      <c r="C18" s="1944" t="s">
        <v>2085</v>
      </c>
      <c r="D18" s="1844">
        <v>5712</v>
      </c>
      <c r="E18" s="1540">
        <f t="shared" ref="E18:E142" si="0">IF(D18&lt;=25000,D18,IF(D18&gt;25000,25000,0))</f>
        <v>5712</v>
      </c>
      <c r="F18" s="1936">
        <v>0</v>
      </c>
      <c r="G18" s="1793">
        <f>IF(F18=0,0,D18-F18)</f>
        <v>0</v>
      </c>
      <c r="H18" s="1647"/>
    </row>
    <row r="19" spans="1:8" x14ac:dyDescent="0.25">
      <c r="A19" s="1653"/>
      <c r="B19" s="1933"/>
      <c r="C19" s="1656"/>
      <c r="D19" s="1844"/>
      <c r="E19" s="1540">
        <f t="shared" ref="E19:E141" si="1">IF(D19&lt;=25000,D19,IF(D19&gt;25000,25000,0))</f>
        <v>0</v>
      </c>
      <c r="F19" s="1936">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0</v>
      </c>
      <c r="G19" s="1793">
        <f t="shared" ref="G19:G141" si="3">IF(F19=0,0,D19-F19)</f>
        <v>0</v>
      </c>
    </row>
    <row r="20" spans="1:8" x14ac:dyDescent="0.25">
      <c r="A20" s="1653"/>
      <c r="B20" s="1933"/>
      <c r="C20" s="1656"/>
      <c r="D20" s="1844"/>
      <c r="E20" s="1540">
        <f t="shared" si="1"/>
        <v>0</v>
      </c>
      <c r="F20" s="1936">
        <f t="shared" si="2"/>
        <v>0</v>
      </c>
      <c r="G20" s="1793">
        <f t="shared" si="3"/>
        <v>0</v>
      </c>
    </row>
    <row r="21" spans="1:8" x14ac:dyDescent="0.25">
      <c r="A21" s="1653"/>
      <c r="B21" s="1933"/>
      <c r="C21" s="1656"/>
      <c r="D21" s="1844"/>
      <c r="E21" s="1540">
        <f t="shared" si="1"/>
        <v>0</v>
      </c>
      <c r="F21" s="1936">
        <f t="shared" si="2"/>
        <v>0</v>
      </c>
      <c r="G21" s="1793">
        <f t="shared" si="3"/>
        <v>0</v>
      </c>
    </row>
    <row r="22" spans="1:8" x14ac:dyDescent="0.25">
      <c r="A22" s="1653"/>
      <c r="B22" s="1933"/>
      <c r="C22" s="1656"/>
      <c r="D22" s="1844"/>
      <c r="E22" s="1540">
        <f t="shared" si="1"/>
        <v>0</v>
      </c>
      <c r="F22" s="1936">
        <f t="shared" si="2"/>
        <v>0</v>
      </c>
      <c r="G22" s="1793">
        <f t="shared" si="3"/>
        <v>0</v>
      </c>
    </row>
    <row r="23" spans="1:8" x14ac:dyDescent="0.25">
      <c r="A23" s="1653"/>
      <c r="B23" s="1933"/>
      <c r="C23" s="1656"/>
      <c r="D23" s="1844"/>
      <c r="E23" s="1540">
        <f t="shared" si="1"/>
        <v>0</v>
      </c>
      <c r="F23" s="1936">
        <f t="shared" si="2"/>
        <v>0</v>
      </c>
      <c r="G23" s="1793">
        <f t="shared" si="3"/>
        <v>0</v>
      </c>
    </row>
    <row r="24" spans="1:8" x14ac:dyDescent="0.25">
      <c r="A24" s="1653"/>
      <c r="B24" s="1933"/>
      <c r="C24" s="1656"/>
      <c r="D24" s="1844"/>
      <c r="E24" s="1540">
        <f t="shared" si="1"/>
        <v>0</v>
      </c>
      <c r="F24" s="1936">
        <f t="shared" si="2"/>
        <v>0</v>
      </c>
      <c r="G24" s="1793">
        <f t="shared" si="3"/>
        <v>0</v>
      </c>
    </row>
    <row r="25" spans="1:8" x14ac:dyDescent="0.25">
      <c r="A25" s="1653"/>
      <c r="B25" s="1933"/>
      <c r="C25" s="1656"/>
      <c r="D25" s="1844"/>
      <c r="E25" s="1540">
        <f t="shared" si="1"/>
        <v>0</v>
      </c>
      <c r="F25" s="1936">
        <f t="shared" si="2"/>
        <v>0</v>
      </c>
      <c r="G25" s="1793">
        <f t="shared" si="3"/>
        <v>0</v>
      </c>
    </row>
    <row r="26" spans="1:8" x14ac:dyDescent="0.25">
      <c r="A26" s="1653"/>
      <c r="B26" s="1933"/>
      <c r="C26" s="1656"/>
      <c r="D26" s="1844"/>
      <c r="E26" s="1540">
        <f t="shared" si="1"/>
        <v>0</v>
      </c>
      <c r="F26" s="1936">
        <f t="shared" si="2"/>
        <v>0</v>
      </c>
      <c r="G26" s="1793">
        <f t="shared" si="3"/>
        <v>0</v>
      </c>
    </row>
    <row r="27" spans="1:8" x14ac:dyDescent="0.25">
      <c r="A27" s="1653"/>
      <c r="B27" s="1933"/>
      <c r="C27" s="1654"/>
      <c r="D27" s="1844"/>
      <c r="E27" s="1540">
        <f t="shared" si="1"/>
        <v>0</v>
      </c>
      <c r="F27" s="1936">
        <f t="shared" si="2"/>
        <v>0</v>
      </c>
      <c r="G27" s="1793">
        <f t="shared" si="3"/>
        <v>0</v>
      </c>
    </row>
    <row r="28" spans="1:8" x14ac:dyDescent="0.25">
      <c r="A28" s="1653"/>
      <c r="B28" s="1933"/>
      <c r="C28" s="1654"/>
      <c r="D28" s="1844"/>
      <c r="E28" s="1540">
        <f t="shared" si="1"/>
        <v>0</v>
      </c>
      <c r="F28" s="1936">
        <f t="shared" si="2"/>
        <v>0</v>
      </c>
      <c r="G28" s="1793">
        <f t="shared" si="3"/>
        <v>0</v>
      </c>
    </row>
    <row r="29" spans="1:8" x14ac:dyDescent="0.25">
      <c r="A29" s="1653"/>
      <c r="B29" s="1933"/>
      <c r="C29" s="1654"/>
      <c r="D29" s="1844"/>
      <c r="E29" s="1540">
        <f t="shared" si="1"/>
        <v>0</v>
      </c>
      <c r="F29" s="1936">
        <f t="shared" si="2"/>
        <v>0</v>
      </c>
      <c r="G29" s="1793">
        <f t="shared" si="3"/>
        <v>0</v>
      </c>
    </row>
    <row r="30" spans="1:8" x14ac:dyDescent="0.25">
      <c r="A30" s="1653"/>
      <c r="B30" s="1933"/>
      <c r="C30" s="1654"/>
      <c r="D30" s="1844"/>
      <c r="E30" s="1540">
        <f t="shared" si="1"/>
        <v>0</v>
      </c>
      <c r="F30" s="1936">
        <f t="shared" si="2"/>
        <v>0</v>
      </c>
      <c r="G30" s="1793">
        <f t="shared" si="3"/>
        <v>0</v>
      </c>
    </row>
    <row r="31" spans="1:8" x14ac:dyDescent="0.25">
      <c r="A31" s="1653"/>
      <c r="B31" s="1933"/>
      <c r="C31" s="1654"/>
      <c r="D31" s="1844"/>
      <c r="E31" s="1540">
        <f t="shared" si="1"/>
        <v>0</v>
      </c>
      <c r="F31" s="1936">
        <f t="shared" si="2"/>
        <v>0</v>
      </c>
      <c r="G31" s="1793">
        <f t="shared" si="3"/>
        <v>0</v>
      </c>
    </row>
    <row r="32" spans="1:8" x14ac:dyDescent="0.25">
      <c r="A32" s="1653"/>
      <c r="B32" s="1933"/>
      <c r="C32" s="1654"/>
      <c r="D32" s="1844"/>
      <c r="E32" s="1540">
        <f t="shared" si="1"/>
        <v>0</v>
      </c>
      <c r="F32" s="1936">
        <f t="shared" si="2"/>
        <v>0</v>
      </c>
      <c r="G32" s="1793">
        <f t="shared" si="3"/>
        <v>0</v>
      </c>
    </row>
    <row r="33" spans="1:7" x14ac:dyDescent="0.25">
      <c r="A33" s="1653"/>
      <c r="B33" s="1933"/>
      <c r="C33" s="1654"/>
      <c r="D33" s="1844"/>
      <c r="E33" s="1540">
        <f t="shared" si="1"/>
        <v>0</v>
      </c>
      <c r="F33" s="1936">
        <f t="shared" si="2"/>
        <v>0</v>
      </c>
      <c r="G33" s="1793">
        <f t="shared" si="3"/>
        <v>0</v>
      </c>
    </row>
    <row r="34" spans="1:7" x14ac:dyDescent="0.25">
      <c r="A34" s="1653"/>
      <c r="B34" s="1933"/>
      <c r="C34" s="1654"/>
      <c r="D34" s="1844"/>
      <c r="E34" s="1540">
        <f t="shared" si="1"/>
        <v>0</v>
      </c>
      <c r="F34" s="1936">
        <f t="shared" si="2"/>
        <v>0</v>
      </c>
      <c r="G34" s="1793">
        <f t="shared" si="3"/>
        <v>0</v>
      </c>
    </row>
    <row r="35" spans="1:7" x14ac:dyDescent="0.25">
      <c r="A35" s="1653"/>
      <c r="B35" s="1933"/>
      <c r="C35" s="1654"/>
      <c r="D35" s="1844"/>
      <c r="E35" s="1540">
        <f t="shared" si="1"/>
        <v>0</v>
      </c>
      <c r="F35" s="1936">
        <f t="shared" si="2"/>
        <v>0</v>
      </c>
      <c r="G35" s="1793">
        <f t="shared" si="3"/>
        <v>0</v>
      </c>
    </row>
    <row r="36" spans="1:7" x14ac:dyDescent="0.25">
      <c r="A36" s="1653"/>
      <c r="B36" s="1933"/>
      <c r="C36" s="1654"/>
      <c r="D36" s="1844"/>
      <c r="E36" s="1540">
        <f t="shared" si="1"/>
        <v>0</v>
      </c>
      <c r="F36" s="1936">
        <f t="shared" si="2"/>
        <v>0</v>
      </c>
      <c r="G36" s="1793">
        <f t="shared" si="3"/>
        <v>0</v>
      </c>
    </row>
    <row r="37" spans="1:7" x14ac:dyDescent="0.25">
      <c r="A37" s="1653"/>
      <c r="B37" s="1933"/>
      <c r="C37" s="1654"/>
      <c r="D37" s="1844"/>
      <c r="E37" s="1540">
        <f t="shared" si="1"/>
        <v>0</v>
      </c>
      <c r="F37" s="1936">
        <f t="shared" si="2"/>
        <v>0</v>
      </c>
      <c r="G37" s="1793">
        <f t="shared" si="3"/>
        <v>0</v>
      </c>
    </row>
    <row r="38" spans="1:7" x14ac:dyDescent="0.25">
      <c r="A38" s="1653"/>
      <c r="B38" s="1933"/>
      <c r="C38" s="1654"/>
      <c r="D38" s="1844"/>
      <c r="E38" s="1540">
        <f t="shared" si="1"/>
        <v>0</v>
      </c>
      <c r="F38" s="1936">
        <f t="shared" si="2"/>
        <v>0</v>
      </c>
      <c r="G38" s="1793">
        <f t="shared" si="3"/>
        <v>0</v>
      </c>
    </row>
    <row r="39" spans="1:7" x14ac:dyDescent="0.25">
      <c r="A39" s="1653"/>
      <c r="B39" s="1934"/>
      <c r="C39" s="1654"/>
      <c r="D39" s="1844"/>
      <c r="E39" s="1540">
        <f t="shared" si="1"/>
        <v>0</v>
      </c>
      <c r="F39" s="1936">
        <f t="shared" si="2"/>
        <v>0</v>
      </c>
      <c r="G39" s="1793">
        <f t="shared" si="3"/>
        <v>0</v>
      </c>
    </row>
    <row r="40" spans="1:7" x14ac:dyDescent="0.25">
      <c r="A40" s="1653"/>
      <c r="B40" s="1934"/>
      <c r="C40" s="1654"/>
      <c r="D40" s="1844"/>
      <c r="E40" s="1540">
        <f t="shared" si="1"/>
        <v>0</v>
      </c>
      <c r="F40" s="1936">
        <f t="shared" si="2"/>
        <v>0</v>
      </c>
      <c r="G40" s="1793">
        <f t="shared" si="3"/>
        <v>0</v>
      </c>
    </row>
    <row r="41" spans="1:7" x14ac:dyDescent="0.25">
      <c r="A41" s="1653"/>
      <c r="B41" s="1934"/>
      <c r="C41" s="1654"/>
      <c r="D41" s="1844"/>
      <c r="E41" s="1540">
        <f t="shared" si="1"/>
        <v>0</v>
      </c>
      <c r="F41" s="1936">
        <f t="shared" si="2"/>
        <v>0</v>
      </c>
      <c r="G41" s="1793">
        <f t="shared" si="3"/>
        <v>0</v>
      </c>
    </row>
    <row r="42" spans="1:7" x14ac:dyDescent="0.25">
      <c r="A42" s="1653"/>
      <c r="B42" s="1934"/>
      <c r="C42" s="1654"/>
      <c r="D42" s="1844"/>
      <c r="E42" s="1540">
        <f t="shared" si="1"/>
        <v>0</v>
      </c>
      <c r="F42" s="1936">
        <f t="shared" si="2"/>
        <v>0</v>
      </c>
      <c r="G42" s="1793">
        <f t="shared" si="3"/>
        <v>0</v>
      </c>
    </row>
    <row r="43" spans="1:7" x14ac:dyDescent="0.25">
      <c r="A43" s="1653"/>
      <c r="B43" s="1934"/>
      <c r="C43" s="1654"/>
      <c r="D43" s="1844"/>
      <c r="E43" s="1540">
        <f t="shared" si="1"/>
        <v>0</v>
      </c>
      <c r="F43" s="1936">
        <f t="shared" si="2"/>
        <v>0</v>
      </c>
      <c r="G43" s="1793">
        <f t="shared" si="3"/>
        <v>0</v>
      </c>
    </row>
    <row r="44" spans="1:7" x14ac:dyDescent="0.25">
      <c r="A44" s="1653"/>
      <c r="B44" s="1934"/>
      <c r="C44" s="1654"/>
      <c r="D44" s="1844"/>
      <c r="E44" s="1540">
        <f t="shared" si="1"/>
        <v>0</v>
      </c>
      <c r="F44" s="1936">
        <f t="shared" si="2"/>
        <v>0</v>
      </c>
      <c r="G44" s="1793">
        <f t="shared" si="3"/>
        <v>0</v>
      </c>
    </row>
    <row r="45" spans="1:7" x14ac:dyDescent="0.25">
      <c r="A45" s="1653"/>
      <c r="B45" s="1934"/>
      <c r="C45" s="1654"/>
      <c r="D45" s="1844"/>
      <c r="E45" s="1540">
        <f t="shared" si="1"/>
        <v>0</v>
      </c>
      <c r="F45" s="1936">
        <f t="shared" si="2"/>
        <v>0</v>
      </c>
      <c r="G45" s="1793">
        <f t="shared" si="3"/>
        <v>0</v>
      </c>
    </row>
    <row r="46" spans="1:7" x14ac:dyDescent="0.25">
      <c r="A46" s="1653"/>
      <c r="B46" s="1934"/>
      <c r="C46" s="1654"/>
      <c r="D46" s="1844"/>
      <c r="E46" s="1540">
        <f t="shared" si="1"/>
        <v>0</v>
      </c>
      <c r="F46" s="1936">
        <f t="shared" si="2"/>
        <v>0</v>
      </c>
      <c r="G46" s="1793">
        <f t="shared" si="3"/>
        <v>0</v>
      </c>
    </row>
    <row r="47" spans="1:7" x14ac:dyDescent="0.25">
      <c r="A47" s="1653"/>
      <c r="B47" s="1667"/>
      <c r="C47" s="1654"/>
      <c r="D47" s="1844"/>
      <c r="E47" s="1540">
        <f t="shared" si="1"/>
        <v>0</v>
      </c>
      <c r="F47" s="1936">
        <f t="shared" si="2"/>
        <v>0</v>
      </c>
      <c r="G47" s="1793">
        <f t="shared" si="3"/>
        <v>0</v>
      </c>
    </row>
    <row r="48" spans="1:7" x14ac:dyDescent="0.25">
      <c r="A48" s="1653"/>
      <c r="B48" s="1667"/>
      <c r="C48" s="1654"/>
      <c r="D48" s="1844"/>
      <c r="E48" s="1540">
        <f t="shared" si="1"/>
        <v>0</v>
      </c>
      <c r="F48" s="1936">
        <f t="shared" si="2"/>
        <v>0</v>
      </c>
      <c r="G48" s="1793">
        <f t="shared" si="3"/>
        <v>0</v>
      </c>
    </row>
    <row r="49" spans="1:7" x14ac:dyDescent="0.25">
      <c r="A49" s="1653"/>
      <c r="B49" s="1667"/>
      <c r="C49" s="1654"/>
      <c r="D49" s="1844"/>
      <c r="E49" s="1540">
        <f t="shared" si="1"/>
        <v>0</v>
      </c>
      <c r="F49" s="1936">
        <f t="shared" si="2"/>
        <v>0</v>
      </c>
      <c r="G49" s="1793">
        <f t="shared" si="3"/>
        <v>0</v>
      </c>
    </row>
    <row r="50" spans="1:7" x14ac:dyDescent="0.25">
      <c r="A50" s="1653"/>
      <c r="B50" s="1667"/>
      <c r="C50" s="1654"/>
      <c r="D50" s="1844"/>
      <c r="E50" s="1540">
        <f t="shared" si="1"/>
        <v>0</v>
      </c>
      <c r="F50" s="1936">
        <f t="shared" si="2"/>
        <v>0</v>
      </c>
      <c r="G50" s="1793">
        <f t="shared" si="3"/>
        <v>0</v>
      </c>
    </row>
    <row r="51" spans="1:7" x14ac:dyDescent="0.25">
      <c r="A51" s="1653"/>
      <c r="B51" s="1667"/>
      <c r="C51" s="1654"/>
      <c r="D51" s="1844"/>
      <c r="E51" s="1540">
        <f t="shared" si="1"/>
        <v>0</v>
      </c>
      <c r="F51" s="1936">
        <f t="shared" si="2"/>
        <v>0</v>
      </c>
      <c r="G51" s="1793">
        <f t="shared" si="3"/>
        <v>0</v>
      </c>
    </row>
    <row r="52" spans="1:7" x14ac:dyDescent="0.25">
      <c r="A52" s="1653"/>
      <c r="B52" s="1667"/>
      <c r="C52" s="1654"/>
      <c r="D52" s="1844"/>
      <c r="E52" s="1540">
        <f t="shared" si="1"/>
        <v>0</v>
      </c>
      <c r="F52" s="1936">
        <f t="shared" si="2"/>
        <v>0</v>
      </c>
      <c r="G52" s="1793">
        <f t="shared" si="3"/>
        <v>0</v>
      </c>
    </row>
    <row r="53" spans="1:7" x14ac:dyDescent="0.25">
      <c r="A53" s="1653"/>
      <c r="B53" s="1667"/>
      <c r="C53" s="1654"/>
      <c r="D53" s="1844"/>
      <c r="E53" s="1540">
        <f t="shared" si="1"/>
        <v>0</v>
      </c>
      <c r="F53" s="1936">
        <f t="shared" si="2"/>
        <v>0</v>
      </c>
      <c r="G53" s="1793">
        <f t="shared" si="3"/>
        <v>0</v>
      </c>
    </row>
    <row r="54" spans="1:7" x14ac:dyDescent="0.25">
      <c r="A54" s="1653"/>
      <c r="B54" s="1667"/>
      <c r="C54" s="1654"/>
      <c r="D54" s="1844"/>
      <c r="E54" s="1540">
        <f t="shared" si="1"/>
        <v>0</v>
      </c>
      <c r="F54" s="1936">
        <f t="shared" si="2"/>
        <v>0</v>
      </c>
      <c r="G54" s="1793">
        <f t="shared" si="3"/>
        <v>0</v>
      </c>
    </row>
    <row r="55" spans="1:7" x14ac:dyDescent="0.25">
      <c r="A55" s="1653"/>
      <c r="B55" s="1667"/>
      <c r="C55" s="1654"/>
      <c r="D55" s="1844"/>
      <c r="E55" s="1540">
        <f t="shared" si="1"/>
        <v>0</v>
      </c>
      <c r="F55" s="1936">
        <f t="shared" si="2"/>
        <v>0</v>
      </c>
      <c r="G55" s="1793">
        <f t="shared" si="3"/>
        <v>0</v>
      </c>
    </row>
    <row r="56" spans="1:7" x14ac:dyDescent="0.25">
      <c r="A56" s="1653"/>
      <c r="B56" s="1667"/>
      <c r="C56" s="1654"/>
      <c r="D56" s="1844"/>
      <c r="E56" s="1540">
        <f t="shared" si="1"/>
        <v>0</v>
      </c>
      <c r="F56" s="1936">
        <f t="shared" si="2"/>
        <v>0</v>
      </c>
      <c r="G56" s="1793">
        <f t="shared" si="3"/>
        <v>0</v>
      </c>
    </row>
    <row r="57" spans="1:7" x14ac:dyDescent="0.25">
      <c r="A57" s="1653"/>
      <c r="B57" s="1667"/>
      <c r="C57" s="1654"/>
      <c r="D57" s="1844"/>
      <c r="E57" s="1540">
        <f t="shared" si="1"/>
        <v>0</v>
      </c>
      <c r="F57" s="1936">
        <f t="shared" si="2"/>
        <v>0</v>
      </c>
      <c r="G57" s="1793">
        <f t="shared" si="3"/>
        <v>0</v>
      </c>
    </row>
    <row r="58" spans="1:7" x14ac:dyDescent="0.25">
      <c r="A58" s="1653"/>
      <c r="B58" s="1667"/>
      <c r="C58" s="1654"/>
      <c r="D58" s="1844"/>
      <c r="E58" s="1540">
        <f t="shared" si="1"/>
        <v>0</v>
      </c>
      <c r="F58" s="1936">
        <f t="shared" si="2"/>
        <v>0</v>
      </c>
      <c r="G58" s="1793">
        <f t="shared" si="3"/>
        <v>0</v>
      </c>
    </row>
    <row r="59" spans="1:7" x14ac:dyDescent="0.25">
      <c r="A59" s="1653"/>
      <c r="B59" s="1667"/>
      <c r="C59" s="1654"/>
      <c r="D59" s="1844"/>
      <c r="E59" s="1540">
        <f t="shared" si="1"/>
        <v>0</v>
      </c>
      <c r="F59" s="1936">
        <f t="shared" si="2"/>
        <v>0</v>
      </c>
      <c r="G59" s="1793">
        <f t="shared" si="3"/>
        <v>0</v>
      </c>
    </row>
    <row r="60" spans="1:7" x14ac:dyDescent="0.25">
      <c r="A60" s="1653"/>
      <c r="B60" s="1667"/>
      <c r="C60" s="1654"/>
      <c r="D60" s="1844"/>
      <c r="E60" s="1540">
        <f t="shared" si="1"/>
        <v>0</v>
      </c>
      <c r="F60" s="1936">
        <f t="shared" si="2"/>
        <v>0</v>
      </c>
      <c r="G60" s="1793">
        <f t="shared" si="3"/>
        <v>0</v>
      </c>
    </row>
    <row r="61" spans="1:7" x14ac:dyDescent="0.25">
      <c r="A61" s="1653"/>
      <c r="B61" s="1667"/>
      <c r="C61" s="1654"/>
      <c r="D61" s="1844"/>
      <c r="E61" s="1540">
        <f t="shared" si="1"/>
        <v>0</v>
      </c>
      <c r="F61" s="1936">
        <f t="shared" si="2"/>
        <v>0</v>
      </c>
      <c r="G61" s="1793">
        <f t="shared" si="3"/>
        <v>0</v>
      </c>
    </row>
    <row r="62" spans="1:7" x14ac:dyDescent="0.25">
      <c r="A62" s="1653"/>
      <c r="B62" s="1667"/>
      <c r="C62" s="1654"/>
      <c r="D62" s="1844"/>
      <c r="E62" s="1540">
        <f t="shared" si="1"/>
        <v>0</v>
      </c>
      <c r="F62" s="1936">
        <f t="shared" si="2"/>
        <v>0</v>
      </c>
      <c r="G62" s="1793">
        <f t="shared" si="3"/>
        <v>0</v>
      </c>
    </row>
    <row r="63" spans="1:7" x14ac:dyDescent="0.25">
      <c r="A63" s="1653"/>
      <c r="B63" s="1667"/>
      <c r="C63" s="1654"/>
      <c r="D63" s="1844"/>
      <c r="E63" s="1540">
        <f t="shared" si="1"/>
        <v>0</v>
      </c>
      <c r="F63" s="1936">
        <f t="shared" si="2"/>
        <v>0</v>
      </c>
      <c r="G63" s="1793">
        <f t="shared" si="3"/>
        <v>0</v>
      </c>
    </row>
    <row r="64" spans="1:7" x14ac:dyDescent="0.25">
      <c r="A64" s="1653"/>
      <c r="B64" s="1667"/>
      <c r="C64" s="1654"/>
      <c r="D64" s="1844"/>
      <c r="E64" s="1540">
        <f t="shared" si="1"/>
        <v>0</v>
      </c>
      <c r="F64" s="1936">
        <f t="shared" si="2"/>
        <v>0</v>
      </c>
      <c r="G64" s="1793">
        <f t="shared" si="3"/>
        <v>0</v>
      </c>
    </row>
    <row r="65" spans="1:7" x14ac:dyDescent="0.25">
      <c r="A65" s="1655"/>
      <c r="B65" s="1667"/>
      <c r="C65" s="1656"/>
      <c r="D65" s="1844"/>
      <c r="E65" s="1540">
        <f t="shared" si="1"/>
        <v>0</v>
      </c>
      <c r="F65" s="1936">
        <f t="shared" si="2"/>
        <v>0</v>
      </c>
      <c r="G65" s="1793">
        <f t="shared" si="3"/>
        <v>0</v>
      </c>
    </row>
    <row r="66" spans="1:7" x14ac:dyDescent="0.25">
      <c r="A66" s="1653"/>
      <c r="B66" s="1667"/>
      <c r="C66" s="1654"/>
      <c r="D66" s="1844"/>
      <c r="E66" s="1540">
        <f t="shared" si="1"/>
        <v>0</v>
      </c>
      <c r="F66" s="1936">
        <f t="shared" si="2"/>
        <v>0</v>
      </c>
      <c r="G66" s="1793">
        <f t="shared" si="3"/>
        <v>0</v>
      </c>
    </row>
    <row r="67" spans="1:7" x14ac:dyDescent="0.25">
      <c r="A67" s="1653"/>
      <c r="B67" s="1667"/>
      <c r="C67" s="1654"/>
      <c r="D67" s="1844"/>
      <c r="E67" s="1540">
        <f t="shared" si="1"/>
        <v>0</v>
      </c>
      <c r="F67" s="1936">
        <f t="shared" si="2"/>
        <v>0</v>
      </c>
      <c r="G67" s="1793">
        <f t="shared" si="3"/>
        <v>0</v>
      </c>
    </row>
    <row r="68" spans="1:7" x14ac:dyDescent="0.25">
      <c r="A68" s="1653"/>
      <c r="B68" s="1667"/>
      <c r="C68" s="1654"/>
      <c r="D68" s="1844"/>
      <c r="E68" s="1540">
        <f t="shared" si="1"/>
        <v>0</v>
      </c>
      <c r="F68" s="1936">
        <f t="shared" si="2"/>
        <v>0</v>
      </c>
      <c r="G68" s="1793">
        <f t="shared" si="3"/>
        <v>0</v>
      </c>
    </row>
    <row r="69" spans="1:7" x14ac:dyDescent="0.25">
      <c r="A69" s="1653"/>
      <c r="B69" s="1667"/>
      <c r="C69" s="1654"/>
      <c r="D69" s="1844"/>
      <c r="E69" s="1540">
        <f t="shared" si="1"/>
        <v>0</v>
      </c>
      <c r="F69" s="1936">
        <f t="shared" si="2"/>
        <v>0</v>
      </c>
      <c r="G69" s="1793">
        <f t="shared" si="3"/>
        <v>0</v>
      </c>
    </row>
    <row r="70" spans="1:7" x14ac:dyDescent="0.25">
      <c r="A70" s="1653"/>
      <c r="B70" s="1667"/>
      <c r="C70" s="1654"/>
      <c r="D70" s="1844"/>
      <c r="E70" s="1540">
        <f t="shared" si="1"/>
        <v>0</v>
      </c>
      <c r="F70" s="1936">
        <f t="shared" si="2"/>
        <v>0</v>
      </c>
      <c r="G70" s="1793">
        <f t="shared" si="3"/>
        <v>0</v>
      </c>
    </row>
    <row r="71" spans="1:7" x14ac:dyDescent="0.25">
      <c r="A71" s="1653"/>
      <c r="B71" s="1667"/>
      <c r="C71" s="1654"/>
      <c r="D71" s="1844"/>
      <c r="E71" s="1540">
        <f t="shared" si="1"/>
        <v>0</v>
      </c>
      <c r="F71" s="1936">
        <f t="shared" si="2"/>
        <v>0</v>
      </c>
      <c r="G71" s="1793">
        <f t="shared" si="3"/>
        <v>0</v>
      </c>
    </row>
    <row r="72" spans="1:7" x14ac:dyDescent="0.25">
      <c r="A72" s="1653"/>
      <c r="B72" s="1667"/>
      <c r="C72" s="1654"/>
      <c r="D72" s="1844"/>
      <c r="E72" s="1540">
        <f t="shared" si="1"/>
        <v>0</v>
      </c>
      <c r="F72" s="1936">
        <f t="shared" si="2"/>
        <v>0</v>
      </c>
      <c r="G72" s="1793">
        <f t="shared" si="3"/>
        <v>0</v>
      </c>
    </row>
    <row r="73" spans="1:7" x14ac:dyDescent="0.25">
      <c r="A73" s="1653"/>
      <c r="B73" s="1667"/>
      <c r="C73" s="1654"/>
      <c r="D73" s="1844"/>
      <c r="E73" s="1540">
        <f t="shared" si="1"/>
        <v>0</v>
      </c>
      <c r="F73" s="1936">
        <f t="shared" si="2"/>
        <v>0</v>
      </c>
      <c r="G73" s="1793">
        <f t="shared" si="3"/>
        <v>0</v>
      </c>
    </row>
    <row r="74" spans="1:7" x14ac:dyDescent="0.25">
      <c r="A74" s="1653"/>
      <c r="B74" s="1667"/>
      <c r="C74" s="1654"/>
      <c r="D74" s="1844"/>
      <c r="E74" s="1540">
        <f t="shared" ref="E74:E85" si="4">IF(D74&lt;=25000,D74,IF(D74&gt;25000,25000,0))</f>
        <v>0</v>
      </c>
      <c r="F74" s="1936">
        <f t="shared" si="2"/>
        <v>0</v>
      </c>
      <c r="G74" s="1793">
        <f t="shared" ref="G74:G85" si="5">IF(F74=0,0,D74-F74)</f>
        <v>0</v>
      </c>
    </row>
    <row r="75" spans="1:7" x14ac:dyDescent="0.25">
      <c r="A75" s="1653"/>
      <c r="B75" s="1667"/>
      <c r="C75" s="1654"/>
      <c r="D75" s="1844"/>
      <c r="E75" s="1540">
        <f t="shared" si="4"/>
        <v>0</v>
      </c>
      <c r="F75" s="1936">
        <f t="shared" si="2"/>
        <v>0</v>
      </c>
      <c r="G75" s="1793">
        <f t="shared" si="5"/>
        <v>0</v>
      </c>
    </row>
    <row r="76" spans="1:7" x14ac:dyDescent="0.25">
      <c r="A76" s="1653"/>
      <c r="B76" s="1667"/>
      <c r="C76" s="1654"/>
      <c r="D76" s="1844"/>
      <c r="E76" s="1540">
        <f t="shared" si="4"/>
        <v>0</v>
      </c>
      <c r="F76" s="1936">
        <f t="shared" si="2"/>
        <v>0</v>
      </c>
      <c r="G76" s="1793">
        <f t="shared" si="5"/>
        <v>0</v>
      </c>
    </row>
    <row r="77" spans="1:7" x14ac:dyDescent="0.25">
      <c r="A77" s="1653"/>
      <c r="B77" s="1667"/>
      <c r="C77" s="1654"/>
      <c r="D77" s="1844"/>
      <c r="E77" s="1540">
        <f t="shared" si="4"/>
        <v>0</v>
      </c>
      <c r="F77" s="1936">
        <f t="shared" si="2"/>
        <v>0</v>
      </c>
      <c r="G77" s="1793">
        <f t="shared" si="5"/>
        <v>0</v>
      </c>
    </row>
    <row r="78" spans="1:7" x14ac:dyDescent="0.25">
      <c r="A78" s="1653"/>
      <c r="B78" s="1667"/>
      <c r="C78" s="1654"/>
      <c r="D78" s="1844"/>
      <c r="E78" s="1540">
        <f t="shared" si="4"/>
        <v>0</v>
      </c>
      <c r="F78" s="1936">
        <f t="shared" si="2"/>
        <v>0</v>
      </c>
      <c r="G78" s="1793">
        <f t="shared" si="5"/>
        <v>0</v>
      </c>
    </row>
    <row r="79" spans="1:7" x14ac:dyDescent="0.25">
      <c r="A79" s="1653"/>
      <c r="B79" s="1667"/>
      <c r="C79" s="1654"/>
      <c r="D79" s="1844"/>
      <c r="E79" s="1540">
        <f t="shared" si="4"/>
        <v>0</v>
      </c>
      <c r="F79" s="1936">
        <f t="shared" si="2"/>
        <v>0</v>
      </c>
      <c r="G79" s="1793">
        <f t="shared" si="5"/>
        <v>0</v>
      </c>
    </row>
    <row r="80" spans="1:7" x14ac:dyDescent="0.25">
      <c r="A80" s="1653"/>
      <c r="B80" s="1667"/>
      <c r="C80" s="1654"/>
      <c r="D80" s="1844"/>
      <c r="E80" s="1540">
        <f t="shared" si="4"/>
        <v>0</v>
      </c>
      <c r="F80" s="1936">
        <f t="shared" si="2"/>
        <v>0</v>
      </c>
      <c r="G80" s="1793">
        <f t="shared" si="5"/>
        <v>0</v>
      </c>
    </row>
    <row r="81" spans="1:7" x14ac:dyDescent="0.25">
      <c r="A81" s="1653"/>
      <c r="B81" s="1667"/>
      <c r="C81" s="1654"/>
      <c r="D81" s="1844"/>
      <c r="E81" s="1540">
        <f t="shared" si="4"/>
        <v>0</v>
      </c>
      <c r="F81" s="1936">
        <f t="shared" si="2"/>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1"/>
        <v>0</v>
      </c>
      <c r="F86" s="1936">
        <f t="shared" si="6"/>
        <v>0</v>
      </c>
      <c r="G86" s="1793">
        <f t="shared" si="3"/>
        <v>0</v>
      </c>
    </row>
    <row r="87" spans="1:7" x14ac:dyDescent="0.25">
      <c r="A87" s="1653"/>
      <c r="B87" s="1667"/>
      <c r="C87" s="1654"/>
      <c r="D87" s="1844"/>
      <c r="E87" s="1540">
        <f t="shared" si="1"/>
        <v>0</v>
      </c>
      <c r="F87" s="1936">
        <f t="shared" si="6"/>
        <v>0</v>
      </c>
      <c r="G87" s="1793">
        <f t="shared" si="3"/>
        <v>0</v>
      </c>
    </row>
    <row r="88" spans="1:7" x14ac:dyDescent="0.25">
      <c r="A88" s="1653"/>
      <c r="B88" s="1667"/>
      <c r="C88" s="1654"/>
      <c r="D88" s="1844"/>
      <c r="E88" s="1540">
        <f t="shared" si="1"/>
        <v>0</v>
      </c>
      <c r="F88" s="1936">
        <f t="shared" si="6"/>
        <v>0</v>
      </c>
      <c r="G88" s="1793">
        <f t="shared" si="3"/>
        <v>0</v>
      </c>
    </row>
    <row r="89" spans="1:7" x14ac:dyDescent="0.25">
      <c r="A89" s="1653"/>
      <c r="B89" s="1667"/>
      <c r="C89" s="1654"/>
      <c r="D89" s="1844"/>
      <c r="E89" s="1540">
        <f t="shared" si="1"/>
        <v>0</v>
      </c>
      <c r="F89" s="1936">
        <f t="shared" si="6"/>
        <v>0</v>
      </c>
      <c r="G89" s="1793">
        <f t="shared" si="3"/>
        <v>0</v>
      </c>
    </row>
    <row r="90" spans="1:7" x14ac:dyDescent="0.25">
      <c r="A90" s="1653"/>
      <c r="B90" s="1667"/>
      <c r="C90" s="1654"/>
      <c r="D90" s="1844"/>
      <c r="E90" s="1540">
        <f t="shared" si="1"/>
        <v>0</v>
      </c>
      <c r="F90" s="1936">
        <f t="shared" si="6"/>
        <v>0</v>
      </c>
      <c r="G90" s="1793">
        <f t="shared" si="3"/>
        <v>0</v>
      </c>
    </row>
    <row r="91" spans="1:7" x14ac:dyDescent="0.25">
      <c r="A91" s="1653"/>
      <c r="B91" s="1667"/>
      <c r="C91" s="1654"/>
      <c r="D91" s="1844"/>
      <c r="E91" s="1540">
        <f t="shared" si="1"/>
        <v>0</v>
      </c>
      <c r="F91" s="1936">
        <f t="shared" si="6"/>
        <v>0</v>
      </c>
      <c r="G91" s="1793">
        <f t="shared" si="3"/>
        <v>0</v>
      </c>
    </row>
    <row r="92" spans="1:7" x14ac:dyDescent="0.25">
      <c r="A92" s="1653"/>
      <c r="B92" s="1667"/>
      <c r="C92" s="1654"/>
      <c r="D92" s="1844"/>
      <c r="E92" s="1540">
        <f t="shared" si="1"/>
        <v>0</v>
      </c>
      <c r="F92" s="1936">
        <f t="shared" si="6"/>
        <v>0</v>
      </c>
      <c r="G92" s="1793">
        <f t="shared" si="3"/>
        <v>0</v>
      </c>
    </row>
    <row r="93" spans="1:7" x14ac:dyDescent="0.25">
      <c r="A93" s="1653"/>
      <c r="B93" s="1667"/>
      <c r="C93" s="1654"/>
      <c r="D93" s="1844"/>
      <c r="E93" s="1540">
        <f t="shared" si="1"/>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1"/>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1"/>
        <v>0</v>
      </c>
      <c r="F141" s="1936">
        <f t="shared" si="6"/>
        <v>0</v>
      </c>
      <c r="G141" s="1793">
        <f t="shared" si="3"/>
        <v>0</v>
      </c>
    </row>
    <row r="142" spans="1:7" x14ac:dyDescent="0.25">
      <c r="A142" s="1796" t="s">
        <v>156</v>
      </c>
      <c r="B142" s="1797"/>
      <c r="C142" s="1798"/>
      <c r="D142" s="1794">
        <f>SUM(D18:D141)</f>
        <v>5712</v>
      </c>
      <c r="E142" s="1541">
        <f t="shared" si="0"/>
        <v>5712</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zoomScalePageLayoutView="110" workbookViewId="0">
      <selection activeCell="T25" sqref="T25:AA25"/>
    </sheetView>
  </sheetViews>
  <sheetFormatPr defaultColWidth="9.140625" defaultRowHeight="12.75" x14ac:dyDescent="0.2"/>
  <cols>
    <col min="1" max="1" width="8.140625" style="329" customWidth="1"/>
    <col min="2" max="2" width="46.71093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42578125" style="329" customWidth="1"/>
    <col min="15" max="16384" width="9.140625" style="329"/>
  </cols>
  <sheetData>
    <row r="1" spans="1:9" ht="27.2"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5" t="s">
        <v>1975</v>
      </c>
      <c r="B11" s="2296"/>
      <c r="C11" s="2296"/>
      <c r="D11" s="229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1016473</v>
      </c>
      <c r="F19" s="1799"/>
      <c r="G19" s="1801">
        <f>'Expenditures 15-22'!K33-SUM('Expenditures 15-22'!G33,'Expenditures 15-22'!I33)+'Expenditures 15-22'!D229</f>
        <v>1016473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85162</v>
      </c>
      <c r="F21" s="1802"/>
      <c r="G21" s="1805">
        <f>'Expenditures 15-22'!K42-SUM('Expenditures 15-22'!G42,'Expenditures 15-22'!I42)+'Expenditures 15-22'!K120-SUM('Expenditures 15-22'!G120,'Expenditures 15-22'!I120)+'Expenditures 15-22'!K180-SUM('Expenditures 15-22'!G180,'Expenditures 15-22'!I180)+'Expenditures 15-22'!D238</f>
        <v>85162</v>
      </c>
      <c r="H21" s="987"/>
      <c r="I21" s="162"/>
    </row>
    <row r="22" spans="1:9" s="668" customFormat="1" ht="12" customHeight="1" x14ac:dyDescent="0.2">
      <c r="A22" s="994" t="s">
        <v>564</v>
      </c>
      <c r="B22" s="995"/>
      <c r="C22" s="993">
        <v>2200</v>
      </c>
      <c r="D22" s="1802"/>
      <c r="E22" s="1804">
        <f>'Expenditures 15-22'!K47-SUM('Expenditures 15-22'!G47,'Expenditures 15-22'!I47)+'Expenditures 15-22'!D243</f>
        <v>48584</v>
      </c>
      <c r="F22" s="1802"/>
      <c r="G22" s="1805">
        <f>'Expenditures 15-22'!K47-SUM('Expenditures 15-22'!G47,'Expenditures 15-22'!I47)+'Expenditures 15-22'!D243</f>
        <v>48584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147991</v>
      </c>
      <c r="F23" s="1802"/>
      <c r="G23" s="1804">
        <f>'Expenditures 15-22'!K53-SUM('Expenditures 15-22'!G53,'Expenditures 15-22'!I53)+'Expenditures 15-22'!D257+'Expenditures 15-22'!K330-SUM('Expenditures 15-22'!G330,'Expenditures 15-22'!I330)</f>
        <v>147991</v>
      </c>
      <c r="H23" s="987"/>
      <c r="I23" s="162"/>
    </row>
    <row r="24" spans="1:9" s="668" customFormat="1" ht="12" customHeight="1" x14ac:dyDescent="0.2">
      <c r="A24" s="994" t="s">
        <v>566</v>
      </c>
      <c r="B24" s="995"/>
      <c r="C24" s="993">
        <v>2400</v>
      </c>
      <c r="D24" s="1802"/>
      <c r="E24" s="1804">
        <f>'Expenditures 15-22'!K57-SUM('Expenditures 15-22'!G57,'Expenditures 15-22'!I57)+'Expenditures 15-22'!D261</f>
        <v>153093</v>
      </c>
      <c r="F24" s="1802"/>
      <c r="G24" s="1805">
        <f>'Expenditures 15-22'!K57-SUM('Expenditures 15-22'!G57,'Expenditures 15-22'!I57)+'Expenditures 15-22'!D261</f>
        <v>153093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1860</v>
      </c>
      <c r="E26" s="1804">
        <f>'Expenditures 15-22'!K122-SUM('Expenditures 15-22'!G122,'Expenditures 15-22'!I122)+E7</f>
        <v>0</v>
      </c>
      <c r="F26" s="1804">
        <f>'Expenditures 15-22'!K59-SUM('Expenditures 15-22'!G59,'Expenditures 15-22'!I59)+'Expenditures 15-22'!D263-E7</f>
        <v>1860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210265</v>
      </c>
      <c r="F28" s="1806">
        <f>'Expenditures 15-22'!K61-SUM('Expenditures 15-22'!G61,'Expenditures 15-22'!I61)+'Expenditures 15-22'!K124-SUM('Expenditures 15-22'!G124,'Expenditures 15-22'!I124)+'Expenditures 15-22'!D266-E9</f>
        <v>210265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7394</v>
      </c>
      <c r="F29" s="1802"/>
      <c r="G29" s="1805">
        <f>'Expenditures 15-22'!K62-SUM('Expenditures 15-22'!G62,'Expenditures 15-22'!I62)+'Expenditures 15-22'!K125-SUM('Expenditures 15-22'!G125,'Expenditures 15-22'!I125)+'Expenditures 15-22'!K182-SUM('Expenditures 15-22'!G182,'Expenditures 15-22'!I182)+'Expenditures 15-22'!D267</f>
        <v>7394</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1860</v>
      </c>
      <c r="E41" s="1806">
        <f>SUM(E19:E40)</f>
        <v>1668962</v>
      </c>
      <c r="F41" s="1806">
        <f>SUM(F19:F39)</f>
        <v>212125</v>
      </c>
      <c r="G41" s="1806">
        <f>SUM(G19:G40)</f>
        <v>1458697</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1860</v>
      </c>
      <c r="F43" s="1807" t="s">
        <v>473</v>
      </c>
      <c r="G43" s="1808">
        <f>F41</f>
        <v>212125</v>
      </c>
    </row>
    <row r="44" spans="1:7" ht="12" customHeight="1" x14ac:dyDescent="0.2">
      <c r="A44" s="987"/>
      <c r="B44" s="162"/>
      <c r="C44" s="1001"/>
      <c r="D44" s="1807" t="s">
        <v>474</v>
      </c>
      <c r="E44" s="1808">
        <f>E41</f>
        <v>1668962</v>
      </c>
      <c r="F44" s="1807" t="s">
        <v>474</v>
      </c>
      <c r="G44" s="1808">
        <f>G41</f>
        <v>1458697</v>
      </c>
    </row>
    <row r="45" spans="1:7" ht="12" customHeight="1" x14ac:dyDescent="0.2">
      <c r="A45" s="987"/>
      <c r="B45" s="162"/>
      <c r="C45" s="162"/>
      <c r="D45" s="1809" t="s">
        <v>1006</v>
      </c>
      <c r="E45" s="1810">
        <f>(E43/E44)</f>
        <v>1.1144651585835988E-3</v>
      </c>
      <c r="F45" s="1809" t="s">
        <v>1006</v>
      </c>
      <c r="G45" s="1810">
        <f>(G43/G44)</f>
        <v>0.14542087904479134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PageLayoutView="110" workbookViewId="0">
      <pane ySplit="4" topLeftCell="A5" activePane="bottomLeft" state="frozen"/>
      <selection activeCell="T25" sqref="T25:AA25"/>
      <selection pane="bottomLeft" activeCell="T25" sqref="T25:AA25"/>
    </sheetView>
  </sheetViews>
  <sheetFormatPr defaultColWidth="9.140625" defaultRowHeight="12.75" x14ac:dyDescent="0.2"/>
  <cols>
    <col min="1" max="1" width="54.42578125" style="1876" customWidth="1"/>
    <col min="2" max="2" width="4.140625" style="1876" customWidth="1"/>
    <col min="3" max="4" width="9.7109375" style="1847" customWidth="1"/>
    <col min="5" max="5" width="12.42578125" style="1877" customWidth="1"/>
    <col min="6" max="6" width="67.42578125" style="1847" customWidth="1"/>
    <col min="7" max="7" width="9.140625" style="1847" customWidth="1"/>
    <col min="8" max="8" width="5.42578125" style="1878" bestFit="1" customWidth="1"/>
    <col min="9" max="10" width="2" style="1878" bestFit="1" customWidth="1"/>
    <col min="11" max="11" width="9" style="1878" customWidth="1"/>
    <col min="12" max="16384" width="9.140625" style="1847"/>
  </cols>
  <sheetData>
    <row r="1" spans="1:10" x14ac:dyDescent="0.2">
      <c r="A1" s="2312" t="s">
        <v>1379</v>
      </c>
      <c r="B1" s="2312"/>
      <c r="C1" s="2312"/>
      <c r="D1" s="2312"/>
      <c r="E1" s="2312"/>
      <c r="F1" s="2312"/>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13" t="s">
        <v>1546</v>
      </c>
      <c r="B5" s="2314"/>
      <c r="C5" s="2315"/>
      <c r="D5" s="2315"/>
      <c r="E5" s="2315"/>
      <c r="F5" s="2315"/>
    </row>
    <row r="6" spans="1:10" ht="12" customHeight="1" x14ac:dyDescent="0.25">
      <c r="A6" s="1850"/>
      <c r="B6" s="1851"/>
      <c r="C6" s="2316" t="str">
        <f>COVER!A17</f>
        <v>Whiteside Regional Voc System</v>
      </c>
      <c r="D6" s="2316"/>
      <c r="E6" s="2316"/>
      <c r="F6" s="1852"/>
    </row>
    <row r="7" spans="1:10" ht="11.25" customHeight="1" thickBot="1" x14ac:dyDescent="0.3">
      <c r="A7" s="1850"/>
      <c r="B7" s="1851"/>
      <c r="C7" s="2317">
        <f>COVER!A13</f>
        <v>47098005046</v>
      </c>
      <c r="D7" s="2317"/>
      <c r="E7" s="2317"/>
      <c r="F7" s="1852"/>
    </row>
    <row r="8" spans="1:10" ht="25.5" customHeight="1" thickBot="1" x14ac:dyDescent="0.25">
      <c r="A8" s="1893" t="s">
        <v>1907</v>
      </c>
      <c r="B8" s="1853" t="s">
        <v>2065</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zoomScalePageLayoutView="110" workbookViewId="0">
      <selection activeCell="T25" sqref="T25:AA25"/>
    </sheetView>
  </sheetViews>
  <sheetFormatPr defaultColWidth="9.140625" defaultRowHeight="12.75" x14ac:dyDescent="0.2"/>
  <cols>
    <col min="1" max="1" width="3" style="1010" customWidth="1"/>
    <col min="2" max="2" width="2.7109375" style="1010" customWidth="1"/>
    <col min="3" max="3" width="38.42578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Whiteside Regional Voc System</v>
      </c>
      <c r="J6" s="2326"/>
      <c r="Q6" s="1664"/>
    </row>
    <row r="7" spans="1:17" x14ac:dyDescent="0.2">
      <c r="A7" s="2327" t="s">
        <v>869</v>
      </c>
      <c r="B7" s="2328"/>
      <c r="C7" s="2328"/>
      <c r="D7" s="2328"/>
      <c r="E7" s="2329"/>
      <c r="F7" s="1017"/>
      <c r="G7" s="1009"/>
      <c r="H7" s="1016" t="s">
        <v>372</v>
      </c>
      <c r="I7" s="2330">
        <f>COVER!A13</f>
        <v>47098005046</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1860</v>
      </c>
      <c r="F15" s="1811">
        <f>'Expenditures 15-22'!K122</f>
        <v>0</v>
      </c>
      <c r="G15" s="1811">
        <f t="shared" si="0"/>
        <v>1860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95" customHeight="1" thickBot="1" x14ac:dyDescent="0.25">
      <c r="A19" s="1035">
        <v>8</v>
      </c>
      <c r="B19" s="1044" t="s">
        <v>1161</v>
      </c>
      <c r="D19" s="1045"/>
      <c r="E19" s="1813">
        <f t="shared" ref="E19:J19" si="2">SUM(E12:E17)-E18</f>
        <v>1860</v>
      </c>
      <c r="F19" s="1813">
        <f t="shared" si="2"/>
        <v>0</v>
      </c>
      <c r="G19" s="1813">
        <f t="shared" si="2"/>
        <v>1860</v>
      </c>
      <c r="H19" s="1813">
        <f t="shared" si="2"/>
        <v>0</v>
      </c>
      <c r="I19" s="1813">
        <f t="shared" si="2"/>
        <v>0</v>
      </c>
      <c r="J19" s="1813">
        <f t="shared" si="2"/>
        <v>0</v>
      </c>
    </row>
    <row r="20" spans="1:10" ht="13.5" thickTop="1" x14ac:dyDescent="0.2">
      <c r="A20" s="1035">
        <v>9</v>
      </c>
      <c r="B20" s="2337" t="s">
        <v>1979</v>
      </c>
      <c r="C20" s="2337"/>
      <c r="D20" s="2338"/>
      <c r="E20" s="1046"/>
      <c r="F20" s="1046"/>
      <c r="G20" s="1046"/>
      <c r="H20" s="1046"/>
      <c r="I20" s="1046"/>
      <c r="J20" s="1814" t="str">
        <f>IF(AND(G19&gt;0,J19&gt;0),(((J19-G19)/G19)),"Enter Budget Data")</f>
        <v>Enter Budget Data</v>
      </c>
    </row>
    <row r="21" spans="1:10" ht="9.1999999999999993"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1999999999999993" customHeight="1" x14ac:dyDescent="0.2">
      <c r="B30" s="1047"/>
      <c r="C30" s="1057"/>
      <c r="E30" s="1058"/>
      <c r="F30" s="1059"/>
      <c r="G30" s="1059"/>
    </row>
    <row r="31" spans="1:10" ht="15" customHeight="1" x14ac:dyDescent="0.2">
      <c r="A31" s="1011"/>
      <c r="B31" s="1060" t="s">
        <v>1034</v>
      </c>
    </row>
    <row r="32" spans="1:10" ht="9.1999999999999993" customHeight="1" x14ac:dyDescent="0.2">
      <c r="A32" s="1011"/>
      <c r="B32" s="1048"/>
    </row>
    <row r="33" spans="1:10" ht="12.9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1981</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3" zoomScale="110" zoomScaleNormal="110" zoomScalePageLayoutView="11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42578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95" customHeight="1" x14ac:dyDescent="0.2">
      <c r="A42" s="2060" t="s">
        <v>1022</v>
      </c>
      <c r="B42" s="2060"/>
      <c r="C42" s="2060"/>
      <c r="D42" s="2060"/>
      <c r="E42" s="206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1999999999999993"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zoomScalePageLayoutView="110" workbookViewId="0">
      <selection activeCell="T25" sqref="T25:AA25"/>
    </sheetView>
  </sheetViews>
  <sheetFormatPr defaultColWidth="8.7109375" defaultRowHeight="12.75" x14ac:dyDescent="0.2"/>
  <cols>
    <col min="1" max="1" width="3" style="329" customWidth="1"/>
    <col min="2" max="2" width="109.140625" style="329" customWidth="1"/>
    <col min="3" max="3" width="3.140625" style="329" customWidth="1"/>
    <col min="4" max="16384" width="8.7109375" style="329"/>
  </cols>
  <sheetData>
    <row r="2" spans="1:2" x14ac:dyDescent="0.2">
      <c r="A2" s="389" t="s">
        <v>258</v>
      </c>
    </row>
    <row r="3" spans="1:2" x14ac:dyDescent="0.2">
      <c r="A3" s="329" t="s">
        <v>259</v>
      </c>
    </row>
    <row r="5" spans="1:2" x14ac:dyDescent="0.2">
      <c r="A5" s="1068">
        <v>1</v>
      </c>
      <c r="B5" s="1940" t="s">
        <v>2082</v>
      </c>
    </row>
    <row r="6" spans="1:2" x14ac:dyDescent="0.2">
      <c r="A6" s="1068">
        <v>2</v>
      </c>
      <c r="B6" s="1940" t="s">
        <v>2083</v>
      </c>
    </row>
    <row r="7" spans="1:2" x14ac:dyDescent="0.2">
      <c r="A7" s="1068">
        <v>3</v>
      </c>
      <c r="B7" s="1941" t="s">
        <v>2084</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Whiteside Regional Voc System</v>
      </c>
    </row>
    <row r="65" spans="2:2" x14ac:dyDescent="0.2">
      <c r="B65" s="1070">
        <f>COVER!A13</f>
        <v>47098005046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zoomScalePageLayoutView="110" workbookViewId="0">
      <selection activeCell="T25" sqref="T25:AA25"/>
    </sheetView>
  </sheetViews>
  <sheetFormatPr defaultColWidth="8.71093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95" customHeight="1" x14ac:dyDescent="0.2">
      <c r="B11" s="18" t="s">
        <v>946</v>
      </c>
      <c r="C11" s="16" t="s">
        <v>859</v>
      </c>
    </row>
    <row r="12" spans="1:4" ht="21.75" customHeight="1" x14ac:dyDescent="0.2">
      <c r="B12" s="18" t="s">
        <v>947</v>
      </c>
      <c r="C12" s="145" t="s">
        <v>1399</v>
      </c>
    </row>
    <row r="13" spans="1:4" s="19" customFormat="1" ht="12.95" customHeight="1" x14ac:dyDescent="0.2">
      <c r="B13" s="18" t="s">
        <v>915</v>
      </c>
      <c r="C13" s="16" t="s">
        <v>1127</v>
      </c>
    </row>
    <row r="14" spans="1:4" ht="21.75" customHeight="1" x14ac:dyDescent="0.2">
      <c r="B14" s="18" t="s">
        <v>916</v>
      </c>
      <c r="C14" s="16" t="s">
        <v>843</v>
      </c>
    </row>
    <row r="15" spans="1:4" ht="12.95" customHeight="1" x14ac:dyDescent="0.2">
      <c r="B15" s="143" t="s">
        <v>1325</v>
      </c>
      <c r="C15" s="142" t="s">
        <v>1326</v>
      </c>
    </row>
    <row r="16" spans="1:4" ht="12.95" customHeight="1" x14ac:dyDescent="0.2">
      <c r="C16" s="142" t="s">
        <v>1327</v>
      </c>
    </row>
    <row r="17" spans="3:3" ht="12.9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37" zoomScale="110" zoomScaleNormal="110" zoomScalePageLayoutView="110" workbookViewId="0">
      <selection activeCell="B144" sqref="B144"/>
    </sheetView>
  </sheetViews>
  <sheetFormatPr defaultColWidth="8.7109375" defaultRowHeight="12.75" x14ac:dyDescent="0.2"/>
  <cols>
    <col min="1" max="1" width="1.7109375" style="329" customWidth="1"/>
    <col min="2" max="2" width="59.7109375" style="329" customWidth="1"/>
    <col min="3" max="16384" width="8.710937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2"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zoomScalePageLayoutView="110" workbookViewId="0">
      <selection activeCell="T25" sqref="T25:AA25"/>
    </sheetView>
  </sheetViews>
  <sheetFormatPr defaultColWidth="9.140625" defaultRowHeight="12.75" x14ac:dyDescent="0.2"/>
  <cols>
    <col min="1" max="1" width="33.7109375" style="316" customWidth="1"/>
    <col min="2" max="6" width="16.7109375" style="316" customWidth="1"/>
    <col min="7" max="16384" width="9.140625" style="316"/>
  </cols>
  <sheetData>
    <row r="1" spans="1:8" ht="48.95" customHeight="1" x14ac:dyDescent="0.2">
      <c r="A1" s="2345" t="s">
        <v>1690</v>
      </c>
      <c r="B1" s="2346"/>
      <c r="C1" s="2346"/>
      <c r="D1" s="2346"/>
      <c r="E1" s="2346"/>
      <c r="F1" s="2347"/>
    </row>
    <row r="2" spans="1:8" ht="45.2" customHeight="1" x14ac:dyDescent="0.2">
      <c r="A2" s="2355" t="s">
        <v>1985</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1986</v>
      </c>
      <c r="B4" s="2365"/>
      <c r="C4" s="2365"/>
      <c r="D4" s="2365"/>
      <c r="E4" s="2365"/>
      <c r="F4" s="2366"/>
      <c r="G4" s="1074"/>
      <c r="H4" s="1074"/>
    </row>
    <row r="5" spans="1:8" ht="14.25" customHeight="1" x14ac:dyDescent="0.2">
      <c r="A5" s="2367" t="s">
        <v>1982</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1659353</v>
      </c>
      <c r="C8" s="1815">
        <f>'Acct Summary 7-8'!D8</f>
        <v>293627</v>
      </c>
      <c r="D8" s="1815">
        <f>'Acct Summary 7-8'!F8</f>
        <v>16631</v>
      </c>
      <c r="E8" s="1815">
        <f>'Acct Summary 7-8'!I8</f>
        <v>0</v>
      </c>
      <c r="F8" s="1815">
        <f>SUM(B8:E8)</f>
        <v>1969611</v>
      </c>
    </row>
    <row r="9" spans="1:8" s="1079" customFormat="1" ht="14.25" customHeight="1" thickBot="1" x14ac:dyDescent="0.25">
      <c r="A9" s="1078" t="s">
        <v>1369</v>
      </c>
      <c r="B9" s="1816">
        <f>'Acct Summary 7-8'!C17</f>
        <v>1797904</v>
      </c>
      <c r="C9" s="1816">
        <f>'Acct Summary 7-8'!D17</f>
        <v>351293</v>
      </c>
      <c r="D9" s="1816">
        <f>'Acct Summary 7-8'!F17</f>
        <v>7394</v>
      </c>
      <c r="E9" s="1815"/>
      <c r="F9" s="1815">
        <f>SUM(B9:E9)</f>
        <v>2156591</v>
      </c>
    </row>
    <row r="10" spans="1:8" s="1079" customFormat="1" ht="14.25" thickTop="1" thickBot="1" x14ac:dyDescent="0.25">
      <c r="A10" s="1080" t="s">
        <v>1370</v>
      </c>
      <c r="B10" s="1817">
        <f>(B8-B9)</f>
        <v>-138551</v>
      </c>
      <c r="C10" s="1817">
        <f>(C8-C9)</f>
        <v>-57666</v>
      </c>
      <c r="D10" s="1817">
        <f>(D8-D9)</f>
        <v>9237</v>
      </c>
      <c r="E10" s="1816">
        <f>(E8-E9)</f>
        <v>0</v>
      </c>
      <c r="F10" s="1818">
        <f>SUM(F8-F9)</f>
        <v>-186980</v>
      </c>
    </row>
    <row r="11" spans="1:8" s="1079" customFormat="1" ht="14.25" thickTop="1" thickBot="1" x14ac:dyDescent="0.25">
      <c r="A11" s="1081" t="s">
        <v>1983</v>
      </c>
      <c r="B11" s="1819">
        <f>'Acct Summary 7-8'!C81</f>
        <v>670592</v>
      </c>
      <c r="C11" s="1819">
        <f>'Acct Summary 7-8'!D81</f>
        <v>120775</v>
      </c>
      <c r="D11" s="1819">
        <f>'Acct Summary 7-8'!F81</f>
        <v>35714</v>
      </c>
      <c r="E11" s="1819">
        <f>'Acct Summary 7-8'!I81</f>
        <v>0</v>
      </c>
      <c r="F11" s="1820">
        <f>SUM(B11:E11)</f>
        <v>827081</v>
      </c>
    </row>
    <row r="12" spans="1:8" ht="16.7" customHeight="1" thickTop="1" x14ac:dyDescent="0.2">
      <c r="A12" s="1082"/>
      <c r="B12" s="1083"/>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zoomScalePageLayoutView="110" workbookViewId="0">
      <selection activeCell="T25" sqref="T25:AA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95" customHeight="1" x14ac:dyDescent="0.2">
      <c r="A17" s="1156" t="s">
        <v>1693</v>
      </c>
      <c r="B17" s="1157"/>
      <c r="C17" s="1158"/>
      <c r="D17" s="1159"/>
    </row>
    <row r="18" spans="1:10" s="668" customFormat="1" ht="12.9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9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9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9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workbookViewId="0">
      <pane ySplit="1" topLeftCell="A2" activePane="bottomLeft" state="frozen"/>
      <selection activeCell="W22" sqref="W22"/>
      <selection pane="bottomLeft" activeCell="B4" sqref="B4"/>
    </sheetView>
  </sheetViews>
  <sheetFormatPr defaultColWidth="8.7109375" defaultRowHeight="12.75" x14ac:dyDescent="0.2"/>
  <cols>
    <col min="1" max="1" width="65.7109375" bestFit="1" customWidth="1"/>
    <col min="2" max="2" width="38.7109375" style="138" bestFit="1" customWidth="1"/>
    <col min="3" max="3" width="3.42578125" style="2" customWidth="1"/>
    <col min="4" max="4" width="8.7109375" style="2" customWidth="1"/>
    <col min="5" max="5" width="15.42578125" style="2" customWidth="1"/>
    <col min="6" max="6" width="16.42578125" bestFit="1" customWidth="1"/>
  </cols>
  <sheetData>
    <row r="1" spans="1:2" x14ac:dyDescent="0.2">
      <c r="A1" t="s">
        <v>555</v>
      </c>
      <c r="B1" s="138" t="s">
        <v>261</v>
      </c>
    </row>
    <row r="2" spans="1:2" x14ac:dyDescent="0.2">
      <c r="A2" t="s">
        <v>262</v>
      </c>
      <c r="B2" s="138">
        <f>COVER!A13</f>
        <v>47098005046</v>
      </c>
    </row>
    <row r="3" spans="1:2" x14ac:dyDescent="0.2">
      <c r="A3" t="s">
        <v>956</v>
      </c>
      <c r="B3" s="138" t="str">
        <f>COVER!A15</f>
        <v>Whiteside</v>
      </c>
    </row>
    <row r="4" spans="1:2" x14ac:dyDescent="0.2">
      <c r="A4" t="s">
        <v>1007</v>
      </c>
      <c r="B4" s="138" t="str">
        <f>COVER!A17</f>
        <v>Whiteside Regional Voc System</v>
      </c>
    </row>
    <row r="5" spans="1:2" x14ac:dyDescent="0.2">
      <c r="A5" t="s">
        <v>704</v>
      </c>
      <c r="B5" s="138" t="str">
        <f>COVER!A38</f>
        <v>R. Tad Everett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Third</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Illinois</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21017</v>
      </c>
      <c r="D72" s="2" t="str">
        <f t="shared" si="0"/>
        <v>Error?</v>
      </c>
    </row>
    <row r="73" spans="1:4" x14ac:dyDescent="0.2">
      <c r="A73" s="5">
        <v>12</v>
      </c>
      <c r="B73" s="138">
        <f>'Assets-Liab 5-6'!C5</f>
        <v>706480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744423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73831</v>
      </c>
      <c r="C91" s="2" t="s">
        <v>573</v>
      </c>
      <c r="D91" s="2" t="str">
        <f t="shared" si="0"/>
        <v>Error?</v>
      </c>
    </row>
    <row r="92" spans="1:4" x14ac:dyDescent="0.2">
      <c r="A92" s="5">
        <v>31</v>
      </c>
      <c r="B92" s="138">
        <f>'Assets-Liab 5-6'!C39</f>
        <v>641614</v>
      </c>
      <c r="D92" s="2" t="str">
        <f t="shared" si="0"/>
        <v>Error?</v>
      </c>
    </row>
    <row r="93" spans="1:4" x14ac:dyDescent="0.2">
      <c r="A93" s="5">
        <v>32</v>
      </c>
      <c r="B93" s="138">
        <f>'Assets-Liab 5-6'!C41</f>
        <v>744423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127200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130533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9758</v>
      </c>
      <c r="C122" s="2" t="s">
        <v>573</v>
      </c>
      <c r="D122" s="2" t="str">
        <f t="shared" si="0"/>
        <v>Error?</v>
      </c>
    </row>
    <row r="123" spans="1:4" x14ac:dyDescent="0.2">
      <c r="A123" s="5">
        <v>62</v>
      </c>
      <c r="B123" s="138">
        <f>'Assets-Liab 5-6'!D39</f>
        <v>120775</v>
      </c>
      <c r="D123" s="2" t="str">
        <f t="shared" si="0"/>
        <v>Error?</v>
      </c>
    </row>
    <row r="124" spans="1:4" x14ac:dyDescent="0.2">
      <c r="A124" s="5">
        <v>63</v>
      </c>
      <c r="B124" s="138">
        <f>'Assets-Liab 5-6'!D41</f>
        <v>130533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33964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36544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830</v>
      </c>
      <c r="C169" s="2" t="s">
        <v>573</v>
      </c>
      <c r="D169" s="2" t="str">
        <f t="shared" si="1"/>
        <v>Error?</v>
      </c>
    </row>
    <row r="170" spans="1:4" x14ac:dyDescent="0.2">
      <c r="A170" s="5">
        <v>109</v>
      </c>
      <c r="B170" s="138">
        <f>'Assets-Liab 5-6'!F39</f>
        <v>35714</v>
      </c>
      <c r="D170" s="2" t="str">
        <f t="shared" si="1"/>
        <v>Error?</v>
      </c>
    </row>
    <row r="171" spans="1:4" x14ac:dyDescent="0.2">
      <c r="A171" s="5">
        <v>110</v>
      </c>
      <c r="B171" s="138">
        <f>'Assets-Liab 5-6'!F41</f>
        <v>36544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1204134</v>
      </c>
      <c r="D274" s="2" t="str">
        <f t="shared" si="3"/>
        <v>Error?</v>
      </c>
    </row>
    <row r="275" spans="1:4" x14ac:dyDescent="0.2">
      <c r="A275" s="5">
        <v>214</v>
      </c>
      <c r="B275" s="138">
        <f>'Assets-Liab 5-6'!M18</f>
        <v>29293</v>
      </c>
      <c r="D275" s="2" t="str">
        <f t="shared" si="3"/>
        <v>Error?</v>
      </c>
    </row>
    <row r="276" spans="1:4" x14ac:dyDescent="0.2">
      <c r="A276" s="5">
        <v>215</v>
      </c>
      <c r="B276" s="138">
        <f>'Assets-Liab 5-6'!M19</f>
        <v>248685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1482112</v>
      </c>
      <c r="C279" s="2" t="s">
        <v>573</v>
      </c>
      <c r="D279" s="2" t="str">
        <f t="shared" si="3"/>
        <v>Error?</v>
      </c>
    </row>
    <row r="280" spans="1:4" x14ac:dyDescent="0.2">
      <c r="A280" s="5">
        <v>219</v>
      </c>
      <c r="B280" s="138">
        <f>'Assets-Liab 5-6'!M40</f>
        <v>1482112</v>
      </c>
      <c r="D280" s="2" t="str">
        <f t="shared" si="3"/>
        <v>Error?</v>
      </c>
    </row>
    <row r="281" spans="1:4" x14ac:dyDescent="0.2">
      <c r="A281" s="5">
        <v>220</v>
      </c>
      <c r="B281" s="138">
        <f>'Assets-Liab 5-6'!M41</f>
        <v>1482112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1807</v>
      </c>
      <c r="D716" s="2" t="str">
        <f t="shared" si="10"/>
        <v>Error?</v>
      </c>
    </row>
    <row r="717" spans="1:4" x14ac:dyDescent="0.2">
      <c r="A717" s="5">
        <v>656</v>
      </c>
      <c r="B717" s="138">
        <f>'Expenditures 15-22'!C13</f>
        <v>636690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638497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37105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37105</v>
      </c>
      <c r="C727" s="2" t="s">
        <v>573</v>
      </c>
      <c r="D727" s="2" t="str">
        <f t="shared" si="10"/>
        <v>Error?</v>
      </c>
    </row>
    <row r="728" spans="1:4" x14ac:dyDescent="0.2">
      <c r="A728" s="5">
        <v>667</v>
      </c>
      <c r="B728" s="138">
        <f>'Expenditures 15-22'!C44</f>
        <v>32095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32095</v>
      </c>
      <c r="C731" s="2" t="s">
        <v>573</v>
      </c>
      <c r="D731" s="2" t="str">
        <f t="shared" si="10"/>
        <v>Error?</v>
      </c>
    </row>
    <row r="732" spans="1:4" x14ac:dyDescent="0.2">
      <c r="A732" s="5">
        <v>671</v>
      </c>
      <c r="B732" s="138">
        <f>'Expenditures 15-22'!C49</f>
        <v>42516</v>
      </c>
      <c r="D732" s="2" t="str">
        <f t="shared" si="10"/>
        <v>Error?</v>
      </c>
    </row>
    <row r="733" spans="1:4" x14ac:dyDescent="0.2">
      <c r="A733" s="5">
        <v>672</v>
      </c>
      <c r="B733" s="138">
        <f>'Expenditures 15-22'!C50</f>
        <v>0</v>
      </c>
      <c r="D733" s="2" t="str">
        <f t="shared" si="10"/>
        <v>Error?</v>
      </c>
    </row>
    <row r="734" spans="1:4" x14ac:dyDescent="0.2">
      <c r="A734" s="5">
        <v>673</v>
      </c>
      <c r="B734" s="138">
        <f>'Expenditures 15-22'!C53</f>
        <v>42516</v>
      </c>
      <c r="C734" s="2" t="s">
        <v>573</v>
      </c>
      <c r="D734" s="2" t="str">
        <f t="shared" si="10"/>
        <v>Error?</v>
      </c>
    </row>
    <row r="735" spans="1:4" x14ac:dyDescent="0.2">
      <c r="A735" s="5">
        <v>674</v>
      </c>
      <c r="B735" s="138">
        <f>'Expenditures 15-22'!C55</f>
        <v>123433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123433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235149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873646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245</v>
      </c>
      <c r="D774" s="2" t="str">
        <f t="shared" si="11"/>
        <v>Error?</v>
      </c>
    </row>
    <row r="775" spans="1:4" x14ac:dyDescent="0.2">
      <c r="A775" s="5">
        <v>714</v>
      </c>
      <c r="B775" s="138">
        <f>'Expenditures 15-22'!D13</f>
        <v>214298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214543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13989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13989</v>
      </c>
      <c r="C785" s="2" t="s">
        <v>573</v>
      </c>
      <c r="D785" s="2" t="str">
        <f t="shared" si="11"/>
        <v>Error?</v>
      </c>
    </row>
    <row r="786" spans="1:4" x14ac:dyDescent="0.2">
      <c r="A786" s="5">
        <v>725</v>
      </c>
      <c r="B786" s="138">
        <f>'Expenditures 15-22'!D44</f>
        <v>2885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2885</v>
      </c>
      <c r="C789" s="2" t="s">
        <v>573</v>
      </c>
      <c r="D789" s="2" t="str">
        <f t="shared" si="11"/>
        <v>Error?</v>
      </c>
    </row>
    <row r="790" spans="1:4" x14ac:dyDescent="0.2">
      <c r="A790" s="5">
        <v>729</v>
      </c>
      <c r="B790" s="138">
        <f>'Expenditures 15-22'!D49</f>
        <v>29010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29010</v>
      </c>
      <c r="C792" s="2" t="s">
        <v>573</v>
      </c>
      <c r="D792" s="2" t="str">
        <f t="shared" si="11"/>
        <v>Error?</v>
      </c>
    </row>
    <row r="793" spans="1:4" x14ac:dyDescent="0.2">
      <c r="A793" s="5">
        <v>732</v>
      </c>
      <c r="B793" s="138">
        <f>'Expenditures 15-22'!D55</f>
        <v>27097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27097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72981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287524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536</v>
      </c>
      <c r="D832" s="2" t="str">
        <f t="shared" si="12"/>
        <v>Error?</v>
      </c>
    </row>
    <row r="833" spans="1:4" x14ac:dyDescent="0.2">
      <c r="A833" s="5">
        <v>772</v>
      </c>
      <c r="B833" s="138">
        <f>'Expenditures 15-22'!E13</f>
        <v>41558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42094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30453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30453</v>
      </c>
      <c r="C843" s="2" t="s">
        <v>573</v>
      </c>
      <c r="D843" s="2" t="str">
        <f t="shared" si="12"/>
        <v>Error?</v>
      </c>
    </row>
    <row r="844" spans="1:4" x14ac:dyDescent="0.2">
      <c r="A844" s="5">
        <v>783</v>
      </c>
      <c r="B844" s="138">
        <f>'Expenditures 15-22'!E44</f>
        <v>6545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7059</v>
      </c>
      <c r="D846" s="2" t="str">
        <f t="shared" si="12"/>
        <v>Error?</v>
      </c>
    </row>
    <row r="847" spans="1:4" x14ac:dyDescent="0.2">
      <c r="A847" s="5">
        <v>786</v>
      </c>
      <c r="B847" s="138">
        <f>'Expenditures 15-22'!E47</f>
        <v>13604</v>
      </c>
      <c r="C847" s="2" t="s">
        <v>573</v>
      </c>
      <c r="D847" s="2" t="str">
        <f t="shared" si="12"/>
        <v>Error?</v>
      </c>
    </row>
    <row r="848" spans="1:4" x14ac:dyDescent="0.2">
      <c r="A848" s="5">
        <v>787</v>
      </c>
      <c r="B848" s="138">
        <f>'Expenditures 15-22'!E49</f>
        <v>68445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68445</v>
      </c>
      <c r="C850" s="2" t="s">
        <v>573</v>
      </c>
      <c r="D850" s="2" t="str">
        <f t="shared" si="12"/>
        <v>Error?</v>
      </c>
    </row>
    <row r="851" spans="1:4" x14ac:dyDescent="0.2">
      <c r="A851" s="5">
        <v>790</v>
      </c>
      <c r="B851" s="138">
        <f>'Expenditures 15-22'!E55</f>
        <v>799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799</v>
      </c>
      <c r="C853" s="2" t="s">
        <v>573</v>
      </c>
      <c r="D853" s="2" t="str">
        <f t="shared" si="12"/>
        <v>Error?</v>
      </c>
    </row>
    <row r="854" spans="1:4" x14ac:dyDescent="0.2">
      <c r="A854" s="5">
        <v>793</v>
      </c>
      <c r="B854" s="138">
        <f>'Expenditures 15-22'!E59</f>
        <v>1860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1860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115161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192055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121339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121339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3615</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3615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1434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1434</v>
      </c>
      <c r="C908" s="2" t="s">
        <v>573</v>
      </c>
      <c r="D908" s="2" t="str">
        <f t="shared" si="13"/>
        <v>Error?</v>
      </c>
    </row>
    <row r="909" spans="1:4" x14ac:dyDescent="0.2">
      <c r="A909" s="5">
        <v>848</v>
      </c>
      <c r="B909" s="138">
        <f>'Expenditures 15-22'!F55</f>
        <v>289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5338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126677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6586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6586</v>
      </c>
      <c r="C1024" s="2" t="s">
        <v>573</v>
      </c>
      <c r="D1024" s="2" t="str">
        <f t="shared" si="15"/>
        <v>Error?</v>
      </c>
    </row>
    <row r="1025" spans="1:4" x14ac:dyDescent="0.2">
      <c r="A1025" s="5">
        <v>964</v>
      </c>
      <c r="B1025" s="138">
        <f>'Expenditures 15-22'!H55</f>
        <v>1475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1475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8061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281532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289593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2588</v>
      </c>
      <c r="C1104" s="2" t="s">
        <v>573</v>
      </c>
      <c r="D1104" s="2" t="str">
        <f t="shared" si="16"/>
        <v>Error?</v>
      </c>
    </row>
    <row r="1105" spans="1:4" x14ac:dyDescent="0.2">
      <c r="A1105" s="5">
        <v>1044</v>
      </c>
      <c r="B1105" s="138">
        <f>'Expenditures 15-22'!K13</f>
        <v>1041041</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1043629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85162</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85162</v>
      </c>
      <c r="C1115" s="2" t="s">
        <v>573</v>
      </c>
      <c r="D1115" s="2" t="str">
        <f t="shared" si="16"/>
        <v>Error?</v>
      </c>
    </row>
    <row r="1116" spans="1:4" x14ac:dyDescent="0.2">
      <c r="A1116" s="5">
        <v>1055</v>
      </c>
      <c r="B1116" s="138">
        <f>'Expenditures 15-22'!K44</f>
        <v>41525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7059</v>
      </c>
      <c r="C1118" s="2" t="s">
        <v>573</v>
      </c>
      <c r="D1118" s="2" t="str">
        <f t="shared" si="16"/>
        <v>Error?</v>
      </c>
    </row>
    <row r="1119" spans="1:4" x14ac:dyDescent="0.2">
      <c r="A1119" s="5">
        <v>1058</v>
      </c>
      <c r="B1119" s="138">
        <f>'Expenditures 15-22'!K47</f>
        <v>48584</v>
      </c>
      <c r="C1119" s="2" t="s">
        <v>573</v>
      </c>
      <c r="D1119" s="2" t="str">
        <f t="shared" si="16"/>
        <v>Error?</v>
      </c>
    </row>
    <row r="1120" spans="1:4" x14ac:dyDescent="0.2">
      <c r="A1120" s="5">
        <v>1059</v>
      </c>
      <c r="B1120" s="138">
        <f>'Expenditures 15-22'!K49</f>
        <v>147991</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147991</v>
      </c>
      <c r="C1122" s="2" t="s">
        <v>573</v>
      </c>
      <c r="D1122" s="2" t="str">
        <f t="shared" si="16"/>
        <v>Error?</v>
      </c>
    </row>
    <row r="1123" spans="1:4" x14ac:dyDescent="0.2">
      <c r="A1123" s="5">
        <v>1062</v>
      </c>
      <c r="B1123" s="138">
        <f>'Expenditures 15-22'!K55</f>
        <v>154346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154346</v>
      </c>
      <c r="C1125" s="2" t="s">
        <v>573</v>
      </c>
      <c r="D1125" s="2" t="str">
        <f t="shared" si="16"/>
        <v>Error?</v>
      </c>
    </row>
    <row r="1126" spans="1:4" x14ac:dyDescent="0.2">
      <c r="A1126" s="5">
        <v>1065</v>
      </c>
      <c r="B1126" s="138">
        <f>'Expenditures 15-22'!K59</f>
        <v>1860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1860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437943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316332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1797904</v>
      </c>
      <c r="C1152" s="2" t="s">
        <v>573</v>
      </c>
      <c r="D1152" s="2" t="str">
        <f t="shared" si="17"/>
        <v>Error?</v>
      </c>
    </row>
    <row r="1153" spans="1:4" x14ac:dyDescent="0.2">
      <c r="A1153" s="5">
        <v>1092</v>
      </c>
      <c r="B1153" s="138">
        <f>'Expenditures 15-22'!K115</f>
        <v>-138551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61031</v>
      </c>
      <c r="D1221" s="2" t="str">
        <f t="shared" si="18"/>
        <v>Error?</v>
      </c>
    </row>
    <row r="1222" spans="1:4" x14ac:dyDescent="0.2">
      <c r="A1222" s="10">
        <v>1161</v>
      </c>
      <c r="D1222" s="2" t="str">
        <f t="shared" si="18"/>
        <v>OK</v>
      </c>
    </row>
    <row r="1223" spans="1:4" x14ac:dyDescent="0.2">
      <c r="A1223" s="5">
        <v>1162</v>
      </c>
      <c r="B1223" s="138">
        <f>'Expenditures 15-22'!C127</f>
        <v>61031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61031</v>
      </c>
      <c r="C1225" s="2" t="s">
        <v>573</v>
      </c>
      <c r="D1225" s="2" t="str">
        <f t="shared" si="18"/>
        <v>Error?</v>
      </c>
    </row>
    <row r="1226" spans="1:4" x14ac:dyDescent="0.2">
      <c r="A1226" s="5">
        <v>1165</v>
      </c>
      <c r="B1226" s="138">
        <f>'Expenditures 15-22'!C151</f>
        <v>61031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24201</v>
      </c>
      <c r="D1229" s="2" t="str">
        <f t="shared" si="18"/>
        <v>Error?</v>
      </c>
    </row>
    <row r="1230" spans="1:4" x14ac:dyDescent="0.2">
      <c r="A1230" s="10">
        <v>1169</v>
      </c>
      <c r="D1230" s="2" t="str">
        <f t="shared" si="18"/>
        <v>OK</v>
      </c>
    </row>
    <row r="1231" spans="1:4" x14ac:dyDescent="0.2">
      <c r="A1231" s="5">
        <v>1170</v>
      </c>
      <c r="B1231" s="138">
        <f>'Expenditures 15-22'!D127</f>
        <v>24201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24201</v>
      </c>
      <c r="C1233" s="2" t="s">
        <v>573</v>
      </c>
      <c r="D1233" s="2" t="str">
        <f t="shared" si="18"/>
        <v>Error?</v>
      </c>
    </row>
    <row r="1234" spans="1:4" x14ac:dyDescent="0.2">
      <c r="A1234" s="5">
        <v>1173</v>
      </c>
      <c r="B1234" s="138">
        <f>'Expenditures 15-22'!D151</f>
        <v>24201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99830</v>
      </c>
      <c r="D1237" s="2" t="str">
        <f t="shared" si="18"/>
        <v>Error?</v>
      </c>
    </row>
    <row r="1238" spans="1:4" x14ac:dyDescent="0.2">
      <c r="A1238" s="10">
        <v>1177</v>
      </c>
      <c r="D1238" s="2" t="str">
        <f t="shared" si="18"/>
        <v>OK</v>
      </c>
    </row>
    <row r="1239" spans="1:4" x14ac:dyDescent="0.2">
      <c r="A1239" s="5">
        <v>1178</v>
      </c>
      <c r="B1239" s="138">
        <f>'Expenditures 15-22'!E127</f>
        <v>99830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99830</v>
      </c>
      <c r="C1241" s="2" t="s">
        <v>573</v>
      </c>
      <c r="D1241" s="2" t="str">
        <f t="shared" si="18"/>
        <v>Error?</v>
      </c>
    </row>
    <row r="1242" spans="1:4" x14ac:dyDescent="0.2">
      <c r="A1242" s="5">
        <v>1181</v>
      </c>
      <c r="B1242" s="138">
        <f>'Expenditures 15-22'!E151</f>
        <v>99830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25000</v>
      </c>
      <c r="D1245" s="2" t="str">
        <f t="shared" si="18"/>
        <v>Error?</v>
      </c>
    </row>
    <row r="1246" spans="1:4" x14ac:dyDescent="0.2">
      <c r="A1246" s="10">
        <v>1185</v>
      </c>
      <c r="D1246" s="2" t="str">
        <f t="shared" si="18"/>
        <v>OK</v>
      </c>
    </row>
    <row r="1247" spans="1:4" x14ac:dyDescent="0.2">
      <c r="A1247" s="5">
        <v>1186</v>
      </c>
      <c r="B1247" s="138">
        <f>'Expenditures 15-22'!F127</f>
        <v>25000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25000</v>
      </c>
      <c r="C1249" s="2" t="s">
        <v>573</v>
      </c>
      <c r="D1249" s="2" t="str">
        <f t="shared" si="18"/>
        <v>Error?</v>
      </c>
    </row>
    <row r="1250" spans="1:4" x14ac:dyDescent="0.2">
      <c r="A1250" s="5">
        <v>1189</v>
      </c>
      <c r="B1250" s="138">
        <f>'Expenditures 15-22'!F151</f>
        <v>25000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119230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119230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119230</v>
      </c>
      <c r="C1258" s="2" t="s">
        <v>573</v>
      </c>
      <c r="D1258" s="2" t="str">
        <f t="shared" si="18"/>
        <v>Error?</v>
      </c>
    </row>
    <row r="1259" spans="1:4" x14ac:dyDescent="0.2">
      <c r="A1259" s="5">
        <v>1198</v>
      </c>
      <c r="B1259" s="138">
        <f>'Expenditures 15-22'!G151</f>
        <v>119230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203</v>
      </c>
      <c r="D1262" s="2" t="str">
        <f t="shared" si="18"/>
        <v>Error?</v>
      </c>
    </row>
    <row r="1263" spans="1:4" x14ac:dyDescent="0.2">
      <c r="A1263" s="10">
        <v>1202</v>
      </c>
      <c r="D1263" s="2" t="str">
        <f t="shared" si="18"/>
        <v>OK</v>
      </c>
    </row>
    <row r="1264" spans="1:4" x14ac:dyDescent="0.2">
      <c r="A1264" s="5">
        <v>1203</v>
      </c>
      <c r="B1264" s="138">
        <f>'Expenditures 15-22'!H127</f>
        <v>203</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203</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203</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351293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351293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351293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351293</v>
      </c>
      <c r="C1288" s="2" t="s">
        <v>573</v>
      </c>
      <c r="D1288" s="2" t="str">
        <f t="shared" si="19"/>
        <v>Error?</v>
      </c>
    </row>
    <row r="1289" spans="1:4" x14ac:dyDescent="0.2">
      <c r="A1289" s="5">
        <v>1228</v>
      </c>
      <c r="B1289" s="138">
        <f>'Expenditures 15-22'!K152</f>
        <v>-57666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5225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5225</v>
      </c>
      <c r="C1339" s="2" t="s">
        <v>573</v>
      </c>
      <c r="D1339" s="2" t="str">
        <f t="shared" si="19"/>
        <v>Error?</v>
      </c>
    </row>
    <row r="1340" spans="1:4" x14ac:dyDescent="0.2">
      <c r="A1340" s="5">
        <v>1279</v>
      </c>
      <c r="B1340" s="138">
        <f>'Expenditures 15-22'!C210</f>
        <v>5225</v>
      </c>
      <c r="C1340" s="2" t="s">
        <v>573</v>
      </c>
      <c r="D1340" s="2" t="str">
        <f t="shared" si="19"/>
        <v>Error?</v>
      </c>
    </row>
    <row r="1341" spans="1:4" x14ac:dyDescent="0.2">
      <c r="A1341" s="5">
        <v>1280</v>
      </c>
      <c r="B1341" s="138">
        <f>'Expenditures 15-22'!D182</f>
        <v>697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697</v>
      </c>
      <c r="C1345" s="2" t="s">
        <v>573</v>
      </c>
      <c r="D1345" s="2" t="str">
        <f t="shared" si="20"/>
        <v>Error?</v>
      </c>
    </row>
    <row r="1346" spans="1:4" x14ac:dyDescent="0.2">
      <c r="A1346" s="5">
        <v>1285</v>
      </c>
      <c r="B1346" s="138">
        <f>'Expenditures 15-22'!D210</f>
        <v>697</v>
      </c>
      <c r="C1346" s="2" t="s">
        <v>573</v>
      </c>
      <c r="D1346" s="2" t="str">
        <f t="shared" si="20"/>
        <v>Error?</v>
      </c>
    </row>
    <row r="1347" spans="1:4" x14ac:dyDescent="0.2">
      <c r="A1347" s="5">
        <v>1286</v>
      </c>
      <c r="B1347" s="138">
        <f>'Expenditures 15-22'!E182</f>
        <v>874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874</v>
      </c>
      <c r="C1353" s="2" t="s">
        <v>573</v>
      </c>
      <c r="D1353" s="2" t="str">
        <f t="shared" si="20"/>
        <v>Error?</v>
      </c>
    </row>
    <row r="1354" spans="1:4" x14ac:dyDescent="0.2">
      <c r="A1354" s="5">
        <v>1293</v>
      </c>
      <c r="B1354" s="138">
        <f>'Expenditures 15-22'!F182</f>
        <v>598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598</v>
      </c>
      <c r="C1358" s="2" t="s">
        <v>573</v>
      </c>
      <c r="D1358" s="2" t="str">
        <f t="shared" si="20"/>
        <v>Error?</v>
      </c>
    </row>
    <row r="1359" spans="1:4" x14ac:dyDescent="0.2">
      <c r="A1359" s="5">
        <v>1298</v>
      </c>
      <c r="B1359" s="138">
        <f>'Expenditures 15-22'!F210</f>
        <v>598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7394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7394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7394</v>
      </c>
      <c r="C1388" s="2" t="s">
        <v>573</v>
      </c>
      <c r="D1388" s="2" t="str">
        <f t="shared" si="20"/>
        <v>Error?</v>
      </c>
    </row>
    <row r="1389" spans="1:4" x14ac:dyDescent="0.2">
      <c r="A1389" s="5">
        <v>1328</v>
      </c>
      <c r="B1389" s="138">
        <f>'Expenditures 15-22'!K211</f>
        <v>9237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809143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670592</v>
      </c>
      <c r="C1630" s="2" t="s">
        <v>573</v>
      </c>
      <c r="D1630" s="2" t="str">
        <f t="shared" si="24"/>
        <v>Error?</v>
      </c>
    </row>
    <row r="1631" spans="1:4" x14ac:dyDescent="0.2">
      <c r="A1631" s="5">
        <v>1570</v>
      </c>
      <c r="B1631" s="138">
        <f>'Acct Summary 7-8'!D79</f>
        <v>178441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120775</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26477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35714</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2616908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247857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2864765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30700</v>
      </c>
      <c r="D2016" s="2" t="str">
        <f t="shared" si="30"/>
        <v>Error?</v>
      </c>
    </row>
    <row r="2017" spans="1:4" x14ac:dyDescent="0.2">
      <c r="A2017" s="5">
        <v>1956</v>
      </c>
      <c r="B2017" s="138">
        <f>'Cap Outlay Deprec 26'!D12</f>
        <v>88530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119230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21668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21668</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2616908</v>
      </c>
      <c r="C2027" s="2" t="s">
        <v>573</v>
      </c>
      <c r="D2027" s="2" t="str">
        <f t="shared" si="30"/>
        <v>Error?</v>
      </c>
    </row>
    <row r="2028" spans="1:4" x14ac:dyDescent="0.2">
      <c r="A2028" s="5">
        <v>1967</v>
      </c>
      <c r="B2028" s="138">
        <f>'Cap Outlay Deprec 26'!F10</f>
        <v>30700</v>
      </c>
      <c r="C2028" s="2" t="s">
        <v>573</v>
      </c>
      <c r="D2028" s="2" t="str">
        <f t="shared" si="30"/>
        <v>Error?</v>
      </c>
    </row>
    <row r="2029" spans="1:4" x14ac:dyDescent="0.2">
      <c r="A2029" s="5">
        <v>1968</v>
      </c>
      <c r="B2029" s="138">
        <f>'Cap Outlay Deprec 26'!F12</f>
        <v>314719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2962327</v>
      </c>
      <c r="C2031" s="2" t="s">
        <v>573</v>
      </c>
      <c r="D2031" s="2" t="str">
        <f t="shared" si="30"/>
        <v>Error?</v>
      </c>
    </row>
    <row r="2032" spans="1:4" x14ac:dyDescent="0.2">
      <c r="A2032" s="10">
        <v>1971</v>
      </c>
      <c r="D2032" s="2" t="str">
        <f t="shared" si="30"/>
        <v>OK</v>
      </c>
    </row>
    <row r="2033" spans="1:4" x14ac:dyDescent="0.2">
      <c r="A2033" s="5">
        <v>1972</v>
      </c>
      <c r="B2033" s="138">
        <f>'Cap Outlay Deprec 26'!H8</f>
        <v>1360436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62959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1423395</v>
      </c>
      <c r="C2037" s="2" t="s">
        <v>573</v>
      </c>
      <c r="D2037" s="2" t="str">
        <f t="shared" si="30"/>
        <v>Error?</v>
      </c>
    </row>
    <row r="2038" spans="1:4" x14ac:dyDescent="0.2">
      <c r="A2038" s="10">
        <v>1977</v>
      </c>
      <c r="D2038" s="2" t="str">
        <f t="shared" si="30"/>
        <v>OK</v>
      </c>
    </row>
    <row r="2039" spans="1:4" x14ac:dyDescent="0.2">
      <c r="A2039" s="5">
        <v>1978</v>
      </c>
      <c r="B2039" s="138">
        <f>'Cap Outlay Deprec 26'!I8</f>
        <v>52338</v>
      </c>
      <c r="D2039" s="2" t="str">
        <f t="shared" si="30"/>
        <v>Error?</v>
      </c>
    </row>
    <row r="2040" spans="1:4" x14ac:dyDescent="0.2">
      <c r="A2040" s="5">
        <v>1979</v>
      </c>
      <c r="B2040" s="138">
        <f>'Cap Outlay Deprec 26'!I10</f>
        <v>1407</v>
      </c>
      <c r="D2040" s="2" t="str">
        <f t="shared" si="30"/>
        <v>Error?</v>
      </c>
    </row>
    <row r="2041" spans="1:4" x14ac:dyDescent="0.2">
      <c r="A2041" s="5">
        <v>1980</v>
      </c>
      <c r="B2041" s="138">
        <f>'Cap Outlay Deprec 26'!I12</f>
        <v>24743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78488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21668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21668</v>
      </c>
      <c r="C2049" s="2" t="s">
        <v>573</v>
      </c>
      <c r="D2049" s="2" t="str">
        <f t="shared" si="31"/>
        <v>Error?</v>
      </c>
    </row>
    <row r="2050" spans="1:4" x14ac:dyDescent="0.2">
      <c r="A2050" s="10">
        <v>1989</v>
      </c>
      <c r="D2050" s="2" t="str">
        <f t="shared" si="31"/>
        <v>OK</v>
      </c>
    </row>
    <row r="2051" spans="1:4" x14ac:dyDescent="0.2">
      <c r="A2051" s="5">
        <v>1990</v>
      </c>
      <c r="B2051" s="138">
        <f>'Cap Outlay Deprec 26'!K8</f>
        <v>1412774</v>
      </c>
      <c r="C2051" s="2" t="s">
        <v>573</v>
      </c>
      <c r="D2051" s="2" t="str">
        <f t="shared" si="31"/>
        <v>Error?</v>
      </c>
    </row>
    <row r="2052" spans="1:4" x14ac:dyDescent="0.2">
      <c r="A2052" s="5">
        <v>1991</v>
      </c>
      <c r="B2052" s="138">
        <f>'Cap Outlay Deprec 26'!K10</f>
        <v>1407</v>
      </c>
      <c r="C2052" s="2" t="s">
        <v>573</v>
      </c>
      <c r="D2052" s="2" t="str">
        <f t="shared" si="31"/>
        <v>Error?</v>
      </c>
    </row>
    <row r="2053" spans="1:4" x14ac:dyDescent="0.2">
      <c r="A2053" s="5">
        <v>1992</v>
      </c>
      <c r="B2053" s="138">
        <f>'Cap Outlay Deprec 26'!K12</f>
        <v>66034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1480215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1204134</v>
      </c>
      <c r="C2057" s="2" t="s">
        <v>573</v>
      </c>
      <c r="D2057" s="2" t="str">
        <f t="shared" si="31"/>
        <v>Error?</v>
      </c>
    </row>
    <row r="2058" spans="1:4" x14ac:dyDescent="0.2">
      <c r="A2058" s="5">
        <v>1997</v>
      </c>
      <c r="B2058" s="138">
        <f>'Cap Outlay Deprec 26'!L10</f>
        <v>29293</v>
      </c>
      <c r="C2058" s="2" t="s">
        <v>573</v>
      </c>
      <c r="D2058" s="2" t="str">
        <f t="shared" si="31"/>
        <v>Error?</v>
      </c>
    </row>
    <row r="2059" spans="1:4" x14ac:dyDescent="0.2">
      <c r="A2059" s="5">
        <v>1998</v>
      </c>
      <c r="B2059" s="138">
        <f>'Cap Outlay Deprec 26'!L12</f>
        <v>248685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1482112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281532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316332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28978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733573</v>
      </c>
      <c r="C2551" s="2" t="s">
        <v>573</v>
      </c>
      <c r="D2551" s="2" t="str">
        <f t="shared" si="38"/>
        <v>Error?</v>
      </c>
    </row>
    <row r="2552" spans="1:4" x14ac:dyDescent="0.2">
      <c r="A2552" s="10">
        <v>2491</v>
      </c>
      <c r="D2552" s="2" t="str">
        <f t="shared" si="38"/>
        <v>OK</v>
      </c>
    </row>
    <row r="2553" spans="1:4" x14ac:dyDescent="0.2">
      <c r="A2553" s="5">
        <v>2492</v>
      </c>
      <c r="B2553" s="138">
        <f>'Acct Summary 7-8'!C6</f>
        <v>794830</v>
      </c>
      <c r="C2553" s="2" t="s">
        <v>573</v>
      </c>
      <c r="D2553" s="2" t="str">
        <f t="shared" si="38"/>
        <v>Error?</v>
      </c>
    </row>
    <row r="2554" spans="1:4" x14ac:dyDescent="0.2">
      <c r="A2554" s="5">
        <v>2493</v>
      </c>
      <c r="B2554" s="138">
        <f>'Acct Summary 7-8'!C7</f>
        <v>130950</v>
      </c>
      <c r="C2554" s="2" t="s">
        <v>573</v>
      </c>
      <c r="D2554" s="2" t="str">
        <f t="shared" si="38"/>
        <v>Error?</v>
      </c>
    </row>
    <row r="2555" spans="1:4" x14ac:dyDescent="0.2">
      <c r="A2555" s="5">
        <v>2494</v>
      </c>
      <c r="B2555" s="138">
        <f>'Acct Summary 7-8'!C8</f>
        <v>1659353</v>
      </c>
      <c r="C2555" s="2" t="s">
        <v>573</v>
      </c>
      <c r="D2555" s="2" t="str">
        <f t="shared" si="38"/>
        <v>Error?</v>
      </c>
    </row>
    <row r="2556" spans="1:4" x14ac:dyDescent="0.2">
      <c r="A2556" s="5">
        <v>2495</v>
      </c>
      <c r="B2556" s="138">
        <f>'Acct Summary 7-8'!C12</f>
        <v>1043629</v>
      </c>
      <c r="C2556" s="2" t="s">
        <v>573</v>
      </c>
      <c r="D2556" s="2" t="str">
        <f t="shared" si="38"/>
        <v>Error?</v>
      </c>
    </row>
    <row r="2557" spans="1:4" x14ac:dyDescent="0.2">
      <c r="A2557" s="5">
        <v>2496</v>
      </c>
      <c r="B2557" s="138">
        <f>'Acct Summary 7-8'!C13</f>
        <v>437943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316332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1797904</v>
      </c>
      <c r="C2561" s="2" t="s">
        <v>573</v>
      </c>
      <c r="D2561" s="2" t="str">
        <f t="shared" si="39"/>
        <v>Error?</v>
      </c>
    </row>
    <row r="2562" spans="1:4" x14ac:dyDescent="0.2">
      <c r="A2562" s="5">
        <v>2501</v>
      </c>
      <c r="B2562" s="138">
        <f>'Acct Summary 7-8'!C20</f>
        <v>-138551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293627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293627</v>
      </c>
      <c r="C2568" s="2" t="s">
        <v>573</v>
      </c>
      <c r="D2568" s="2" t="str">
        <f t="shared" si="39"/>
        <v>Error?</v>
      </c>
    </row>
    <row r="2569" spans="1:4" x14ac:dyDescent="0.2">
      <c r="A2569" s="5">
        <v>2508</v>
      </c>
      <c r="B2569" s="138">
        <f>'Acct Summary 7-8'!D13</f>
        <v>351293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351293</v>
      </c>
      <c r="C2573" s="2" t="s">
        <v>573</v>
      </c>
      <c r="D2573" s="2" t="str">
        <f t="shared" si="39"/>
        <v>Error?</v>
      </c>
    </row>
    <row r="2574" spans="1:4" x14ac:dyDescent="0.2">
      <c r="A2574" s="5">
        <v>2513</v>
      </c>
      <c r="B2574" s="138">
        <f>'Acct Summary 7-8'!D20</f>
        <v>-57666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6682</v>
      </c>
      <c r="C2591" s="2" t="s">
        <v>573</v>
      </c>
      <c r="D2591" s="2" t="str">
        <f t="shared" si="39"/>
        <v>Error?</v>
      </c>
    </row>
    <row r="2592" spans="1:4" x14ac:dyDescent="0.2">
      <c r="A2592" s="10">
        <v>2531</v>
      </c>
      <c r="D2592" s="2" t="str">
        <f t="shared" si="39"/>
        <v>OK</v>
      </c>
    </row>
    <row r="2593" spans="1:4" x14ac:dyDescent="0.2">
      <c r="A2593" s="5">
        <v>2532</v>
      </c>
      <c r="B2593" s="138">
        <f>'Acct Summary 7-8'!F6</f>
        <v>9949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16631</v>
      </c>
      <c r="C2595" s="2" t="s">
        <v>573</v>
      </c>
      <c r="D2595" s="2" t="str">
        <f t="shared" si="39"/>
        <v>Error?</v>
      </c>
    </row>
    <row r="2596" spans="1:4" x14ac:dyDescent="0.2">
      <c r="A2596" s="5">
        <v>2535</v>
      </c>
      <c r="B2596" s="138">
        <f>'Acct Summary 7-8'!F13</f>
        <v>7394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7394</v>
      </c>
      <c r="C2600" s="2" t="s">
        <v>573</v>
      </c>
      <c r="D2600" s="2" t="str">
        <f t="shared" si="39"/>
        <v>Error?</v>
      </c>
    </row>
    <row r="2601" spans="1:4" x14ac:dyDescent="0.2">
      <c r="A2601" s="5">
        <v>2540</v>
      </c>
      <c r="B2601" s="138">
        <f>'Acct Summary 7-8'!F20</f>
        <v>9237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34800</v>
      </c>
      <c r="C2789" s="2" t="s">
        <v>573</v>
      </c>
      <c r="D2789" s="2" t="str">
        <f t="shared" si="42"/>
        <v>Error?</v>
      </c>
    </row>
    <row r="2790" spans="1:4" x14ac:dyDescent="0.2">
      <c r="A2790" s="5">
        <v>2729</v>
      </c>
      <c r="B2790" s="138">
        <f>'Expenditures 15-22'!E102</f>
        <v>34800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25101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120718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56536</v>
      </c>
      <c r="D2914" s="2" t="str">
        <f t="shared" si="44"/>
        <v>Error?</v>
      </c>
    </row>
    <row r="2915" spans="1:4" x14ac:dyDescent="0.2">
      <c r="A2915" s="10">
        <v>2854</v>
      </c>
      <c r="D2915" s="2" t="str">
        <f t="shared" si="44"/>
        <v>OK</v>
      </c>
    </row>
    <row r="2916" spans="1:4" x14ac:dyDescent="0.2">
      <c r="A2916" s="5">
        <v>2855</v>
      </c>
      <c r="B2916" s="138">
        <f>'Assets-Liab 5-6'!L34</f>
        <v>56536</v>
      </c>
      <c r="C2916" s="2" t="s">
        <v>573</v>
      </c>
      <c r="D2916" s="2" t="str">
        <f t="shared" si="44"/>
        <v>Error?</v>
      </c>
    </row>
    <row r="2917" spans="1:4" x14ac:dyDescent="0.2">
      <c r="A2917" s="5">
        <v>2856</v>
      </c>
      <c r="B2917" s="138">
        <f>'Assets-Liab 5-6'!L41</f>
        <v>120718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34800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281532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281532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34800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64182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-138551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-57666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9237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95617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453120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2112473</v>
      </c>
      <c r="C4122" s="2" t="s">
        <v>573</v>
      </c>
      <c r="D4122" s="2" t="str">
        <f t="shared" si="63"/>
        <v>Error?</v>
      </c>
    </row>
    <row r="4123" spans="1:4" x14ac:dyDescent="0.2">
      <c r="A4123" s="5">
        <v>4062</v>
      </c>
      <c r="B4123" s="138">
        <f>'Acct Summary 7-8'!D10</f>
        <v>293627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16631</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453120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2251024</v>
      </c>
      <c r="C4136" s="2" t="s">
        <v>573</v>
      </c>
      <c r="D4136" s="2" t="str">
        <f t="shared" si="63"/>
        <v>Error?</v>
      </c>
    </row>
    <row r="4137" spans="1:4" x14ac:dyDescent="0.2">
      <c r="A4137" s="5">
        <v>4076</v>
      </c>
      <c r="B4137" s="138">
        <f>'Acct Summary 7-8'!D19</f>
        <v>351293</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7394</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827081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547254</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547254</v>
      </c>
      <c r="C5087" s="2" t="s">
        <v>573</v>
      </c>
      <c r="D5087" s="2" t="str">
        <f t="shared" si="78"/>
        <v>Error?</v>
      </c>
    </row>
    <row r="5088" spans="1:4" x14ac:dyDescent="0.2">
      <c r="A5088" s="5">
        <v>5027</v>
      </c>
      <c r="B5088" s="138">
        <f>'Revenues 9-14'!C65</f>
        <v>15864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15864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3158</v>
      </c>
      <c r="D5095" s="2" t="str">
        <f t="shared" si="78"/>
        <v>Error?</v>
      </c>
    </row>
    <row r="5096" spans="1:4" x14ac:dyDescent="0.2">
      <c r="A5096" s="5">
        <v>5035</v>
      </c>
      <c r="B5096" s="138">
        <f>'Revenues 9-14'!C75</f>
        <v>3158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8187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8187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120629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243</v>
      </c>
      <c r="D5116" s="2" t="str">
        <f t="shared" si="78"/>
        <v>Error?</v>
      </c>
    </row>
    <row r="5117" spans="1:4" x14ac:dyDescent="0.2">
      <c r="A5117" s="5">
        <v>5056</v>
      </c>
      <c r="B5117" s="138">
        <f>'Revenues 9-14'!C105</f>
        <v>36751</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1487</v>
      </c>
      <c r="D5119" s="2" t="str">
        <f t="shared" ref="D5119:D5182" si="79">IF(ISBLANK(B5119),"OK",IF(A5119-B5119=0,"OK","Error?"))</f>
        <v>Error?</v>
      </c>
    </row>
    <row r="5120" spans="1:4" x14ac:dyDescent="0.2">
      <c r="A5120" s="5">
        <v>5059</v>
      </c>
      <c r="B5120" s="138">
        <f>'Revenues 9-14'!C108</f>
        <v>159110</v>
      </c>
      <c r="C5120" s="2" t="s">
        <v>573</v>
      </c>
      <c r="D5120" s="2" t="str">
        <f t="shared" si="79"/>
        <v>Error?</v>
      </c>
    </row>
    <row r="5121" spans="1:4" x14ac:dyDescent="0.2">
      <c r="A5121" s="5">
        <v>5060</v>
      </c>
      <c r="B5121" s="138">
        <f>'Revenues 9-14'!C109</f>
        <v>733573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794830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794830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794830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794830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130950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130950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130950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130950</v>
      </c>
      <c r="C5326" s="2" t="s">
        <v>573</v>
      </c>
      <c r="D5326" s="2" t="str">
        <f t="shared" si="82"/>
        <v>Error?</v>
      </c>
    </row>
    <row r="5327" spans="1:5" x14ac:dyDescent="0.2">
      <c r="A5327" s="5">
        <v>5266</v>
      </c>
      <c r="B5327" s="138">
        <f>'Revenues 9-14'!C268</f>
        <v>1659353</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2962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2962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18750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269282</v>
      </c>
      <c r="D5353" s="2" t="str">
        <f t="shared" si="82"/>
        <v>Error?</v>
      </c>
    </row>
    <row r="5354" spans="1:4" x14ac:dyDescent="0.2">
      <c r="A5354" s="5">
        <v>5293</v>
      </c>
      <c r="B5354" s="138">
        <f>'Revenues 9-14'!D107</f>
        <v>2633</v>
      </c>
      <c r="D5354" s="2" t="str">
        <f t="shared" si="82"/>
        <v>Error?</v>
      </c>
    </row>
    <row r="5355" spans="1:4" x14ac:dyDescent="0.2">
      <c r="A5355" s="5">
        <v>5294</v>
      </c>
      <c r="B5355" s="138">
        <f>'Revenues 9-14'!D108</f>
        <v>290665</v>
      </c>
      <c r="C5355" s="2" t="s">
        <v>573</v>
      </c>
      <c r="D5355" s="2" t="str">
        <f t="shared" si="82"/>
        <v>Error?</v>
      </c>
    </row>
    <row r="5356" spans="1:4" x14ac:dyDescent="0.2">
      <c r="A5356" s="5">
        <v>5295</v>
      </c>
      <c r="B5356" s="138">
        <f>'Revenues 9-14'!D109</f>
        <v>293627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293627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6090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6090</v>
      </c>
      <c r="C5579" s="2" t="s">
        <v>573</v>
      </c>
      <c r="D5579" s="2" t="str">
        <f t="shared" si="86"/>
        <v>Error?</v>
      </c>
    </row>
    <row r="5580" spans="1:4" x14ac:dyDescent="0.2">
      <c r="A5580" s="5">
        <v>5519</v>
      </c>
      <c r="B5580" s="138">
        <f>'Revenues 9-14'!F65</f>
        <v>592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6682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9949</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9949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9949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9949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16631</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2633</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2480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7663</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7961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14289</v>
      </c>
      <c r="D6142" s="2" t="str">
        <f t="shared" si="94"/>
        <v>Error?</v>
      </c>
      <c r="E6142" s="2" t="s">
        <v>190</v>
      </c>
    </row>
    <row r="6143" spans="1:5" x14ac:dyDescent="0.2">
      <c r="A6143">
        <v>6082</v>
      </c>
      <c r="B6143" s="138">
        <f>'Assets-Liab 5-6'!D27</f>
        <v>9096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58</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59542</v>
      </c>
      <c r="D6169" s="2" t="str">
        <f t="shared" si="95"/>
        <v>Error?</v>
      </c>
      <c r="E6169" s="2" t="s">
        <v>190</v>
      </c>
    </row>
    <row r="6170" spans="1:5" x14ac:dyDescent="0.2">
      <c r="A6170">
        <v>6109</v>
      </c>
      <c r="B6170" s="138">
        <f>'Assets-Liab 5-6'!D30</f>
        <v>662</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772</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-138551</v>
      </c>
      <c r="D6267" s="2" t="str">
        <f t="shared" si="96"/>
        <v>Error?</v>
      </c>
      <c r="E6267" s="2" t="s">
        <v>190</v>
      </c>
    </row>
    <row r="6268" spans="1:5" x14ac:dyDescent="0.2">
      <c r="A6268">
        <v>6207</v>
      </c>
      <c r="B6268" s="138">
        <f>'Acct Summary 7-8'!D82</f>
        <v>-57666</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9237</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-0.20660998043519754</v>
      </c>
      <c r="D6276" s="2" t="str">
        <f t="shared" si="97"/>
        <v>Error?</v>
      </c>
      <c r="E6276" s="2" t="s">
        <v>190</v>
      </c>
    </row>
    <row r="6277" spans="1:5" x14ac:dyDescent="0.2">
      <c r="A6277">
        <v>6216</v>
      </c>
      <c r="B6277" s="138">
        <f>'Acct Summary 7-8'!D83</f>
        <v>-0.47746636307182777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0.25863806910455284</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27156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27156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1253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1253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1253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28409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21798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21798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21798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21798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50207</v>
      </c>
      <c r="D7624" s="2" t="str">
        <f t="shared" si="124"/>
        <v>Error?</v>
      </c>
      <c r="E7624" s="2" t="s">
        <v>19</v>
      </c>
    </row>
    <row r="7625" spans="1:5" x14ac:dyDescent="0.2">
      <c r="A7625">
        <f t="shared" si="123"/>
        <v>7564</v>
      </c>
      <c r="B7625" s="138">
        <f>'Cap Outlay Deprec 26'!I17</f>
        <v>5020.7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83508.7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2480</v>
      </c>
      <c r="D7759" s="2" t="str">
        <f t="shared" si="127"/>
        <v>Error?</v>
      </c>
      <c r="E7759" s="4" t="s">
        <v>1333</v>
      </c>
    </row>
    <row r="7760" spans="1:6" x14ac:dyDescent="0.2">
      <c r="A7760">
        <v>7699</v>
      </c>
      <c r="B7760" s="138">
        <f>'Aud Quest 2'!J90</f>
        <v>2480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5712</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zoomScalePageLayoutView="110" workbookViewId="0">
      <selection activeCell="T25" sqref="T25:AA25"/>
    </sheetView>
  </sheetViews>
  <sheetFormatPr defaultColWidth="9.140625" defaultRowHeight="12.75" x14ac:dyDescent="0.2"/>
  <cols>
    <col min="1" max="1" width="7.71093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42578125" style="1180" customWidth="1"/>
    <col min="12" max="12" width="12.7109375" style="1180" customWidth="1"/>
    <col min="13" max="13" width="2.7109375" style="1180" customWidth="1"/>
    <col min="14" max="14" width="13.140625" style="1180" customWidth="1"/>
    <col min="15" max="15" width="7.140625" style="1180" customWidth="1"/>
    <col min="16" max="16" width="7" style="1180" customWidth="1"/>
    <col min="17" max="19" width="9.71093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1987</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x14ac:dyDescent="0.2">
      <c r="A7" s="2392" t="str">
        <f>COVER!A17</f>
        <v>Whiteside Regional Voc System</v>
      </c>
      <c r="B7" s="2393"/>
      <c r="C7" s="2393"/>
      <c r="D7" s="2430"/>
      <c r="E7" s="2431">
        <f>COVER!A13</f>
        <v>47098005046</v>
      </c>
      <c r="F7" s="2432"/>
      <c r="G7" s="2399" t="str">
        <f>COVER!T23</f>
        <v>066-004023</v>
      </c>
      <c r="H7" s="2400"/>
      <c r="I7" s="2400"/>
      <c r="J7" s="2400"/>
      <c r="K7" s="2400"/>
      <c r="L7" s="240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Wipfli LLP</v>
      </c>
      <c r="H9" s="2406"/>
      <c r="I9" s="2406"/>
      <c r="J9" s="2406"/>
      <c r="K9" s="2406"/>
      <c r="L9" s="2407"/>
    </row>
    <row r="10" spans="1:29" ht="13.5" customHeight="1" x14ac:dyDescent="0.2">
      <c r="A10" s="2389" t="str">
        <f>COVER!A38</f>
        <v>R. Tad Everett</v>
      </c>
      <c r="B10" s="2390"/>
      <c r="C10" s="2390"/>
      <c r="D10" s="2390"/>
      <c r="E10" s="2390"/>
      <c r="F10" s="2391"/>
      <c r="G10" s="2405" t="str">
        <f>COVER!T17</f>
        <v>403 East Third</v>
      </c>
      <c r="H10" s="2418"/>
      <c r="I10" s="2418"/>
      <c r="J10" s="2418"/>
      <c r="K10" s="2418"/>
      <c r="L10" s="2419"/>
    </row>
    <row r="11" spans="1:29" ht="13.5" customHeight="1" x14ac:dyDescent="0.2">
      <c r="A11" s="1184" t="s">
        <v>1519</v>
      </c>
      <c r="B11" s="1185"/>
      <c r="C11" s="1186"/>
      <c r="D11" s="1191"/>
      <c r="E11" s="1186"/>
      <c r="F11" s="1190"/>
      <c r="G11" s="2405" t="str">
        <f>COVER!T19</f>
        <v>Sterling</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mschueler@wipfli.com</v>
      </c>
      <c r="J13" s="2427"/>
      <c r="K13" s="2427"/>
      <c r="L13" s="2428"/>
    </row>
    <row r="14" spans="1:29" ht="13.5" customHeight="1" x14ac:dyDescent="0.2">
      <c r="A14" s="2405" t="str">
        <f>COVER!A19</f>
        <v>1608 5th Avenue</v>
      </c>
      <c r="B14" s="2418"/>
      <c r="C14" s="2418"/>
      <c r="D14" s="2418"/>
      <c r="E14" s="2418"/>
      <c r="F14" s="2419"/>
      <c r="G14" s="1195" t="s">
        <v>1185</v>
      </c>
      <c r="H14" s="1193"/>
      <c r="I14" s="1193"/>
      <c r="J14" s="1193"/>
      <c r="K14" s="1193"/>
      <c r="L14" s="1194"/>
    </row>
    <row r="15" spans="1:29" ht="13.5" customHeight="1" x14ac:dyDescent="0.2">
      <c r="A15" s="2405" t="str">
        <f>COVER!A21</f>
        <v>Sterling</v>
      </c>
      <c r="B15" s="2418"/>
      <c r="C15" s="2418"/>
      <c r="D15" s="2418"/>
      <c r="E15" s="2418"/>
      <c r="F15" s="2419"/>
      <c r="G15" s="2415" t="str">
        <f>COVER!T15</f>
        <v>Matthew Schueler</v>
      </c>
      <c r="H15" s="2416"/>
      <c r="I15" s="2416"/>
      <c r="J15" s="2416"/>
      <c r="K15" s="2416"/>
      <c r="L15" s="2417"/>
    </row>
    <row r="16" spans="1:29" ht="12.2" customHeight="1" x14ac:dyDescent="0.2">
      <c r="A16" s="2395">
        <f>COVER!A25</f>
        <v>61081</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815-626-1277</v>
      </c>
      <c r="H18" s="2393"/>
      <c r="I18" s="2393"/>
      <c r="J18" s="2393"/>
      <c r="K18" s="2392" t="str">
        <f>COVER!X21</f>
        <v>815-626-9118</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35" customHeight="1" x14ac:dyDescent="0.2">
      <c r="A24" s="1200"/>
      <c r="C24" s="1202" t="s">
        <v>1181</v>
      </c>
    </row>
    <row r="25" spans="1:13" ht="9.1999999999999993" customHeight="1" x14ac:dyDescent="0.2">
      <c r="B25" s="1203" t="s">
        <v>1169</v>
      </c>
      <c r="C25" s="1204"/>
    </row>
    <row r="26" spans="1:13" s="1198" customFormat="1" ht="12.2" customHeight="1" x14ac:dyDescent="0.2">
      <c r="B26" s="1201"/>
      <c r="C26" s="1202" t="s">
        <v>1699</v>
      </c>
    </row>
    <row r="27" spans="1:13" s="1198" customFormat="1" ht="9.1999999999999993" customHeight="1" x14ac:dyDescent="0.2">
      <c r="B27" s="1203"/>
      <c r="C27" s="1202"/>
    </row>
    <row r="28" spans="1:13" s="1198" customFormat="1" ht="12.2" customHeight="1" x14ac:dyDescent="0.2">
      <c r="A28" s="1205"/>
      <c r="B28" s="1201"/>
      <c r="C28" s="1202" t="s">
        <v>1700</v>
      </c>
    </row>
    <row r="29" spans="1:13" s="1198" customFormat="1" ht="9.1999999999999993" customHeight="1" x14ac:dyDescent="0.2">
      <c r="A29" s="1205"/>
      <c r="B29" s="1203"/>
      <c r="C29" s="1202"/>
    </row>
    <row r="30" spans="1:13" s="1198" customFormat="1" ht="12.2" customHeight="1" x14ac:dyDescent="0.2">
      <c r="B30" s="1201"/>
      <c r="C30" s="1202" t="s">
        <v>1562</v>
      </c>
      <c r="D30" s="1196"/>
      <c r="E30" s="1196"/>
    </row>
    <row r="31" spans="1:13" s="1198" customFormat="1" ht="9.1999999999999993"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1999999999999993"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1999999999999993" customHeight="1" x14ac:dyDescent="0.2">
      <c r="B37" s="1203"/>
      <c r="C37" s="1206"/>
    </row>
    <row r="38" spans="1:8" s="1198" customFormat="1" ht="12.2" customHeight="1" x14ac:dyDescent="0.2">
      <c r="B38" s="1201"/>
      <c r="C38" s="1202" t="s">
        <v>1566</v>
      </c>
    </row>
    <row r="39" spans="1:8" ht="9.1999999999999993" customHeight="1" x14ac:dyDescent="0.2">
      <c r="B39" s="1203"/>
      <c r="C39" s="1206"/>
    </row>
    <row r="40" spans="1:8" s="1198" customFormat="1" ht="13.5" customHeight="1" x14ac:dyDescent="0.2">
      <c r="B40" s="1201"/>
      <c r="C40" s="1202" t="s">
        <v>1567</v>
      </c>
    </row>
    <row r="41" spans="1:8" ht="9.1999999999999993"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1999999999999993" customHeight="1" x14ac:dyDescent="0.2"/>
    <row r="48" spans="1:8" ht="12.2" customHeight="1" x14ac:dyDescent="0.2">
      <c r="B48" s="1935"/>
      <c r="C48" s="1210" t="s">
        <v>1569</v>
      </c>
    </row>
    <row r="49" spans="1:12" ht="9.1999999999999993"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9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zoomScalePageLayoutView="125" workbookViewId="0">
      <selection activeCell="F44" sqref="F4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Whiteside Regional Voc System</v>
      </c>
      <c r="B1" s="2429"/>
      <c r="C1" s="2429"/>
      <c r="D1" s="2429"/>
    </row>
    <row r="2" spans="1:11" s="1212" customFormat="1" ht="12.75" x14ac:dyDescent="0.2">
      <c r="A2" s="2434">
        <f>'Single Audit Cover'!E7</f>
        <v>47098005046</v>
      </c>
      <c r="B2" s="2435"/>
      <c r="C2" s="2435"/>
      <c r="D2" s="2435"/>
    </row>
    <row r="3" spans="1:11" s="1212" customFormat="1" ht="12.75" x14ac:dyDescent="0.2">
      <c r="A3" s="2433"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zoomScalePageLayoutView="110" workbookViewId="0">
      <selection activeCell="T25" sqref="T25:AA25"/>
    </sheetView>
  </sheetViews>
  <sheetFormatPr defaultColWidth="15.7109375" defaultRowHeight="12.75" x14ac:dyDescent="0.2"/>
  <cols>
    <col min="1" max="1" width="31.7109375" style="317" customWidth="1"/>
    <col min="2" max="2" width="29.42578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Whiteside Regional Voc System</v>
      </c>
      <c r="B1" s="2437"/>
      <c r="C1" s="2437"/>
      <c r="D1" s="2437"/>
      <c r="E1" s="2437"/>
    </row>
    <row r="2" spans="1:5" x14ac:dyDescent="0.2">
      <c r="A2" s="2438">
        <f>'Single Audit Cover'!E7</f>
        <v>47098005046</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130950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130950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130950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0</v>
      </c>
    </row>
    <row r="49" spans="2:4" x14ac:dyDescent="0.2">
      <c r="B49" s="1269" t="s">
        <v>1226</v>
      </c>
      <c r="C49" s="1269"/>
      <c r="D49" s="1270">
        <f>D32-D47</f>
        <v>130950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workbookViewId="0">
      <selection activeCell="T25" sqref="T25:AA25"/>
    </sheetView>
  </sheetViews>
  <sheetFormatPr defaultColWidth="33.42578125" defaultRowHeight="12.75" x14ac:dyDescent="0.2"/>
  <cols>
    <col min="1" max="1" width="0.140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42578125" style="317"/>
  </cols>
  <sheetData>
    <row r="1" spans="2:14" ht="11.85" customHeight="1" x14ac:dyDescent="0.2">
      <c r="B1" s="2398" t="str">
        <f>'Single Audit Cover'!A7</f>
        <v>Whiteside Regional Voc System</v>
      </c>
      <c r="C1" s="2441"/>
      <c r="D1" s="2441"/>
      <c r="E1" s="2441"/>
      <c r="F1" s="2441"/>
      <c r="G1" s="2441"/>
      <c r="H1" s="2441"/>
      <c r="I1" s="2441"/>
      <c r="J1" s="2441"/>
      <c r="K1" s="2441"/>
      <c r="L1" s="2441"/>
      <c r="M1" s="2441"/>
    </row>
    <row r="2" spans="2:14" ht="15" x14ac:dyDescent="0.2">
      <c r="B2" s="2442">
        <f>'Single Audit Cover'!E7</f>
        <v>47098005046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9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4.1500000000000004"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4.1500000000000004"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4.1500000000000004"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0.9" customHeight="1" x14ac:dyDescent="0.2">
      <c r="B47" s="1297"/>
      <c r="G47" s="317"/>
      <c r="H47" s="317"/>
      <c r="I47" s="317"/>
      <c r="J47" s="317"/>
    </row>
    <row r="48" spans="2:13" ht="10.9"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9" colorId="8" zoomScale="110" zoomScaleNormal="110" zoomScalePageLayoutView="110" workbookViewId="0">
      <selection activeCell="T25" sqref="T25:AA25"/>
    </sheetView>
  </sheetViews>
  <sheetFormatPr defaultColWidth="9.140625" defaultRowHeight="12.75" x14ac:dyDescent="0.2"/>
  <cols>
    <col min="1" max="1" width="1.42578125" style="202" customWidth="1"/>
    <col min="2" max="2" width="2.7109375" style="203" customWidth="1"/>
    <col min="3" max="3" width="4.140625" style="204" customWidth="1"/>
    <col min="4" max="4" width="40" style="202" customWidth="1"/>
    <col min="5" max="6" width="12.42578125" style="202" customWidth="1"/>
    <col min="7" max="7" width="11.7109375" style="202" customWidth="1"/>
    <col min="8" max="8" width="12" style="202" customWidth="1"/>
    <col min="9" max="9" width="11.71093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7"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9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1999999999999993" customHeight="1" x14ac:dyDescent="0.2">
      <c r="A67" s="254"/>
      <c r="B67" s="2089"/>
      <c r="C67" s="2090"/>
      <c r="D67" s="2090"/>
      <c r="E67" s="2090"/>
      <c r="F67" s="2090"/>
      <c r="G67" s="2090"/>
      <c r="H67" s="2090"/>
      <c r="I67" s="2090"/>
      <c r="J67" s="2091"/>
    </row>
    <row r="68" spans="1:10" s="181" customFormat="1" ht="9.1999999999999993"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95" customHeight="1" x14ac:dyDescent="0.2">
      <c r="A82" s="219"/>
      <c r="B82" s="262"/>
      <c r="C82" s="247"/>
    </row>
    <row r="83" spans="1:10" s="181" customFormat="1" ht="12.9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v>2480</v>
      </c>
      <c r="G88" s="276"/>
      <c r="H88" s="276"/>
      <c r="I88" s="276"/>
      <c r="J88" s="277">
        <f>SUM(E88:I88)</f>
        <v>2480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2480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7"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zoomScalePageLayoutView="120" workbookViewId="0">
      <selection activeCell="B63" sqref="B6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42578125" style="317" customWidth="1"/>
    <col min="6" max="6" width="2.7109375" style="317" customWidth="1"/>
    <col min="7" max="7" width="3.28515625" style="317" customWidth="1"/>
    <col min="8" max="16384" width="8" style="317"/>
  </cols>
  <sheetData>
    <row r="1" spans="1:7" ht="13.5" customHeight="1" x14ac:dyDescent="0.2">
      <c r="A1" s="2446" t="str">
        <f>'Single Audit Cover'!A7</f>
        <v>Whiteside Regional Voc System</v>
      </c>
      <c r="B1" s="2446"/>
      <c r="C1" s="2446"/>
      <c r="D1" s="2446"/>
      <c r="E1" s="2446"/>
      <c r="F1" s="2446"/>
    </row>
    <row r="2" spans="1:7" ht="13.5" customHeight="1" x14ac:dyDescent="0.2">
      <c r="A2" s="2442">
        <f>'Single Audit Cover'!E7</f>
        <v>47098005046</v>
      </c>
      <c r="B2" s="2442"/>
      <c r="C2" s="2442"/>
      <c r="D2" s="2442"/>
      <c r="E2" s="2442"/>
      <c r="F2" s="2442"/>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1.1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9"/>
      <c r="E17" s="2449"/>
      <c r="F17" s="2449"/>
    </row>
    <row r="18" spans="1:6" ht="20.85" customHeight="1" x14ac:dyDescent="0.2">
      <c r="A18" s="1280"/>
      <c r="B18" s="1281"/>
      <c r="C18" s="1282"/>
      <c r="D18" s="2449"/>
      <c r="E18" s="2449"/>
      <c r="F18" s="2449"/>
    </row>
    <row r="19" spans="1:6" ht="20.85" customHeight="1" x14ac:dyDescent="0.2">
      <c r="A19" s="1280"/>
      <c r="B19" s="1281"/>
      <c r="C19" s="1282"/>
      <c r="D19" s="2449"/>
      <c r="E19" s="2449"/>
      <c r="F19" s="2449"/>
    </row>
    <row r="20" spans="1:6" ht="20.85" customHeight="1" x14ac:dyDescent="0.2">
      <c r="A20" s="1280"/>
      <c r="B20" s="1281"/>
      <c r="C20" s="1282"/>
      <c r="D20" s="2449"/>
      <c r="E20" s="2449"/>
      <c r="F20" s="2449"/>
    </row>
    <row r="21" spans="1:6" ht="20.85" customHeight="1" x14ac:dyDescent="0.2">
      <c r="A21" s="1280"/>
      <c r="B21" s="1281"/>
      <c r="C21" s="1282"/>
      <c r="D21" s="2449"/>
      <c r="E21" s="2449"/>
      <c r="F21" s="2449"/>
    </row>
    <row r="22" spans="1:6" ht="20.85" customHeight="1" x14ac:dyDescent="0.2">
      <c r="A22" s="1280"/>
      <c r="B22" s="1281"/>
      <c r="C22" s="1282"/>
      <c r="D22" s="2449"/>
      <c r="E22" s="2449"/>
      <c r="F22" s="2449"/>
    </row>
    <row r="23" spans="1:6" ht="20.85" customHeight="1" x14ac:dyDescent="0.2">
      <c r="A23" s="1280"/>
      <c r="B23" s="1281"/>
      <c r="C23" s="1282"/>
      <c r="D23" s="2449"/>
      <c r="E23" s="2449"/>
      <c r="F23" s="2449"/>
    </row>
    <row r="24" spans="1:6" ht="20.85" customHeight="1" x14ac:dyDescent="0.2">
      <c r="A24" s="1280"/>
      <c r="B24" s="1281"/>
      <c r="C24" s="1282"/>
      <c r="D24" s="2449"/>
      <c r="E24" s="2449"/>
      <c r="F24" s="2449"/>
    </row>
    <row r="25" spans="1:6" ht="20.85" customHeight="1" x14ac:dyDescent="0.2">
      <c r="A25" s="1280"/>
      <c r="B25" s="1281"/>
      <c r="C25" s="1282"/>
      <c r="D25" s="2449"/>
      <c r="E25" s="2449"/>
      <c r="F25" s="2449"/>
    </row>
    <row r="26" spans="1:6" ht="20.85" customHeight="1" x14ac:dyDescent="0.2">
      <c r="A26" s="1280"/>
      <c r="B26" s="1281"/>
      <c r="C26" s="1282"/>
      <c r="D26" s="2449"/>
      <c r="E26" s="2449"/>
      <c r="F26" s="2449"/>
    </row>
    <row r="27" spans="1:6" ht="20.85" customHeight="1" x14ac:dyDescent="0.2">
      <c r="A27" s="1280"/>
      <c r="B27" s="1281"/>
      <c r="C27" s="1282"/>
      <c r="D27" s="2449"/>
      <c r="E27" s="2449"/>
      <c r="F27" s="2449"/>
    </row>
    <row r="28" spans="1:6" ht="20.85" customHeight="1" x14ac:dyDescent="0.2">
      <c r="A28" s="1280"/>
      <c r="B28" s="1281"/>
      <c r="C28" s="1282"/>
      <c r="D28" s="2449"/>
      <c r="E28" s="2449"/>
      <c r="F28" s="2449"/>
    </row>
    <row r="29" spans="1:6" ht="20.85" customHeight="1" x14ac:dyDescent="0.2">
      <c r="A29" s="1280"/>
      <c r="B29" s="1281"/>
      <c r="C29" s="1282"/>
      <c r="D29" s="2449"/>
      <c r="E29" s="2449"/>
      <c r="F29" s="244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3" t="s">
        <v>1732</v>
      </c>
      <c r="B32" s="2453"/>
      <c r="C32" s="2453"/>
      <c r="D32" s="2453"/>
      <c r="E32" s="2453"/>
      <c r="F32" s="245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4">
        <f>+C33+C34</f>
        <v>0</v>
      </c>
      <c r="F34" s="245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96"/>
    </row>
    <row r="50" spans="1:5" s="1297" customFormat="1" ht="3.75" customHeight="1" x14ac:dyDescent="0.2">
      <c r="A50" s="1296"/>
      <c r="B50" s="1845"/>
      <c r="C50" s="1845"/>
      <c r="D50" s="1845"/>
      <c r="E50" s="1396"/>
    </row>
    <row r="51" spans="1:5" s="1297" customFormat="1" ht="20.25" customHeight="1" x14ac:dyDescent="0.2">
      <c r="A51" s="1298">
        <v>6</v>
      </c>
      <c r="B51" s="2452" t="s">
        <v>1551</v>
      </c>
      <c r="C51" s="2452"/>
      <c r="D51" s="2452"/>
    </row>
    <row r="52" spans="1:5" ht="14.25" customHeight="1" x14ac:dyDescent="0.2">
      <c r="A52" s="1298"/>
      <c r="B52" s="2452"/>
      <c r="C52" s="2452"/>
      <c r="D52" s="245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zoomScalePageLayoutView="110" workbookViewId="0">
      <selection activeCell="T25" sqref="T25:AA25"/>
    </sheetView>
  </sheetViews>
  <sheetFormatPr defaultColWidth="9.140625" defaultRowHeight="12.75" x14ac:dyDescent="0.2"/>
  <cols>
    <col min="1" max="1" width="1.42578125" style="1297" customWidth="1"/>
    <col min="2" max="2" width="24.42578125" style="1354" customWidth="1"/>
    <col min="3" max="3" width="29.42578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42578125" style="317" customWidth="1"/>
    <col min="13" max="16384" width="9.140625" style="317"/>
  </cols>
  <sheetData>
    <row r="1" spans="2:10" s="317" customFormat="1" ht="12.95" customHeight="1" x14ac:dyDescent="0.2">
      <c r="B1" s="2461" t="str">
        <f>'Single Audit Cover'!A7</f>
        <v>Whiteside Regional Voc System</v>
      </c>
      <c r="C1" s="2462"/>
      <c r="D1" s="2462"/>
      <c r="E1" s="2462"/>
      <c r="F1" s="2462"/>
      <c r="G1" s="2462"/>
      <c r="H1" s="2462"/>
      <c r="I1" s="2462"/>
      <c r="J1" s="1406"/>
    </row>
    <row r="2" spans="2:10" s="317" customFormat="1" ht="12.95" customHeight="1" x14ac:dyDescent="0.2">
      <c r="B2" s="2463">
        <f>'Single Audit Cover'!E7</f>
        <v>47098005046</v>
      </c>
      <c r="C2" s="2464"/>
      <c r="D2" s="2464"/>
      <c r="E2" s="2464"/>
      <c r="F2" s="2464"/>
      <c r="G2" s="2464"/>
      <c r="H2" s="2464"/>
      <c r="I2" s="2464"/>
      <c r="J2" s="1406"/>
    </row>
    <row r="3" spans="2:10" s="317" customFormat="1" ht="12.95" customHeight="1" x14ac:dyDescent="0.2">
      <c r="B3" s="2465" t="s">
        <v>1285</v>
      </c>
      <c r="C3" s="2466"/>
      <c r="D3" s="2466"/>
      <c r="E3" s="2466"/>
      <c r="F3" s="2466"/>
      <c r="G3" s="2466"/>
      <c r="H3" s="2466"/>
      <c r="I3" s="2466"/>
      <c r="J3" s="1407"/>
    </row>
    <row r="4" spans="2:10" s="317" customFormat="1" ht="12.9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1999999999999993" customHeight="1" x14ac:dyDescent="0.2">
      <c r="B9" s="1413"/>
      <c r="C9" s="322"/>
      <c r="D9" s="322"/>
      <c r="E9" s="1380"/>
      <c r="F9" s="322"/>
      <c r="G9" s="322"/>
      <c r="H9" s="322"/>
      <c r="I9" s="322"/>
    </row>
    <row r="10" spans="2:10" s="317" customFormat="1" ht="12.9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65" customHeight="1" x14ac:dyDescent="0.2">
      <c r="B12" s="1354"/>
      <c r="C12" s="1417" t="s">
        <v>1442</v>
      </c>
      <c r="D12" s="1418"/>
      <c r="E12" s="1255"/>
    </row>
    <row r="13" spans="2:10" s="317" customFormat="1" ht="12.95" customHeight="1" x14ac:dyDescent="0.2">
      <c r="B13" s="1419"/>
      <c r="C13" s="1384"/>
      <c r="D13" s="1384"/>
      <c r="E13" s="1255"/>
    </row>
    <row r="14" spans="2:10" s="317" customFormat="1" ht="12.9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9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95" customHeight="1" x14ac:dyDescent="0.2">
      <c r="B21" s="1365"/>
      <c r="C21" s="1279"/>
      <c r="E21" s="1380"/>
      <c r="F21" s="1297"/>
      <c r="G21" s="322"/>
      <c r="H21" s="1297"/>
      <c r="I21" s="1297"/>
    </row>
    <row r="22" spans="2:9" s="317" customFormat="1" ht="12.95" customHeight="1" x14ac:dyDescent="0.2">
      <c r="B22" s="1414" t="s">
        <v>1280</v>
      </c>
      <c r="C22" s="1424"/>
      <c r="D22" s="1415"/>
      <c r="E22" s="1380"/>
      <c r="F22" s="1297"/>
      <c r="G22" s="322"/>
      <c r="H22" s="1297"/>
      <c r="I22" s="1297"/>
    </row>
    <row r="23" spans="2:9" s="317" customFormat="1" ht="12.9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95" customHeight="1" x14ac:dyDescent="0.2">
      <c r="B27" s="1420" t="s">
        <v>1443</v>
      </c>
      <c r="C27" s="1421"/>
      <c r="D27" s="1395"/>
      <c r="E27" s="1422"/>
      <c r="F27" s="1297" t="s">
        <v>885</v>
      </c>
      <c r="G27" s="1422"/>
      <c r="H27" s="1297" t="s">
        <v>1276</v>
      </c>
      <c r="I27" s="1297"/>
    </row>
    <row r="28" spans="2:9" s="317" customFormat="1" ht="12.95" customHeight="1" x14ac:dyDescent="0.2">
      <c r="B28" s="1365"/>
      <c r="C28" s="1279"/>
      <c r="E28" s="1255"/>
    </row>
    <row r="29" spans="2:9" s="317" customFormat="1" ht="12.9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7" customHeight="1" x14ac:dyDescent="0.2">
      <c r="B38" s="1428"/>
      <c r="C38" s="2457"/>
      <c r="D38" s="2458"/>
      <c r="E38" s="2458"/>
      <c r="F38" s="2459"/>
      <c r="G38" s="2472"/>
      <c r="H38" s="2473"/>
      <c r="I38" s="2474"/>
    </row>
    <row r="39" spans="2:9" ht="16.7" customHeight="1" x14ac:dyDescent="0.2">
      <c r="B39" s="1428"/>
      <c r="C39" s="2457"/>
      <c r="D39" s="2458"/>
      <c r="E39" s="2458"/>
      <c r="F39" s="2459"/>
      <c r="G39" s="2460"/>
      <c r="H39" s="2460"/>
      <c r="I39" s="2460"/>
    </row>
    <row r="40" spans="2:9" ht="16.7" customHeight="1" x14ac:dyDescent="0.2">
      <c r="B40" s="1428"/>
      <c r="C40" s="2457"/>
      <c r="D40" s="2458"/>
      <c r="E40" s="2458"/>
      <c r="F40" s="2459"/>
      <c r="G40" s="2460"/>
      <c r="H40" s="2460"/>
      <c r="I40" s="2460"/>
    </row>
    <row r="41" spans="2:9" ht="16.7" customHeight="1" x14ac:dyDescent="0.2">
      <c r="B41" s="1428"/>
      <c r="C41" s="2457"/>
      <c r="D41" s="2458"/>
      <c r="E41" s="2458"/>
      <c r="F41" s="2459"/>
      <c r="G41" s="2460"/>
      <c r="H41" s="2460"/>
      <c r="I41" s="2460"/>
    </row>
    <row r="42" spans="2:9" ht="16.7" customHeight="1" x14ac:dyDescent="0.2">
      <c r="B42" s="1428"/>
      <c r="C42" s="2457"/>
      <c r="D42" s="2458"/>
      <c r="E42" s="2458"/>
      <c r="F42" s="2459"/>
      <c r="G42" s="2460"/>
      <c r="H42" s="2460"/>
      <c r="I42" s="2460"/>
    </row>
    <row r="43" spans="2:9" ht="16.7" customHeight="1" x14ac:dyDescent="0.2">
      <c r="B43" s="1428"/>
      <c r="C43" s="2475" t="s">
        <v>1593</v>
      </c>
      <c r="D43" s="2476"/>
      <c r="E43" s="2476"/>
      <c r="F43" s="2477"/>
      <c r="G43" s="2478">
        <f>SUM(G38:I42)</f>
        <v>0</v>
      </c>
      <c r="H43" s="2478"/>
      <c r="I43" s="2478"/>
    </row>
    <row r="44" spans="2:9" ht="12.95" customHeight="1" x14ac:dyDescent="0.2"/>
    <row r="45" spans="2:9" ht="12.95" customHeight="1" x14ac:dyDescent="0.2">
      <c r="B45" s="1419" t="s">
        <v>2062</v>
      </c>
      <c r="D45" s="2479">
        <v>0</v>
      </c>
      <c r="E45" s="2480"/>
    </row>
    <row r="46" spans="2:9" ht="5.25" customHeight="1" x14ac:dyDescent="0.2">
      <c r="B46" s="1429"/>
      <c r="D46" s="1430"/>
      <c r="E46" s="1431"/>
    </row>
    <row r="47" spans="2:9" ht="12.9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1"/>
      <c r="F49" s="2481"/>
      <c r="G49" s="248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95" customHeight="1" x14ac:dyDescent="0.2">
      <c r="A55" s="1442"/>
      <c r="B55" s="1446" t="s">
        <v>1595</v>
      </c>
      <c r="C55" s="1442"/>
      <c r="D55" s="1442"/>
    </row>
    <row r="56" spans="1:9" s="1445" customFormat="1" ht="12.95" customHeight="1" x14ac:dyDescent="0.2">
      <c r="A56" s="1442"/>
      <c r="B56" s="1446" t="s">
        <v>1596</v>
      </c>
      <c r="C56" s="1442"/>
      <c r="D56" s="1442"/>
    </row>
    <row r="57" spans="1:9" s="1445" customFormat="1" ht="4.1500000000000004" customHeight="1" x14ac:dyDescent="0.2">
      <c r="A57" s="1442"/>
      <c r="B57" s="1446"/>
      <c r="C57" s="1442"/>
      <c r="D57" s="1442"/>
    </row>
    <row r="58" spans="1:9" s="1445" customFormat="1" ht="13.5" customHeight="1" x14ac:dyDescent="0.2">
      <c r="A58" s="1442"/>
      <c r="B58" s="1447" t="s">
        <v>1753</v>
      </c>
      <c r="C58" s="1448"/>
      <c r="D58" s="1448"/>
    </row>
    <row r="59" spans="1:9" s="1445" customFormat="1" ht="4.1500000000000004" customHeight="1" x14ac:dyDescent="0.2">
      <c r="A59" s="1442"/>
      <c r="B59" s="1447"/>
      <c r="C59" s="1448"/>
      <c r="D59" s="1448"/>
    </row>
    <row r="60" spans="1:9" s="1445" customFormat="1" ht="13.5" customHeight="1" x14ac:dyDescent="0.2">
      <c r="A60" s="1442"/>
      <c r="B60" s="1447" t="s">
        <v>1754</v>
      </c>
      <c r="C60" s="1448"/>
      <c r="D60" s="1448"/>
    </row>
    <row r="61" spans="1:9" s="1445" customFormat="1" ht="4.1500000000000004" customHeight="1" x14ac:dyDescent="0.2">
      <c r="A61" s="1442"/>
      <c r="B61" s="1447"/>
      <c r="C61" s="1448"/>
      <c r="D61" s="1448"/>
    </row>
    <row r="62" spans="1:9" s="1445" customFormat="1" ht="12.9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zoomScalePageLayoutView="110" workbookViewId="0">
      <selection activeCell="T25" sqref="T25:AA25"/>
    </sheetView>
  </sheetViews>
  <sheetFormatPr defaultColWidth="9.140625" defaultRowHeight="12.75" x14ac:dyDescent="0.2"/>
  <cols>
    <col min="1" max="1" width="1.42578125" style="317" customWidth="1"/>
    <col min="2" max="2" width="21.42578125" style="317" customWidth="1"/>
    <col min="3" max="3" width="6.140625" style="317" customWidth="1"/>
    <col min="4" max="4" width="4.42578125" style="317" customWidth="1"/>
    <col min="5" max="5" width="3.42578125" style="317" customWidth="1"/>
    <col min="6" max="6" width="20.140625" style="317" customWidth="1"/>
    <col min="7" max="7" width="3.42578125" style="1255" customWidth="1"/>
    <col min="8" max="8" width="10.42578125" style="317" customWidth="1"/>
    <col min="9" max="9" width="3.42578125" style="1255"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3" ht="10.9" customHeight="1" x14ac:dyDescent="0.2">
      <c r="B1" s="2461" t="str">
        <f>'Single Audit Cover'!A7</f>
        <v>Whiteside Regional Voc System</v>
      </c>
      <c r="C1" s="2461"/>
      <c r="D1" s="2461"/>
      <c r="E1" s="2461"/>
      <c r="F1" s="2461"/>
      <c r="G1" s="2461"/>
      <c r="H1" s="2461"/>
      <c r="I1" s="2461"/>
      <c r="J1" s="2461"/>
      <c r="K1" s="2461"/>
      <c r="L1" s="1371"/>
      <c r="M1" s="1371"/>
    </row>
    <row r="2" spans="1:13" ht="12" customHeight="1" x14ac:dyDescent="0.2">
      <c r="B2" s="2463">
        <f>'Single Audit Cover'!E7</f>
        <v>47098005046</v>
      </c>
      <c r="C2" s="2463"/>
      <c r="D2" s="2463"/>
      <c r="E2" s="2463"/>
      <c r="F2" s="2463"/>
      <c r="G2" s="2463"/>
      <c r="H2" s="2463"/>
      <c r="I2" s="2463"/>
      <c r="J2" s="2463"/>
      <c r="K2" s="2463"/>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9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7"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7"/>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2" customHeight="1" x14ac:dyDescent="0.2">
      <c r="B23" s="2483"/>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2"/>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zoomScalePageLayoutView="110" workbookViewId="0">
      <selection activeCell="T25" sqref="T25:AA25"/>
    </sheetView>
  </sheetViews>
  <sheetFormatPr defaultColWidth="9.140625" defaultRowHeight="12.75" x14ac:dyDescent="0.2"/>
  <cols>
    <col min="1" max="1" width="1.42578125" style="317" customWidth="1"/>
    <col min="2" max="2" width="21.42578125" style="317" customWidth="1"/>
    <col min="3" max="3" width="6.140625" style="317" customWidth="1"/>
    <col min="4" max="4" width="4.7109375" style="317" customWidth="1"/>
    <col min="5" max="5" width="3.42578125" style="317" customWidth="1"/>
    <col min="6" max="6" width="20.140625" style="317" customWidth="1"/>
    <col min="7" max="7" width="3.42578125" style="1255" customWidth="1"/>
    <col min="8" max="8" width="10.42578125" style="317" customWidth="1"/>
    <col min="9" max="9" width="3.42578125" style="1255"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2" ht="12.95" customHeight="1" x14ac:dyDescent="0.2">
      <c r="B1" s="2488" t="str">
        <f>'Single Audit Cover'!A7</f>
        <v>Whiteside Regional Voc System</v>
      </c>
      <c r="C1" s="2488"/>
      <c r="D1" s="2488"/>
      <c r="E1" s="2488"/>
      <c r="F1" s="2488"/>
      <c r="G1" s="2488"/>
      <c r="H1" s="2488"/>
      <c r="I1" s="2488"/>
      <c r="J1" s="2488"/>
      <c r="K1" s="2488"/>
      <c r="L1" s="1449"/>
    </row>
    <row r="2" spans="1:12" ht="12.95" customHeight="1" x14ac:dyDescent="0.2">
      <c r="B2" s="2489">
        <f>'Single Audit Cover'!E7</f>
        <v>47098005046</v>
      </c>
      <c r="C2" s="2489"/>
      <c r="D2" s="2489"/>
      <c r="E2" s="2489"/>
      <c r="F2" s="2489"/>
      <c r="G2" s="2489"/>
      <c r="H2" s="2489"/>
      <c r="I2" s="2489"/>
      <c r="J2" s="2489"/>
      <c r="K2" s="2489"/>
      <c r="L2" s="1450"/>
    </row>
    <row r="3" spans="1:12" ht="12.95" customHeight="1" x14ac:dyDescent="0.2">
      <c r="B3" s="2484" t="s">
        <v>1285</v>
      </c>
      <c r="C3" s="2484"/>
      <c r="D3" s="2484"/>
      <c r="E3" s="2484"/>
      <c r="F3" s="2484"/>
      <c r="G3" s="2484"/>
      <c r="H3" s="2484"/>
      <c r="I3" s="2484"/>
      <c r="J3" s="2484"/>
      <c r="K3" s="2484"/>
      <c r="L3" s="1374"/>
    </row>
    <row r="4" spans="1:12" ht="12.9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9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1"/>
      <c r="E14" s="2491"/>
      <c r="F14" s="2491"/>
      <c r="H14" s="1459" t="s">
        <v>1303</v>
      </c>
      <c r="I14" s="2492"/>
      <c r="J14" s="2492"/>
      <c r="K14" s="2492"/>
      <c r="L14" s="322"/>
    </row>
    <row r="15" spans="1:12" ht="9.6"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2"/>
      <c r="E16" s="2492"/>
      <c r="F16" s="2492"/>
      <c r="G16" s="2492"/>
      <c r="H16" s="2492"/>
      <c r="I16" s="2492"/>
      <c r="J16" s="2492"/>
      <c r="K16" s="2492"/>
      <c r="L16" s="322"/>
    </row>
    <row r="17" spans="2:12" ht="13.5" customHeight="1" x14ac:dyDescent="0.2">
      <c r="B17" s="1384" t="s">
        <v>1301</v>
      </c>
      <c r="C17" s="1384"/>
      <c r="D17" s="2493"/>
      <c r="E17" s="2493"/>
      <c r="F17" s="2493"/>
      <c r="G17" s="2493"/>
      <c r="H17" s="2493"/>
      <c r="I17" s="2493"/>
      <c r="J17" s="2493"/>
      <c r="K17" s="2493"/>
      <c r="L17" s="322"/>
    </row>
    <row r="18" spans="2:12" ht="9.6"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0.9" customHeight="1" x14ac:dyDescent="0.2">
      <c r="B46" s="1404" t="s">
        <v>1763</v>
      </c>
      <c r="C46" s="1404"/>
      <c r="G46" s="317"/>
      <c r="I46" s="317"/>
    </row>
    <row r="47" spans="2:12" ht="10.9" customHeight="1" x14ac:dyDescent="0.2">
      <c r="B47" s="1404" t="s">
        <v>1764</v>
      </c>
      <c r="C47" s="1404"/>
      <c r="G47" s="317"/>
      <c r="I47" s="317"/>
    </row>
    <row r="48" spans="2:12" ht="10.9"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zoomScalePageLayoutView="110" workbookViewId="0">
      <selection activeCell="T25" sqref="T25:AA25"/>
    </sheetView>
  </sheetViews>
  <sheetFormatPr defaultColWidth="9.140625" defaultRowHeight="12.75" x14ac:dyDescent="0.2"/>
  <cols>
    <col min="1" max="1" width="1.42578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x14ac:dyDescent="0.2">
      <c r="B1" s="2461" t="str">
        <f>'Single Audit Cover'!A7</f>
        <v>Whiteside Regional Voc System</v>
      </c>
      <c r="C1" s="2461"/>
      <c r="D1" s="2461"/>
      <c r="E1" s="1469"/>
    </row>
    <row r="2" spans="2:5" s="1279" customFormat="1" ht="12.95" customHeight="1" x14ac:dyDescent="0.2">
      <c r="B2" s="2463">
        <f>'Single Audit Cover'!E7</f>
        <v>47098005046</v>
      </c>
      <c r="C2" s="2463"/>
      <c r="D2" s="2463"/>
      <c r="E2" s="1470"/>
    </row>
    <row r="3" spans="2:5" ht="12.95" customHeight="1" x14ac:dyDescent="0.2">
      <c r="B3" s="2484" t="s">
        <v>1766</v>
      </c>
      <c r="C3" s="2484"/>
      <c r="D3" s="2484"/>
      <c r="E3" s="1271"/>
    </row>
    <row r="4" spans="2:5" s="1279" customFormat="1" ht="12.95" customHeight="1" x14ac:dyDescent="0.2">
      <c r="B4" s="2494" t="str">
        <f>'Single Audit Cover'!A4</f>
        <v>Year Ending June 30, 2019</v>
      </c>
      <c r="C4" s="2494"/>
      <c r="D4" s="2494"/>
      <c r="E4" s="1471"/>
    </row>
    <row r="5" spans="2:5" s="1279" customFormat="1" ht="40.3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9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95" customHeight="1" x14ac:dyDescent="0.2"/>
    <row r="54" spans="2:5" ht="12.95" customHeight="1" x14ac:dyDescent="0.2">
      <c r="B54" s="1264"/>
    </row>
    <row r="55" spans="2:5" ht="12.95" customHeight="1" x14ac:dyDescent="0.2"/>
    <row r="56" spans="2:5" ht="12.95" customHeight="1" x14ac:dyDescent="0.2">
      <c r="B56" s="322"/>
      <c r="C56" s="322"/>
      <c r="D56" s="322"/>
      <c r="E56" s="322"/>
    </row>
    <row r="57" spans="2:5" ht="12.95" customHeight="1" x14ac:dyDescent="0.2">
      <c r="B57" s="322"/>
      <c r="C57" s="322"/>
      <c r="D57" s="322"/>
      <c r="E57" s="322"/>
    </row>
    <row r="58" spans="2:5" ht="12.95" customHeight="1" x14ac:dyDescent="0.2">
      <c r="B58" s="322"/>
      <c r="C58" s="322"/>
      <c r="D58" s="322"/>
      <c r="E58" s="322"/>
    </row>
    <row r="59" spans="2:5" ht="12.95" customHeight="1" x14ac:dyDescent="0.2">
      <c r="B59" s="322"/>
      <c r="C59" s="322"/>
      <c r="D59" s="322"/>
      <c r="E59" s="322"/>
    </row>
    <row r="60" spans="2:5" ht="12.95" customHeight="1" x14ac:dyDescent="0.2">
      <c r="B60" s="322"/>
      <c r="C60" s="322"/>
      <c r="D60" s="322"/>
      <c r="E60" s="322"/>
    </row>
    <row r="61" spans="2:5" ht="12.95" customHeight="1" x14ac:dyDescent="0.2">
      <c r="B61" s="322"/>
      <c r="C61" s="322"/>
      <c r="D61" s="322"/>
      <c r="E61" s="322"/>
    </row>
    <row r="62" spans="2:5" ht="12.95" customHeight="1" x14ac:dyDescent="0.2">
      <c r="B62" s="322"/>
      <c r="C62" s="322"/>
      <c r="D62" s="322"/>
      <c r="E62" s="322"/>
    </row>
    <row r="63" spans="2:5" ht="12.9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5" sqref="T25:AA25"/>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zoomScalePageLayoutView="110" workbookViewId="0">
      <selection activeCell="T25" sqref="T25:AA25"/>
    </sheetView>
  </sheetViews>
  <sheetFormatPr defaultColWidth="9.140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1969611</v>
      </c>
      <c r="E16" s="356"/>
      <c r="F16" s="1733">
        <f>SUM('Acct Summary 7-8'!C17,'Acct Summary 7-8'!D17,'Acct Summary 7-8'!F17)</f>
        <v>2156591</v>
      </c>
      <c r="G16" s="356"/>
      <c r="H16" s="1733">
        <f>SUM(D16-F16)</f>
        <v>-186980</v>
      </c>
      <c r="I16" s="222"/>
      <c r="J16" s="1733">
        <f>SUM('Acct Summary 7-8'!C81,'Acct Summary 7-8'!D81,'Acct Summary 7-8'!F81,'Acct Summary 7-8'!I81)</f>
        <v>827081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9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9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9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95" customHeight="1" x14ac:dyDescent="0.2">
      <c r="B55" s="2096"/>
      <c r="C55" s="2097"/>
      <c r="D55" s="2097"/>
      <c r="E55" s="2097"/>
      <c r="F55" s="2097"/>
      <c r="G55" s="2097"/>
      <c r="H55" s="2097"/>
      <c r="I55" s="2097"/>
      <c r="J55" s="2097"/>
      <c r="K55" s="2097"/>
      <c r="L55" s="2098"/>
      <c r="M55" s="380"/>
    </row>
    <row r="56" spans="1:13" ht="12.95" customHeight="1" x14ac:dyDescent="0.2">
      <c r="B56" s="2096"/>
      <c r="C56" s="2097"/>
      <c r="D56" s="2097"/>
      <c r="E56" s="2097"/>
      <c r="F56" s="2097"/>
      <c r="G56" s="2097"/>
      <c r="H56" s="2097"/>
      <c r="I56" s="2097"/>
      <c r="J56" s="2097"/>
      <c r="K56" s="2097"/>
      <c r="L56" s="2098"/>
      <c r="M56" s="222"/>
    </row>
    <row r="57" spans="1:13" ht="12.9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9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zoomScalePageLayoutView="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Whiteside Regional Voc System</v>
      </c>
      <c r="E7" s="391"/>
      <c r="G7" s="252"/>
      <c r="H7" s="387"/>
      <c r="I7" s="387"/>
      <c r="J7" s="387"/>
      <c r="K7" s="387"/>
      <c r="L7" s="329"/>
      <c r="M7" s="329"/>
      <c r="N7" s="329"/>
      <c r="O7" s="329"/>
      <c r="P7" s="329"/>
    </row>
    <row r="8" spans="1:18" ht="12.75" x14ac:dyDescent="0.2">
      <c r="A8" s="329"/>
      <c r="B8" s="329"/>
      <c r="C8" s="389" t="s">
        <v>1125</v>
      </c>
      <c r="D8" s="392">
        <f>COVER!A13</f>
        <v>47098005046</v>
      </c>
      <c r="E8" s="393"/>
      <c r="G8" s="329"/>
      <c r="H8" s="329"/>
      <c r="I8" s="329"/>
      <c r="J8" s="329"/>
      <c r="K8" s="329"/>
      <c r="L8" s="329"/>
      <c r="M8" s="329"/>
      <c r="N8" s="329"/>
      <c r="O8" s="329"/>
      <c r="P8" s="329"/>
    </row>
    <row r="9" spans="1:18" ht="12.75" x14ac:dyDescent="0.2">
      <c r="A9" s="329"/>
      <c r="B9" s="329"/>
      <c r="C9" s="389" t="s">
        <v>713</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827081</v>
      </c>
      <c r="I12" s="404"/>
      <c r="J12" s="404"/>
      <c r="K12" s="405">
        <f>TRUNC((H12/H13*100000),5)/100000</f>
        <v>0.41992098940000006</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1969611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2156591</v>
      </c>
      <c r="I17" s="404"/>
      <c r="J17" s="416"/>
      <c r="K17" s="405">
        <f>TRUNC((H17/H18*100000),5)/100000</f>
        <v>1.0949324511</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1969611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3.3699855000000003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65" customHeight="1" x14ac:dyDescent="0.2">
      <c r="A21" s="216"/>
      <c r="B21" s="396"/>
      <c r="C21" s="218" t="s">
        <v>475</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869746</v>
      </c>
      <c r="I24" s="422"/>
      <c r="J24" s="422"/>
      <c r="K24" s="423">
        <f>TRUNC(((H24/H25*100000)/100000),2)</f>
        <v>145.18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5990.5305600000002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25" zoomScaleNormal="125" zoomScalePageLayoutView="125" workbookViewId="0">
      <pane ySplit="2" topLeftCell="A27" activePane="bottomLeft" state="frozen"/>
      <selection activeCell="T25" sqref="T25:AA25"/>
      <selection pane="bottomLeft" activeCell="T25" sqref="T25:AA25"/>
    </sheetView>
  </sheetViews>
  <sheetFormatPr defaultColWidth="9.140625" defaultRowHeight="12.75" x14ac:dyDescent="0.2"/>
  <cols>
    <col min="1" max="1" width="47.28515625" style="501" customWidth="1"/>
    <col min="2" max="2" width="4.42578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1302</v>
      </c>
      <c r="D4" s="466">
        <v>700</v>
      </c>
      <c r="E4" s="466"/>
      <c r="F4" s="466">
        <v>100</v>
      </c>
      <c r="G4" s="466"/>
      <c r="H4" s="466"/>
      <c r="I4" s="466"/>
      <c r="J4" s="467"/>
      <c r="K4" s="466"/>
      <c r="L4" s="466">
        <v>95617</v>
      </c>
      <c r="M4" s="468"/>
      <c r="N4" s="469"/>
    </row>
    <row r="5" spans="1:14" x14ac:dyDescent="0.2">
      <c r="A5" s="463" t="s">
        <v>992</v>
      </c>
      <c r="B5" s="470">
        <v>120</v>
      </c>
      <c r="C5" s="465">
        <v>706480</v>
      </c>
      <c r="D5" s="466">
        <v>127200</v>
      </c>
      <c r="E5" s="466"/>
      <c r="F5" s="466">
        <v>33964</v>
      </c>
      <c r="G5" s="466"/>
      <c r="H5" s="466"/>
      <c r="I5" s="466"/>
      <c r="J5" s="467"/>
      <c r="K5" s="471"/>
      <c r="L5" s="472">
        <v>25101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v>2633</v>
      </c>
      <c r="E8" s="467"/>
      <c r="F8" s="467">
        <v>2480</v>
      </c>
      <c r="G8" s="478"/>
      <c r="H8" s="467"/>
      <c r="I8" s="474"/>
      <c r="J8" s="474"/>
      <c r="K8" s="479"/>
      <c r="L8" s="480"/>
      <c r="M8" s="468"/>
      <c r="N8" s="469"/>
    </row>
    <row r="9" spans="1:14" ht="13.5" customHeight="1" x14ac:dyDescent="0.2">
      <c r="A9" s="473" t="s">
        <v>270</v>
      </c>
      <c r="B9" s="470">
        <v>160</v>
      </c>
      <c r="C9" s="476">
        <v>7663</v>
      </c>
      <c r="D9" s="467"/>
      <c r="E9" s="467"/>
      <c r="F9" s="467"/>
      <c r="G9" s="467"/>
      <c r="H9" s="478"/>
      <c r="I9" s="467"/>
      <c r="J9" s="467"/>
      <c r="K9" s="467"/>
      <c r="L9" s="467"/>
      <c r="M9" s="468"/>
      <c r="N9" s="469"/>
    </row>
    <row r="10" spans="1:14" ht="13.5" customHeight="1" x14ac:dyDescent="0.2">
      <c r="A10" s="473" t="s">
        <v>991</v>
      </c>
      <c r="B10" s="470">
        <v>170</v>
      </c>
      <c r="C10" s="465">
        <v>21017</v>
      </c>
      <c r="D10" s="466"/>
      <c r="E10" s="467"/>
      <c r="F10" s="466"/>
      <c r="G10" s="478"/>
      <c r="H10" s="481"/>
      <c r="I10" s="467"/>
      <c r="J10" s="467"/>
      <c r="K10" s="481"/>
      <c r="L10" s="481"/>
      <c r="M10" s="469"/>
      <c r="N10" s="469"/>
    </row>
    <row r="11" spans="1:14" ht="13.5" customHeight="1" x14ac:dyDescent="0.2">
      <c r="A11" s="473" t="s">
        <v>271</v>
      </c>
      <c r="B11" s="470">
        <v>180</v>
      </c>
      <c r="C11" s="476">
        <v>7961</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744423</v>
      </c>
      <c r="D13" s="1737">
        <f t="shared" ref="D13:L13" si="0">SUM(D4:D12)</f>
        <v>130533</v>
      </c>
      <c r="E13" s="1737">
        <f t="shared" si="0"/>
        <v>0</v>
      </c>
      <c r="F13" s="1737">
        <f t="shared" si="0"/>
        <v>36544</v>
      </c>
      <c r="G13" s="1737">
        <f t="shared" si="0"/>
        <v>0</v>
      </c>
      <c r="H13" s="1737">
        <f t="shared" si="0"/>
        <v>0</v>
      </c>
      <c r="I13" s="1737">
        <f t="shared" si="0"/>
        <v>0</v>
      </c>
      <c r="J13" s="1737">
        <f t="shared" si="0"/>
        <v>0</v>
      </c>
      <c r="K13" s="1737">
        <f t="shared" si="0"/>
        <v>0</v>
      </c>
      <c r="L13" s="1737">
        <f t="shared" si="0"/>
        <v>120718</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95" customHeight="1" x14ac:dyDescent="0.2">
      <c r="A15" s="482" t="s">
        <v>1401</v>
      </c>
      <c r="B15" s="483">
        <v>210</v>
      </c>
      <c r="C15" s="477"/>
      <c r="D15" s="477"/>
      <c r="E15" s="477"/>
      <c r="F15" s="477"/>
      <c r="G15" s="477"/>
      <c r="H15" s="477"/>
      <c r="I15" s="477"/>
      <c r="J15" s="477"/>
      <c r="K15" s="477"/>
      <c r="L15" s="477"/>
      <c r="M15" s="478"/>
      <c r="N15" s="484"/>
    </row>
    <row r="16" spans="1:14" s="485" customFormat="1" ht="12.95" customHeight="1" x14ac:dyDescent="0.2">
      <c r="A16" s="482" t="s">
        <v>1402</v>
      </c>
      <c r="B16" s="483">
        <v>220</v>
      </c>
      <c r="C16" s="477"/>
      <c r="D16" s="477"/>
      <c r="E16" s="477"/>
      <c r="F16" s="477"/>
      <c r="G16" s="477"/>
      <c r="H16" s="477"/>
      <c r="I16" s="477"/>
      <c r="J16" s="477"/>
      <c r="K16" s="477"/>
      <c r="L16" s="477"/>
      <c r="M16" s="467"/>
      <c r="N16" s="484"/>
    </row>
    <row r="17" spans="1:14" s="485" customFormat="1" ht="12.95" customHeight="1" x14ac:dyDescent="0.2">
      <c r="A17" s="482" t="s">
        <v>1403</v>
      </c>
      <c r="B17" s="483">
        <v>230</v>
      </c>
      <c r="C17" s="477"/>
      <c r="D17" s="477"/>
      <c r="E17" s="477"/>
      <c r="F17" s="477"/>
      <c r="G17" s="477"/>
      <c r="H17" s="477"/>
      <c r="I17" s="477"/>
      <c r="J17" s="477"/>
      <c r="K17" s="477"/>
      <c r="L17" s="477"/>
      <c r="M17" s="467">
        <v>1204134</v>
      </c>
      <c r="N17" s="484"/>
    </row>
    <row r="18" spans="1:14" s="485" customFormat="1" ht="12.95" customHeight="1" x14ac:dyDescent="0.2">
      <c r="A18" s="482" t="s">
        <v>1404</v>
      </c>
      <c r="B18" s="483">
        <v>240</v>
      </c>
      <c r="C18" s="477"/>
      <c r="D18" s="477"/>
      <c r="E18" s="477"/>
      <c r="F18" s="477"/>
      <c r="G18" s="477"/>
      <c r="H18" s="477"/>
      <c r="I18" s="477"/>
      <c r="J18" s="477"/>
      <c r="K18" s="477"/>
      <c r="L18" s="477"/>
      <c r="M18" s="467">
        <v>29293</v>
      </c>
      <c r="N18" s="484"/>
    </row>
    <row r="19" spans="1:14" s="485" customFormat="1" ht="12.95" customHeight="1" x14ac:dyDescent="0.2">
      <c r="A19" s="482" t="s">
        <v>1405</v>
      </c>
      <c r="B19" s="483">
        <v>250</v>
      </c>
      <c r="C19" s="477"/>
      <c r="D19" s="477"/>
      <c r="E19" s="477"/>
      <c r="F19" s="477"/>
      <c r="G19" s="477"/>
      <c r="H19" s="477"/>
      <c r="I19" s="477"/>
      <c r="J19" s="477"/>
      <c r="K19" s="477"/>
      <c r="L19" s="477"/>
      <c r="M19" s="467">
        <v>248685</v>
      </c>
      <c r="N19" s="484"/>
    </row>
    <row r="20" spans="1:14" s="485" customFormat="1" ht="12.95" customHeight="1" x14ac:dyDescent="0.2">
      <c r="A20" s="482" t="s">
        <v>1406</v>
      </c>
      <c r="B20" s="483">
        <v>260</v>
      </c>
      <c r="C20" s="477"/>
      <c r="D20" s="477"/>
      <c r="E20" s="477"/>
      <c r="F20" s="477"/>
      <c r="G20" s="477"/>
      <c r="H20" s="477"/>
      <c r="I20" s="477"/>
      <c r="J20" s="477"/>
      <c r="K20" s="477"/>
      <c r="L20" s="477"/>
      <c r="M20" s="467"/>
      <c r="N20" s="484"/>
    </row>
    <row r="21" spans="1:14" s="485" customFormat="1" ht="12.95" customHeight="1" x14ac:dyDescent="0.2">
      <c r="A21" s="482" t="s">
        <v>1407</v>
      </c>
      <c r="B21" s="483">
        <v>340</v>
      </c>
      <c r="C21" s="477"/>
      <c r="D21" s="477"/>
      <c r="E21" s="477"/>
      <c r="F21" s="477"/>
      <c r="G21" s="477"/>
      <c r="H21" s="477"/>
      <c r="I21" s="477"/>
      <c r="J21" s="477"/>
      <c r="K21" s="477"/>
      <c r="L21" s="477"/>
      <c r="M21" s="486"/>
      <c r="N21" s="467"/>
    </row>
    <row r="22" spans="1:14" s="485" customFormat="1" ht="12.9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1482112</v>
      </c>
      <c r="N23" s="1688">
        <f>SUM(N21:N22)</f>
        <v>0</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14289</v>
      </c>
      <c r="D27" s="467">
        <v>9096</v>
      </c>
      <c r="E27" s="467"/>
      <c r="F27" s="467">
        <v>58</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f>73831-14289</f>
        <v>59542</v>
      </c>
      <c r="D30" s="474">
        <f>9758-9096</f>
        <v>662</v>
      </c>
      <c r="E30" s="467"/>
      <c r="F30" s="467">
        <f>830-58</f>
        <v>772</v>
      </c>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56536</v>
      </c>
      <c r="M33" s="468"/>
      <c r="N33" s="469"/>
    </row>
    <row r="34" spans="1:14" ht="13.5" customHeight="1" thickBot="1" x14ac:dyDescent="0.25">
      <c r="A34" s="1738" t="s">
        <v>654</v>
      </c>
      <c r="B34" s="1739"/>
      <c r="C34" s="1740">
        <f>SUM(C25:C33)</f>
        <v>73831</v>
      </c>
      <c r="D34" s="1740">
        <f t="shared" ref="D34:K34" si="1">SUM(D25:D33)</f>
        <v>9758</v>
      </c>
      <c r="E34" s="1740">
        <f t="shared" si="1"/>
        <v>0</v>
      </c>
      <c r="F34" s="1740">
        <f t="shared" si="1"/>
        <v>830</v>
      </c>
      <c r="G34" s="1740">
        <f t="shared" si="1"/>
        <v>0</v>
      </c>
      <c r="H34" s="1740">
        <f t="shared" si="1"/>
        <v>0</v>
      </c>
      <c r="I34" s="1740">
        <f t="shared" si="1"/>
        <v>0</v>
      </c>
      <c r="J34" s="1740">
        <f t="shared" si="1"/>
        <v>0</v>
      </c>
      <c r="K34" s="1740">
        <f t="shared" si="1"/>
        <v>0</v>
      </c>
      <c r="L34" s="1721">
        <f>SUM(L33)</f>
        <v>56536</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f>C10+C11</f>
        <v>28978</v>
      </c>
      <c r="D38" s="466"/>
      <c r="E38" s="466"/>
      <c r="F38" s="466"/>
      <c r="G38" s="466"/>
      <c r="H38" s="466"/>
      <c r="I38" s="466"/>
      <c r="J38" s="467"/>
      <c r="K38" s="466"/>
      <c r="L38" s="481">
        <v>64182</v>
      </c>
      <c r="M38" s="497"/>
      <c r="N38" s="497"/>
    </row>
    <row r="39" spans="1:14" s="329" customFormat="1" ht="13.5" customHeight="1" x14ac:dyDescent="0.2">
      <c r="A39" s="496" t="s">
        <v>342</v>
      </c>
      <c r="B39" s="483">
        <v>730</v>
      </c>
      <c r="C39" s="466">
        <v>641614</v>
      </c>
      <c r="D39" s="466">
        <v>120775</v>
      </c>
      <c r="E39" s="466"/>
      <c r="F39" s="466">
        <v>35714</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1482112</v>
      </c>
      <c r="N40" s="497"/>
    </row>
    <row r="41" spans="1:14" ht="13.5" customHeight="1" thickBot="1" x14ac:dyDescent="0.25">
      <c r="A41" s="1736" t="s">
        <v>655</v>
      </c>
      <c r="B41" s="1706"/>
      <c r="C41" s="1688">
        <f>(SUM(C34,C37,C38,C39))</f>
        <v>744423</v>
      </c>
      <c r="D41" s="1688">
        <f t="shared" ref="D41:L41" si="2">SUM(D34,D37,D38:D39)</f>
        <v>130533</v>
      </c>
      <c r="E41" s="1688">
        <f t="shared" si="2"/>
        <v>0</v>
      </c>
      <c r="F41" s="1688">
        <f t="shared" si="2"/>
        <v>36544</v>
      </c>
      <c r="G41" s="1688">
        <f t="shared" si="2"/>
        <v>0</v>
      </c>
      <c r="H41" s="1688">
        <f t="shared" si="2"/>
        <v>0</v>
      </c>
      <c r="I41" s="1688">
        <f t="shared" si="2"/>
        <v>0</v>
      </c>
      <c r="J41" s="1688">
        <f t="shared" si="2"/>
        <v>0</v>
      </c>
      <c r="K41" s="1688">
        <f t="shared" si="2"/>
        <v>0</v>
      </c>
      <c r="L41" s="1688">
        <f t="shared" si="2"/>
        <v>120718</v>
      </c>
      <c r="M41" s="1688">
        <f>SUM(M40)</f>
        <v>1482112</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
STATEMENT OF POSITION AS OF JUNE 30, 2019
&amp;R&amp;8Page &amp;P</oddHeader>
    <oddFooter>&amp;L&amp;8Print Date:  &amp;D
&amp;F</oddFooter>
  </headerFooter>
  <colBreaks count="1" manualBreakCount="1">
    <brk id="11" max="1048575" man="1"/>
  </col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25" zoomScaleNormal="125" zoomScaleSheetLayoutView="100" zoomScalePageLayoutView="125" workbookViewId="0">
      <pane ySplit="2" topLeftCell="A15" activePane="bottomLeft" state="frozen"/>
      <selection activeCell="T25" sqref="T25:AA25"/>
      <selection pane="bottomLeft" activeCell="T25" sqref="T25:AA25"/>
    </sheetView>
  </sheetViews>
  <sheetFormatPr defaultColWidth="9.140625" defaultRowHeight="12.75" x14ac:dyDescent="0.2"/>
  <cols>
    <col min="1" max="1" width="55.7109375" style="501" customWidth="1"/>
    <col min="2" max="2" width="4.7109375" style="502" customWidth="1"/>
    <col min="3" max="11" width="13.7109375" style="457" customWidth="1"/>
    <col min="12" max="12" width="2" style="457" customWidth="1"/>
    <col min="13" max="16384" width="9.140625" style="457"/>
  </cols>
  <sheetData>
    <row r="1" spans="1:13" ht="12.9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1499</v>
      </c>
      <c r="B4" s="1929">
        <v>1000</v>
      </c>
      <c r="C4" s="1742">
        <f>'Revenues 9-14'!C109</f>
        <v>733573</v>
      </c>
      <c r="D4" s="1742">
        <f>'Revenues 9-14'!D109</f>
        <v>293627</v>
      </c>
      <c r="E4" s="1742">
        <f>'Revenues 9-14'!E109</f>
        <v>0</v>
      </c>
      <c r="F4" s="1742">
        <f>'Revenues 9-14'!F109</f>
        <v>6682</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794830</v>
      </c>
      <c r="D6" s="1743">
        <f>'Revenues 9-14'!D170</f>
        <v>0</v>
      </c>
      <c r="E6" s="1743">
        <f>'Revenues 9-14'!E170</f>
        <v>0</v>
      </c>
      <c r="F6" s="1743">
        <f>'Revenues 9-14'!F170</f>
        <v>9949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130950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1659353</v>
      </c>
      <c r="D8" s="1688">
        <f t="shared" ref="D8:K8" si="0">SUM(D4:D7)</f>
        <v>293627</v>
      </c>
      <c r="E8" s="1688">
        <f t="shared" si="0"/>
        <v>0</v>
      </c>
      <c r="F8" s="1688">
        <f t="shared" si="0"/>
        <v>16631</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453120</v>
      </c>
      <c r="D9" s="516"/>
      <c r="E9" s="481"/>
      <c r="F9" s="481"/>
      <c r="G9" s="517"/>
      <c r="H9" s="481"/>
      <c r="I9" s="509" t="s">
        <v>1169</v>
      </c>
      <c r="J9" s="478"/>
      <c r="K9" s="481"/>
      <c r="L9" s="347"/>
    </row>
    <row r="10" spans="1:13" s="519" customFormat="1" ht="13.5" thickBot="1" x14ac:dyDescent="0.25">
      <c r="A10" s="1736" t="s">
        <v>1173</v>
      </c>
      <c r="B10" s="1709"/>
      <c r="C10" s="1688">
        <f>SUM(C8:C9)</f>
        <v>2112473</v>
      </c>
      <c r="D10" s="1688">
        <f t="shared" ref="D10:K10" si="1">SUM(D8:D9)</f>
        <v>293627</v>
      </c>
      <c r="E10" s="1688">
        <f t="shared" si="1"/>
        <v>0</v>
      </c>
      <c r="F10" s="1688">
        <f t="shared" si="1"/>
        <v>16631</v>
      </c>
      <c r="G10" s="1688">
        <f t="shared" si="1"/>
        <v>0</v>
      </c>
      <c r="H10" s="1688">
        <f t="shared" si="1"/>
        <v>0</v>
      </c>
      <c r="I10" s="1688">
        <f t="shared" si="1"/>
        <v>0</v>
      </c>
      <c r="J10" s="1688">
        <f t="shared" si="1"/>
        <v>0</v>
      </c>
      <c r="K10" s="1688">
        <f t="shared" si="1"/>
        <v>0</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1043629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437943</v>
      </c>
      <c r="D13" s="1743">
        <f>'Expenditures 15-22'!K129</f>
        <v>351293</v>
      </c>
      <c r="E13" s="469" t="s">
        <v>1169</v>
      </c>
      <c r="F13" s="1743">
        <f>'Expenditures 15-22'!K184</f>
        <v>7394</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316332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1797904</v>
      </c>
      <c r="D17" s="1688">
        <f t="shared" si="2"/>
        <v>351293</v>
      </c>
      <c r="E17" s="1688">
        <f t="shared" si="2"/>
        <v>0</v>
      </c>
      <c r="F17" s="1688">
        <f t="shared" si="2"/>
        <v>7394</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453120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2251024</v>
      </c>
      <c r="D19" s="1688">
        <f t="shared" si="4"/>
        <v>351293</v>
      </c>
      <c r="E19" s="1688">
        <f t="shared" si="4"/>
        <v>0</v>
      </c>
      <c r="F19" s="1688">
        <f t="shared" si="4"/>
        <v>7394</v>
      </c>
      <c r="G19" s="1688">
        <f t="shared" si="4"/>
        <v>0</v>
      </c>
      <c r="H19" s="1688">
        <f t="shared" si="4"/>
        <v>0</v>
      </c>
      <c r="I19" s="468"/>
      <c r="J19" s="1688">
        <f>SUM(J17:J18)</f>
        <v>0</v>
      </c>
      <c r="K19" s="1688">
        <f>SUM(K17:K18)</f>
        <v>0</v>
      </c>
      <c r="L19" s="347"/>
    </row>
    <row r="20" spans="1:12" ht="16.5" thickTop="1" thickBot="1" x14ac:dyDescent="0.25">
      <c r="A20" s="2134" t="s">
        <v>1655</v>
      </c>
      <c r="B20" s="2135"/>
      <c r="C20" s="1746">
        <f>C8-C17</f>
        <v>-138551</v>
      </c>
      <c r="D20" s="1746">
        <f t="shared" ref="D20:K20" si="5">D8-D17</f>
        <v>-57666</v>
      </c>
      <c r="E20" s="1746">
        <f t="shared" si="5"/>
        <v>0</v>
      </c>
      <c r="F20" s="1746">
        <f t="shared" si="5"/>
        <v>9237</v>
      </c>
      <c r="G20" s="1746">
        <f t="shared" si="5"/>
        <v>0</v>
      </c>
      <c r="H20" s="1746">
        <f t="shared" si="5"/>
        <v>0</v>
      </c>
      <c r="I20" s="1746">
        <f t="shared" si="5"/>
        <v>0</v>
      </c>
      <c r="J20" s="1746">
        <f t="shared" si="5"/>
        <v>0</v>
      </c>
      <c r="K20" s="1746">
        <f t="shared" si="5"/>
        <v>0</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6" t="s">
        <v>1177</v>
      </c>
      <c r="B77" s="212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0" t="s">
        <v>597</v>
      </c>
      <c r="B78" s="2131"/>
      <c r="C78" s="1702">
        <f t="shared" ref="C78:K78" si="9">C20+C77</f>
        <v>-138551</v>
      </c>
      <c r="D78" s="1702">
        <f t="shared" si="9"/>
        <v>-57666</v>
      </c>
      <c r="E78" s="1702">
        <f t="shared" si="9"/>
        <v>0</v>
      </c>
      <c r="F78" s="1702">
        <f t="shared" si="9"/>
        <v>9237</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809143</v>
      </c>
      <c r="D79" s="535">
        <v>178441</v>
      </c>
      <c r="E79" s="535"/>
      <c r="F79" s="535">
        <v>26477</v>
      </c>
      <c r="G79" s="535"/>
      <c r="H79" s="535"/>
      <c r="I79" s="535"/>
      <c r="J79" s="535"/>
      <c r="K79" s="535"/>
      <c r="L79" s="347"/>
    </row>
    <row r="80" spans="1:12" x14ac:dyDescent="0.2">
      <c r="A80" s="2136" t="s">
        <v>1795</v>
      </c>
      <c r="B80" s="2137"/>
      <c r="C80" s="467"/>
      <c r="D80" s="467"/>
      <c r="E80" s="467"/>
      <c r="F80" s="467"/>
      <c r="G80" s="467"/>
      <c r="H80" s="467"/>
      <c r="I80" s="467"/>
      <c r="J80" s="467"/>
      <c r="K80" s="467"/>
      <c r="L80" s="347"/>
    </row>
    <row r="81" spans="1:12" ht="13.5" thickBot="1" x14ac:dyDescent="0.25">
      <c r="A81" s="2128" t="s">
        <v>1948</v>
      </c>
      <c r="B81" s="2129"/>
      <c r="C81" s="1688">
        <f>(SUM(C78:C80))</f>
        <v>670592</v>
      </c>
      <c r="D81" s="1688">
        <f>SUM(D78:D80)</f>
        <v>120775</v>
      </c>
      <c r="E81" s="1688">
        <f t="shared" ref="E81:K81" si="10">SUM(E78:E80)</f>
        <v>0</v>
      </c>
      <c r="F81" s="1688">
        <f t="shared" si="10"/>
        <v>35714</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-138551</v>
      </c>
      <c r="D82" s="538">
        <f t="shared" ref="D82:K82" si="11">(D81-D79)</f>
        <v>-57666</v>
      </c>
      <c r="E82" s="538">
        <f t="shared" si="11"/>
        <v>0</v>
      </c>
      <c r="F82" s="538">
        <f t="shared" si="11"/>
        <v>9237</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-0.20660998043519754</v>
      </c>
      <c r="D83" s="540">
        <f t="shared" ref="D83:K83" si="12">D82/D81</f>
        <v>-0.47746636307182777</v>
      </c>
      <c r="E83" s="540" t="e">
        <f t="shared" si="12"/>
        <v>#DIV/0!</v>
      </c>
      <c r="F83" s="540">
        <f t="shared" si="12"/>
        <v>0.25863806910455284</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25" zoomScaleNormal="125" zoomScaleSheetLayoutView="75" zoomScalePageLayoutView="125" workbookViewId="0">
      <pane ySplit="2" topLeftCell="A124" activePane="bottomLeft" state="frozen"/>
      <selection activeCell="T25" sqref="T25:AA25"/>
      <selection pane="bottomLeft" activeCell="F152" sqref="F15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1802</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9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9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95" customHeight="1" x14ac:dyDescent="0.2">
      <c r="A17" s="463" t="s">
        <v>807</v>
      </c>
      <c r="B17" s="470">
        <v>1290</v>
      </c>
      <c r="C17" s="551"/>
      <c r="D17" s="466"/>
      <c r="E17" s="466"/>
      <c r="F17" s="466"/>
      <c r="G17" s="466"/>
      <c r="H17" s="466"/>
      <c r="I17" s="466"/>
      <c r="J17" s="467"/>
      <c r="K17" s="466"/>
    </row>
    <row r="18" spans="1:11" ht="12.9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95" customHeight="1" x14ac:dyDescent="0.2">
      <c r="A21" s="463" t="s">
        <v>832</v>
      </c>
      <c r="B21" s="470">
        <v>1312</v>
      </c>
      <c r="C21" s="551"/>
      <c r="D21" s="468"/>
      <c r="E21" s="468"/>
      <c r="F21" s="468"/>
      <c r="G21" s="468"/>
      <c r="H21" s="468"/>
      <c r="I21" s="468"/>
      <c r="J21" s="468"/>
      <c r="K21" s="468"/>
    </row>
    <row r="22" spans="1:11" ht="12.95" customHeight="1" x14ac:dyDescent="0.2">
      <c r="A22" s="463" t="s">
        <v>1074</v>
      </c>
      <c r="B22" s="470">
        <v>1313</v>
      </c>
      <c r="C22" s="551"/>
      <c r="D22" s="468"/>
      <c r="E22" s="468"/>
      <c r="F22" s="468"/>
      <c r="G22" s="468"/>
      <c r="H22" s="468"/>
      <c r="I22" s="468"/>
      <c r="J22" s="468"/>
      <c r="K22" s="468"/>
    </row>
    <row r="23" spans="1:11" ht="12.95" customHeight="1" x14ac:dyDescent="0.2">
      <c r="A23" s="463" t="s">
        <v>1075</v>
      </c>
      <c r="B23" s="470">
        <v>1314</v>
      </c>
      <c r="C23" s="489"/>
      <c r="D23" s="468"/>
      <c r="E23" s="468"/>
      <c r="F23" s="468"/>
      <c r="G23" s="468"/>
      <c r="H23" s="468"/>
      <c r="I23" s="468"/>
      <c r="J23" s="468"/>
      <c r="K23" s="468"/>
    </row>
    <row r="24" spans="1:11" ht="12.95" customHeight="1" x14ac:dyDescent="0.2">
      <c r="A24" s="463" t="s">
        <v>1027</v>
      </c>
      <c r="B24" s="470">
        <v>1321</v>
      </c>
      <c r="C24" s="551"/>
      <c r="D24" s="468"/>
      <c r="E24" s="468"/>
      <c r="F24" s="468"/>
      <c r="G24" s="468"/>
      <c r="H24" s="468"/>
      <c r="I24" s="468"/>
      <c r="J24" s="468"/>
      <c r="K24" s="468"/>
    </row>
    <row r="25" spans="1:11" ht="12.95" customHeight="1" x14ac:dyDescent="0.2">
      <c r="A25" s="463" t="s">
        <v>833</v>
      </c>
      <c r="B25" s="470">
        <v>1322</v>
      </c>
      <c r="C25" s="551"/>
      <c r="D25" s="468"/>
      <c r="E25" s="468"/>
      <c r="F25" s="468"/>
      <c r="G25" s="468"/>
      <c r="H25" s="468"/>
      <c r="I25" s="468"/>
      <c r="J25" s="468"/>
      <c r="K25" s="468"/>
    </row>
    <row r="26" spans="1:11" ht="12.95" customHeight="1" x14ac:dyDescent="0.2">
      <c r="A26" s="463" t="s">
        <v>1101</v>
      </c>
      <c r="B26" s="470">
        <v>1323</v>
      </c>
      <c r="C26" s="551"/>
      <c r="D26" s="468"/>
      <c r="E26" s="468"/>
      <c r="F26" s="468"/>
      <c r="G26" s="468"/>
      <c r="H26" s="468"/>
      <c r="I26" s="468"/>
      <c r="J26" s="468"/>
      <c r="K26" s="468"/>
    </row>
    <row r="27" spans="1:11" ht="12.95" customHeight="1" x14ac:dyDescent="0.2">
      <c r="A27" s="463" t="s">
        <v>1023</v>
      </c>
      <c r="B27" s="470">
        <v>1324</v>
      </c>
      <c r="C27" s="489"/>
      <c r="D27" s="468"/>
      <c r="E27" s="468"/>
      <c r="F27" s="468"/>
      <c r="G27" s="468"/>
      <c r="H27" s="468"/>
      <c r="I27" s="468"/>
      <c r="J27" s="468"/>
      <c r="K27" s="468"/>
    </row>
    <row r="28" spans="1:11" ht="12.95" customHeight="1" x14ac:dyDescent="0.2">
      <c r="A28" s="463" t="s">
        <v>1024</v>
      </c>
      <c r="B28" s="470">
        <v>1331</v>
      </c>
      <c r="C28" s="551"/>
      <c r="D28" s="468"/>
      <c r="E28" s="468"/>
      <c r="F28" s="468"/>
      <c r="G28" s="468"/>
      <c r="H28" s="468"/>
      <c r="I28" s="468"/>
      <c r="J28" s="468"/>
      <c r="K28" s="468"/>
    </row>
    <row r="29" spans="1:11" ht="12.95" customHeight="1" x14ac:dyDescent="0.2">
      <c r="A29" s="463" t="s">
        <v>834</v>
      </c>
      <c r="B29" s="470">
        <v>1332</v>
      </c>
      <c r="C29" s="551">
        <v>547254</v>
      </c>
      <c r="D29" s="468"/>
      <c r="E29" s="468"/>
      <c r="F29" s="468"/>
      <c r="G29" s="468"/>
      <c r="H29" s="468"/>
      <c r="I29" s="468"/>
      <c r="J29" s="468"/>
      <c r="K29" s="468"/>
    </row>
    <row r="30" spans="1:11" ht="12.95" customHeight="1" x14ac:dyDescent="0.2">
      <c r="A30" s="463" t="s">
        <v>1026</v>
      </c>
      <c r="B30" s="470">
        <v>1333</v>
      </c>
      <c r="C30" s="551"/>
      <c r="D30" s="468"/>
      <c r="E30" s="468"/>
      <c r="F30" s="468"/>
      <c r="G30" s="468"/>
      <c r="H30" s="468"/>
      <c r="I30" s="468"/>
      <c r="J30" s="468"/>
      <c r="K30" s="468"/>
    </row>
    <row r="31" spans="1:11" ht="12.95" customHeight="1" x14ac:dyDescent="0.2">
      <c r="A31" s="463" t="s">
        <v>1025</v>
      </c>
      <c r="B31" s="470">
        <v>1334</v>
      </c>
      <c r="C31" s="489"/>
      <c r="D31" s="468"/>
      <c r="E31" s="468"/>
      <c r="F31" s="468"/>
      <c r="G31" s="468"/>
      <c r="H31" s="468"/>
      <c r="I31" s="468"/>
      <c r="J31" s="468"/>
      <c r="K31" s="468"/>
    </row>
    <row r="32" spans="1:11" ht="12.95" customHeight="1" x14ac:dyDescent="0.2">
      <c r="A32" s="463" t="s">
        <v>494</v>
      </c>
      <c r="B32" s="470">
        <v>1341</v>
      </c>
      <c r="C32" s="551"/>
      <c r="D32" s="468"/>
      <c r="E32" s="468"/>
      <c r="F32" s="468"/>
      <c r="G32" s="468"/>
      <c r="H32" s="468"/>
      <c r="I32" s="468"/>
      <c r="J32" s="468"/>
      <c r="K32" s="468"/>
    </row>
    <row r="33" spans="1:11" ht="12.95" customHeight="1" x14ac:dyDescent="0.2">
      <c r="A33" s="463" t="s">
        <v>835</v>
      </c>
      <c r="B33" s="470">
        <v>1342</v>
      </c>
      <c r="C33" s="551"/>
      <c r="D33" s="468"/>
      <c r="E33" s="468"/>
      <c r="F33" s="468"/>
      <c r="G33" s="468"/>
      <c r="H33" s="468"/>
      <c r="I33" s="468"/>
      <c r="J33" s="468"/>
      <c r="K33" s="468"/>
    </row>
    <row r="34" spans="1:11" ht="12.95" customHeight="1" x14ac:dyDescent="0.2">
      <c r="A34" s="463" t="s">
        <v>495</v>
      </c>
      <c r="B34" s="470">
        <v>1343</v>
      </c>
      <c r="C34" s="551"/>
      <c r="D34" s="468"/>
      <c r="E34" s="468"/>
      <c r="F34" s="468"/>
      <c r="G34" s="468"/>
      <c r="H34" s="468"/>
      <c r="I34" s="468"/>
      <c r="J34" s="468"/>
      <c r="K34" s="468"/>
    </row>
    <row r="35" spans="1:11" ht="12.95" customHeight="1" x14ac:dyDescent="0.2">
      <c r="A35" s="463" t="s">
        <v>493</v>
      </c>
      <c r="B35" s="470">
        <v>1344</v>
      </c>
      <c r="C35" s="489"/>
      <c r="D35" s="468"/>
      <c r="E35" s="468"/>
      <c r="F35" s="468"/>
      <c r="G35" s="468"/>
      <c r="H35" s="468"/>
      <c r="I35" s="468"/>
      <c r="J35" s="468"/>
      <c r="K35" s="468"/>
    </row>
    <row r="36" spans="1:11" ht="12.95" customHeight="1" x14ac:dyDescent="0.2">
      <c r="A36" s="463" t="s">
        <v>831</v>
      </c>
      <c r="B36" s="470">
        <v>1351</v>
      </c>
      <c r="C36" s="551"/>
      <c r="D36" s="468"/>
      <c r="E36" s="468"/>
      <c r="F36" s="468"/>
      <c r="G36" s="468"/>
      <c r="H36" s="468"/>
      <c r="I36" s="468"/>
      <c r="J36" s="468"/>
      <c r="K36" s="468"/>
    </row>
    <row r="37" spans="1:11" ht="12.95" customHeight="1" x14ac:dyDescent="0.2">
      <c r="A37" s="463" t="s">
        <v>836</v>
      </c>
      <c r="B37" s="470">
        <v>1352</v>
      </c>
      <c r="C37" s="551"/>
      <c r="D37" s="468"/>
      <c r="E37" s="468"/>
      <c r="F37" s="468"/>
      <c r="G37" s="468"/>
      <c r="H37" s="468"/>
      <c r="I37" s="468"/>
      <c r="J37" s="468"/>
      <c r="K37" s="468"/>
    </row>
    <row r="38" spans="1:11" ht="12.95" customHeight="1" x14ac:dyDescent="0.2">
      <c r="A38" s="463" t="s">
        <v>593</v>
      </c>
      <c r="B38" s="470">
        <v>1353</v>
      </c>
      <c r="C38" s="551"/>
      <c r="D38" s="468"/>
      <c r="E38" s="468"/>
      <c r="F38" s="468"/>
      <c r="G38" s="468"/>
      <c r="H38" s="468"/>
      <c r="I38" s="468"/>
      <c r="J38" s="468"/>
      <c r="K38" s="468"/>
    </row>
    <row r="39" spans="1:11" ht="12.95" customHeight="1" x14ac:dyDescent="0.2">
      <c r="A39" s="1495" t="s">
        <v>594</v>
      </c>
      <c r="B39" s="556">
        <v>1354</v>
      </c>
      <c r="C39" s="489"/>
      <c r="D39" s="468"/>
      <c r="E39" s="468"/>
      <c r="F39" s="468"/>
      <c r="G39" s="468"/>
      <c r="H39" s="468"/>
      <c r="I39" s="468"/>
      <c r="J39" s="468"/>
      <c r="K39" s="468"/>
    </row>
    <row r="40" spans="1:11" ht="12.95" customHeight="1" thickBot="1" x14ac:dyDescent="0.25">
      <c r="A40" s="1708" t="s">
        <v>538</v>
      </c>
      <c r="B40" s="1709"/>
      <c r="C40" s="1688">
        <f>SUM(C20:C39)</f>
        <v>547254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95" customHeight="1" x14ac:dyDescent="0.2">
      <c r="A42" s="463" t="s">
        <v>1076</v>
      </c>
      <c r="B42" s="470">
        <v>1411</v>
      </c>
      <c r="C42" s="468"/>
      <c r="D42" s="468"/>
      <c r="E42" s="468"/>
      <c r="F42" s="481"/>
      <c r="G42" s="468"/>
      <c r="H42" s="468"/>
      <c r="I42" s="468"/>
      <c r="J42" s="468"/>
      <c r="K42" s="468"/>
    </row>
    <row r="43" spans="1:11" ht="12.95" customHeight="1" x14ac:dyDescent="0.2">
      <c r="A43" s="463" t="s">
        <v>837</v>
      </c>
      <c r="B43" s="470">
        <v>1412</v>
      </c>
      <c r="C43" s="468"/>
      <c r="D43" s="468"/>
      <c r="E43" s="468"/>
      <c r="F43" s="466">
        <v>6090</v>
      </c>
      <c r="G43" s="468"/>
      <c r="H43" s="468"/>
      <c r="I43" s="468"/>
      <c r="J43" s="468"/>
      <c r="K43" s="468"/>
    </row>
    <row r="44" spans="1:11" ht="12.95" customHeight="1" x14ac:dyDescent="0.2">
      <c r="A44" s="463" t="s">
        <v>384</v>
      </c>
      <c r="B44" s="470">
        <v>1413</v>
      </c>
      <c r="C44" s="468"/>
      <c r="D44" s="468"/>
      <c r="E44" s="468"/>
      <c r="F44" s="466"/>
      <c r="G44" s="468"/>
      <c r="H44" s="468"/>
      <c r="I44" s="468"/>
      <c r="J44" s="468"/>
      <c r="K44" s="468"/>
    </row>
    <row r="45" spans="1:11" ht="12.95" customHeight="1" x14ac:dyDescent="0.2">
      <c r="A45" s="463" t="s">
        <v>240</v>
      </c>
      <c r="B45" s="470">
        <v>1415</v>
      </c>
      <c r="C45" s="468"/>
      <c r="D45" s="468"/>
      <c r="E45" s="468"/>
      <c r="F45" s="466"/>
      <c r="G45" s="468"/>
      <c r="H45" s="468"/>
      <c r="I45" s="468"/>
      <c r="J45" s="468"/>
      <c r="K45" s="468"/>
    </row>
    <row r="46" spans="1:11" ht="12.95" customHeight="1" x14ac:dyDescent="0.2">
      <c r="A46" s="463" t="s">
        <v>1174</v>
      </c>
      <c r="B46" s="470">
        <v>1416</v>
      </c>
      <c r="C46" s="468"/>
      <c r="D46" s="468"/>
      <c r="E46" s="468"/>
      <c r="F46" s="467"/>
      <c r="G46" s="468"/>
      <c r="H46" s="468"/>
      <c r="I46" s="468"/>
      <c r="J46" s="468"/>
      <c r="K46" s="468"/>
    </row>
    <row r="47" spans="1:11" ht="12.95" customHeight="1" x14ac:dyDescent="0.2">
      <c r="A47" s="463" t="s">
        <v>57</v>
      </c>
      <c r="B47" s="470">
        <v>1421</v>
      </c>
      <c r="C47" s="468"/>
      <c r="D47" s="468"/>
      <c r="E47" s="468"/>
      <c r="F47" s="466"/>
      <c r="G47" s="468"/>
      <c r="H47" s="468"/>
      <c r="I47" s="468"/>
      <c r="J47" s="468"/>
      <c r="K47" s="468"/>
    </row>
    <row r="48" spans="1:11" ht="12.95" customHeight="1" x14ac:dyDescent="0.2">
      <c r="A48" s="463" t="s">
        <v>838</v>
      </c>
      <c r="B48" s="470">
        <v>1422</v>
      </c>
      <c r="C48" s="468"/>
      <c r="D48" s="468"/>
      <c r="E48" s="468"/>
      <c r="F48" s="466"/>
      <c r="G48" s="468"/>
      <c r="H48" s="468"/>
      <c r="I48" s="468"/>
      <c r="J48" s="468"/>
      <c r="K48" s="468"/>
    </row>
    <row r="49" spans="1:11" ht="12.95" customHeight="1" x14ac:dyDescent="0.2">
      <c r="A49" s="463" t="s">
        <v>58</v>
      </c>
      <c r="B49" s="470">
        <v>1423</v>
      </c>
      <c r="C49" s="468"/>
      <c r="D49" s="468"/>
      <c r="E49" s="468"/>
      <c r="F49" s="466"/>
      <c r="G49" s="468"/>
      <c r="H49" s="468"/>
      <c r="I49" s="468"/>
      <c r="J49" s="468"/>
      <c r="K49" s="468"/>
    </row>
    <row r="50" spans="1:11" ht="12.95" customHeight="1" x14ac:dyDescent="0.2">
      <c r="A50" s="463" t="s">
        <v>59</v>
      </c>
      <c r="B50" s="470">
        <v>1424</v>
      </c>
      <c r="C50" s="468"/>
      <c r="D50" s="468"/>
      <c r="E50" s="468"/>
      <c r="F50" s="467"/>
      <c r="G50" s="468"/>
      <c r="H50" s="468"/>
      <c r="I50" s="468"/>
      <c r="J50" s="468"/>
      <c r="K50" s="468"/>
    </row>
    <row r="51" spans="1:11" ht="12.95" customHeight="1" x14ac:dyDescent="0.2">
      <c r="A51" s="1496" t="s">
        <v>60</v>
      </c>
      <c r="B51" s="557">
        <v>1431</v>
      </c>
      <c r="C51" s="468"/>
      <c r="D51" s="468"/>
      <c r="E51" s="468"/>
      <c r="F51" s="466"/>
      <c r="G51" s="468"/>
      <c r="H51" s="468"/>
      <c r="I51" s="468"/>
      <c r="J51" s="468"/>
      <c r="K51" s="468"/>
    </row>
    <row r="52" spans="1:11" ht="12.95" customHeight="1" x14ac:dyDescent="0.2">
      <c r="A52" s="1496" t="s">
        <v>1106</v>
      </c>
      <c r="B52" s="557">
        <v>1432</v>
      </c>
      <c r="C52" s="468"/>
      <c r="D52" s="468"/>
      <c r="E52" s="468"/>
      <c r="F52" s="466"/>
      <c r="G52" s="468"/>
      <c r="H52" s="468"/>
      <c r="I52" s="468"/>
      <c r="J52" s="468"/>
      <c r="K52" s="468"/>
    </row>
    <row r="53" spans="1:11" ht="12.95" customHeight="1" x14ac:dyDescent="0.2">
      <c r="A53" s="1496" t="s">
        <v>61</v>
      </c>
      <c r="B53" s="557">
        <v>1433</v>
      </c>
      <c r="C53" s="468"/>
      <c r="D53" s="468"/>
      <c r="E53" s="468"/>
      <c r="F53" s="466"/>
      <c r="G53" s="468"/>
      <c r="H53" s="468"/>
      <c r="I53" s="468"/>
      <c r="J53" s="468"/>
      <c r="K53" s="468"/>
    </row>
    <row r="54" spans="1:11" ht="12.95" customHeight="1" x14ac:dyDescent="0.2">
      <c r="A54" s="1496" t="s">
        <v>62</v>
      </c>
      <c r="B54" s="557">
        <v>1434</v>
      </c>
      <c r="C54" s="468"/>
      <c r="D54" s="468"/>
      <c r="E54" s="468"/>
      <c r="F54" s="467"/>
      <c r="G54" s="468"/>
      <c r="H54" s="468"/>
      <c r="I54" s="468"/>
      <c r="J54" s="468"/>
      <c r="K54" s="468"/>
    </row>
    <row r="55" spans="1:11" ht="12.95" customHeight="1" x14ac:dyDescent="0.2">
      <c r="A55" s="1496" t="s">
        <v>63</v>
      </c>
      <c r="B55" s="557">
        <v>1441</v>
      </c>
      <c r="C55" s="468"/>
      <c r="D55" s="468"/>
      <c r="E55" s="468"/>
      <c r="F55" s="466"/>
      <c r="G55" s="468"/>
      <c r="H55" s="468"/>
      <c r="I55" s="468"/>
      <c r="J55" s="468"/>
      <c r="K55" s="468"/>
    </row>
    <row r="56" spans="1:11" ht="12.95" customHeight="1" x14ac:dyDescent="0.2">
      <c r="A56" s="1496" t="s">
        <v>1107</v>
      </c>
      <c r="B56" s="557">
        <v>1442</v>
      </c>
      <c r="C56" s="468"/>
      <c r="D56" s="468"/>
      <c r="E56" s="468"/>
      <c r="F56" s="466"/>
      <c r="G56" s="468"/>
      <c r="H56" s="468"/>
      <c r="I56" s="468"/>
      <c r="J56" s="468"/>
      <c r="K56" s="468"/>
    </row>
    <row r="57" spans="1:11" ht="12.95" customHeight="1" x14ac:dyDescent="0.2">
      <c r="A57" s="1496" t="s">
        <v>489</v>
      </c>
      <c r="B57" s="557">
        <v>1443</v>
      </c>
      <c r="C57" s="468"/>
      <c r="D57" s="468"/>
      <c r="E57" s="468"/>
      <c r="F57" s="466"/>
      <c r="G57" s="468"/>
      <c r="H57" s="468"/>
      <c r="I57" s="468"/>
      <c r="J57" s="468"/>
      <c r="K57" s="468"/>
    </row>
    <row r="58" spans="1:11" ht="12.95" customHeight="1" x14ac:dyDescent="0.2">
      <c r="A58" s="1496" t="s">
        <v>65</v>
      </c>
      <c r="B58" s="557">
        <v>1444</v>
      </c>
      <c r="C58" s="468"/>
      <c r="D58" s="468"/>
      <c r="E58" s="468"/>
      <c r="F58" s="466"/>
      <c r="G58" s="468"/>
      <c r="H58" s="468"/>
      <c r="I58" s="468"/>
      <c r="J58" s="468"/>
      <c r="K58" s="468"/>
    </row>
    <row r="59" spans="1:11" ht="12.95" customHeight="1" x14ac:dyDescent="0.2">
      <c r="A59" s="1496" t="s">
        <v>878</v>
      </c>
      <c r="B59" s="557">
        <v>1451</v>
      </c>
      <c r="C59" s="468"/>
      <c r="D59" s="468"/>
      <c r="E59" s="468"/>
      <c r="F59" s="466"/>
      <c r="G59" s="468"/>
      <c r="H59" s="468"/>
      <c r="I59" s="468"/>
      <c r="J59" s="468"/>
      <c r="K59" s="468"/>
    </row>
    <row r="60" spans="1:11" ht="12.95" customHeight="1" x14ac:dyDescent="0.2">
      <c r="A60" s="1496" t="s">
        <v>1108</v>
      </c>
      <c r="B60" s="557">
        <v>1452</v>
      </c>
      <c r="C60" s="468"/>
      <c r="D60" s="468"/>
      <c r="E60" s="468"/>
      <c r="F60" s="466"/>
      <c r="G60" s="468"/>
      <c r="H60" s="468"/>
      <c r="I60" s="468"/>
      <c r="J60" s="468"/>
      <c r="K60" s="468"/>
    </row>
    <row r="61" spans="1:11" ht="12.95" customHeight="1" x14ac:dyDescent="0.2">
      <c r="A61" s="563" t="s">
        <v>879</v>
      </c>
      <c r="B61" s="557">
        <v>1453</v>
      </c>
      <c r="C61" s="468"/>
      <c r="D61" s="468"/>
      <c r="E61" s="468"/>
      <c r="F61" s="466"/>
      <c r="G61" s="468"/>
      <c r="H61" s="468"/>
      <c r="I61" s="468"/>
      <c r="J61" s="468"/>
      <c r="K61" s="468"/>
    </row>
    <row r="62" spans="1:11" ht="12.95" customHeight="1" x14ac:dyDescent="0.2">
      <c r="A62" s="1497" t="s">
        <v>880</v>
      </c>
      <c r="B62" s="558">
        <v>1454</v>
      </c>
      <c r="C62" s="468"/>
      <c r="D62" s="468"/>
      <c r="E62" s="468"/>
      <c r="F62" s="467"/>
      <c r="G62" s="468"/>
      <c r="H62" s="468"/>
      <c r="I62" s="468"/>
      <c r="J62" s="468"/>
      <c r="K62" s="468"/>
    </row>
    <row r="63" spans="1:11" ht="12.95" customHeight="1" thickBot="1" x14ac:dyDescent="0.25">
      <c r="A63" s="1708" t="s">
        <v>485</v>
      </c>
      <c r="B63" s="1709"/>
      <c r="C63" s="468"/>
      <c r="D63" s="468"/>
      <c r="E63" s="468"/>
      <c r="F63" s="1688">
        <f>SUM(F42:F62)</f>
        <v>6090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95" customHeight="1" x14ac:dyDescent="0.2">
      <c r="A65" s="463" t="s">
        <v>547</v>
      </c>
      <c r="B65" s="470">
        <v>1510</v>
      </c>
      <c r="C65" s="466">
        <v>15864</v>
      </c>
      <c r="D65" s="466">
        <v>2962</v>
      </c>
      <c r="E65" s="466"/>
      <c r="F65" s="467">
        <v>592</v>
      </c>
      <c r="G65" s="466"/>
      <c r="H65" s="466"/>
      <c r="I65" s="466"/>
      <c r="J65" s="467"/>
      <c r="K65" s="466"/>
    </row>
    <row r="66" spans="1:11" ht="12.95" customHeight="1" x14ac:dyDescent="0.2">
      <c r="A66" s="463" t="s">
        <v>679</v>
      </c>
      <c r="B66" s="470">
        <v>1520</v>
      </c>
      <c r="C66" s="466"/>
      <c r="D66" s="466"/>
      <c r="E66" s="466"/>
      <c r="F66" s="466"/>
      <c r="G66" s="466"/>
      <c r="H66" s="466"/>
      <c r="I66" s="466"/>
      <c r="J66" s="467"/>
      <c r="K66" s="466"/>
    </row>
    <row r="67" spans="1:11" ht="12.95" customHeight="1" thickBot="1" x14ac:dyDescent="0.25">
      <c r="A67" s="1708" t="s">
        <v>486</v>
      </c>
      <c r="B67" s="1709"/>
      <c r="C67" s="1688">
        <f>SUM(C65:C66)</f>
        <v>15864</v>
      </c>
      <c r="D67" s="1688">
        <f t="shared" ref="D67:K67" si="2">SUM(D65:D66)</f>
        <v>2962</v>
      </c>
      <c r="E67" s="1688">
        <f t="shared" si="2"/>
        <v>0</v>
      </c>
      <c r="F67" s="1688">
        <f t="shared" si="2"/>
        <v>592</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95" customHeight="1" x14ac:dyDescent="0.2">
      <c r="A69" s="463" t="s">
        <v>666</v>
      </c>
      <c r="B69" s="470">
        <v>1611</v>
      </c>
      <c r="C69" s="466"/>
      <c r="D69" s="468"/>
      <c r="E69" s="468"/>
      <c r="F69" s="468"/>
      <c r="G69" s="468"/>
      <c r="H69" s="468"/>
      <c r="I69" s="468"/>
      <c r="J69" s="468"/>
      <c r="K69" s="468"/>
    </row>
    <row r="70" spans="1:11" ht="12.95" customHeight="1" x14ac:dyDescent="0.2">
      <c r="A70" s="463" t="s">
        <v>997</v>
      </c>
      <c r="B70" s="470">
        <v>1612</v>
      </c>
      <c r="C70" s="551"/>
      <c r="D70" s="468"/>
      <c r="E70" s="468"/>
      <c r="F70" s="468"/>
      <c r="G70" s="468"/>
      <c r="H70" s="468"/>
      <c r="I70" s="468"/>
      <c r="J70" s="468"/>
      <c r="K70" s="468"/>
    </row>
    <row r="71" spans="1:11" ht="12.95" customHeight="1" x14ac:dyDescent="0.2">
      <c r="A71" s="463" t="s">
        <v>273</v>
      </c>
      <c r="B71" s="470">
        <v>1613</v>
      </c>
      <c r="C71" s="551"/>
      <c r="D71" s="468"/>
      <c r="E71" s="468"/>
      <c r="F71" s="468"/>
      <c r="G71" s="468"/>
      <c r="H71" s="468"/>
      <c r="I71" s="468"/>
      <c r="J71" s="468"/>
      <c r="K71" s="468"/>
    </row>
    <row r="72" spans="1:11" ht="12.95" customHeight="1" x14ac:dyDescent="0.2">
      <c r="A72" s="463" t="s">
        <v>24</v>
      </c>
      <c r="B72" s="470">
        <v>1614</v>
      </c>
      <c r="C72" s="551"/>
      <c r="D72" s="468"/>
      <c r="E72" s="468"/>
      <c r="F72" s="468"/>
      <c r="G72" s="468"/>
      <c r="H72" s="468"/>
      <c r="I72" s="468"/>
      <c r="J72" s="468"/>
      <c r="K72" s="468"/>
    </row>
    <row r="73" spans="1:11" ht="12.95" customHeight="1" x14ac:dyDescent="0.2">
      <c r="A73" s="463" t="s">
        <v>998</v>
      </c>
      <c r="B73" s="470">
        <v>1620</v>
      </c>
      <c r="C73" s="551"/>
      <c r="D73" s="468"/>
      <c r="E73" s="468"/>
      <c r="F73" s="468"/>
      <c r="G73" s="468"/>
      <c r="H73" s="468"/>
      <c r="I73" s="468"/>
      <c r="J73" s="468"/>
      <c r="K73" s="468"/>
    </row>
    <row r="74" spans="1:11" ht="12.95" customHeight="1" x14ac:dyDescent="0.2">
      <c r="A74" s="463" t="s">
        <v>25</v>
      </c>
      <c r="B74" s="470">
        <v>1690</v>
      </c>
      <c r="C74" s="551">
        <v>3158</v>
      </c>
      <c r="D74" s="468"/>
      <c r="E74" s="468"/>
      <c r="F74" s="468"/>
      <c r="G74" s="468"/>
      <c r="H74" s="468"/>
      <c r="I74" s="468"/>
      <c r="J74" s="468"/>
      <c r="K74" s="468"/>
    </row>
    <row r="75" spans="1:11" ht="12.95" customHeight="1" thickBot="1" x14ac:dyDescent="0.25">
      <c r="A75" s="1708" t="s">
        <v>548</v>
      </c>
      <c r="B75" s="1709"/>
      <c r="C75" s="1688">
        <f>SUM(C69:C74)</f>
        <v>3158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95" customHeight="1" x14ac:dyDescent="0.2">
      <c r="A77" s="463" t="s">
        <v>549</v>
      </c>
      <c r="B77" s="470">
        <v>1711</v>
      </c>
      <c r="C77" s="516"/>
      <c r="D77" s="466"/>
      <c r="E77" s="468"/>
      <c r="F77" s="468"/>
      <c r="G77" s="468"/>
      <c r="H77" s="468"/>
      <c r="I77" s="468"/>
      <c r="J77" s="468"/>
      <c r="K77" s="468"/>
    </row>
    <row r="78" spans="1:11" ht="12.95" customHeight="1" x14ac:dyDescent="0.2">
      <c r="A78" s="463" t="s">
        <v>76</v>
      </c>
      <c r="B78" s="470">
        <v>1719</v>
      </c>
      <c r="C78" s="551"/>
      <c r="D78" s="466"/>
      <c r="E78" s="468"/>
      <c r="F78" s="468"/>
      <c r="G78" s="468"/>
      <c r="H78" s="468"/>
      <c r="I78" s="468"/>
      <c r="J78" s="468"/>
      <c r="K78" s="468"/>
    </row>
    <row r="79" spans="1:11" ht="12.95" customHeight="1" x14ac:dyDescent="0.2">
      <c r="A79" s="463" t="s">
        <v>550</v>
      </c>
      <c r="B79" s="470">
        <v>1720</v>
      </c>
      <c r="C79" s="551">
        <v>8187</v>
      </c>
      <c r="D79" s="466"/>
      <c r="E79" s="468"/>
      <c r="F79" s="468"/>
      <c r="G79" s="468"/>
      <c r="H79" s="468"/>
      <c r="I79" s="468"/>
      <c r="J79" s="468"/>
      <c r="K79" s="468"/>
    </row>
    <row r="80" spans="1:11" ht="12.95" customHeight="1" x14ac:dyDescent="0.2">
      <c r="A80" s="463" t="s">
        <v>551</v>
      </c>
      <c r="B80" s="470">
        <v>1730</v>
      </c>
      <c r="C80" s="551"/>
      <c r="D80" s="466"/>
      <c r="E80" s="468"/>
      <c r="F80" s="468"/>
      <c r="G80" s="468"/>
      <c r="H80" s="468"/>
      <c r="I80" s="468"/>
      <c r="J80" s="468"/>
      <c r="K80" s="468"/>
    </row>
    <row r="81" spans="1:11" ht="12.95" customHeight="1" x14ac:dyDescent="0.2">
      <c r="A81" s="463" t="s">
        <v>26</v>
      </c>
      <c r="B81" s="470">
        <v>1790</v>
      </c>
      <c r="C81" s="551"/>
      <c r="D81" s="466"/>
      <c r="E81" s="468"/>
      <c r="F81" s="468"/>
      <c r="G81" s="468"/>
      <c r="H81" s="468"/>
      <c r="I81" s="468"/>
      <c r="J81" s="468"/>
      <c r="K81" s="468"/>
    </row>
    <row r="82" spans="1:11" ht="12.95" customHeight="1" thickBot="1" x14ac:dyDescent="0.25">
      <c r="A82" s="1708" t="s">
        <v>241</v>
      </c>
      <c r="B82" s="1709"/>
      <c r="C82" s="1707">
        <f>SUM(C77:C81)</f>
        <v>8187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95" customHeight="1" x14ac:dyDescent="0.2">
      <c r="A84" s="463" t="s">
        <v>552</v>
      </c>
      <c r="B84" s="470">
        <v>1811</v>
      </c>
      <c r="C84" s="466"/>
      <c r="D84" s="468"/>
      <c r="E84" s="468"/>
      <c r="F84" s="468"/>
      <c r="G84" s="468"/>
      <c r="H84" s="468"/>
      <c r="I84" s="468"/>
      <c r="J84" s="468"/>
      <c r="K84" s="468"/>
    </row>
    <row r="85" spans="1:11" ht="12.95" customHeight="1" x14ac:dyDescent="0.2">
      <c r="A85" s="463" t="s">
        <v>553</v>
      </c>
      <c r="B85" s="470">
        <v>1812</v>
      </c>
      <c r="C85" s="551"/>
      <c r="D85" s="468"/>
      <c r="E85" s="468"/>
      <c r="F85" s="468"/>
      <c r="G85" s="468"/>
      <c r="H85" s="468"/>
      <c r="I85" s="468"/>
      <c r="J85" s="468"/>
      <c r="K85" s="468"/>
    </row>
    <row r="86" spans="1:11" ht="12.95" customHeight="1" x14ac:dyDescent="0.2">
      <c r="A86" s="463" t="s">
        <v>999</v>
      </c>
      <c r="B86" s="470">
        <v>1813</v>
      </c>
      <c r="C86" s="551"/>
      <c r="D86" s="468"/>
      <c r="E86" s="468"/>
      <c r="F86" s="468"/>
      <c r="G86" s="468"/>
      <c r="H86" s="468"/>
      <c r="I86" s="468"/>
      <c r="J86" s="468"/>
      <c r="K86" s="468"/>
    </row>
    <row r="87" spans="1:11" ht="12.95" customHeight="1" x14ac:dyDescent="0.2">
      <c r="A87" s="463" t="s">
        <v>77</v>
      </c>
      <c r="B87" s="470">
        <v>1819</v>
      </c>
      <c r="C87" s="551"/>
      <c r="D87" s="468"/>
      <c r="E87" s="468"/>
      <c r="F87" s="468"/>
      <c r="G87" s="468"/>
      <c r="H87" s="468"/>
      <c r="I87" s="468"/>
      <c r="J87" s="468"/>
      <c r="K87" s="468"/>
    </row>
    <row r="88" spans="1:11" ht="12.95" customHeight="1" x14ac:dyDescent="0.2">
      <c r="A88" s="463" t="s">
        <v>554</v>
      </c>
      <c r="B88" s="470">
        <v>1821</v>
      </c>
      <c r="C88" s="551"/>
      <c r="D88" s="468"/>
      <c r="E88" s="468"/>
      <c r="F88" s="468"/>
      <c r="G88" s="468"/>
      <c r="H88" s="468"/>
      <c r="I88" s="468"/>
      <c r="J88" s="468"/>
      <c r="K88" s="468"/>
    </row>
    <row r="89" spans="1:11" ht="12.95" customHeight="1" x14ac:dyDescent="0.2">
      <c r="A89" s="463" t="s">
        <v>714</v>
      </c>
      <c r="B89" s="470">
        <v>1822</v>
      </c>
      <c r="C89" s="551"/>
      <c r="D89" s="468"/>
      <c r="E89" s="468"/>
      <c r="F89" s="468"/>
      <c r="G89" s="468"/>
      <c r="H89" s="468"/>
      <c r="I89" s="468"/>
      <c r="J89" s="468"/>
      <c r="K89" s="468"/>
    </row>
    <row r="90" spans="1:11" ht="12.95" customHeight="1" x14ac:dyDescent="0.2">
      <c r="A90" s="463" t="s">
        <v>139</v>
      </c>
      <c r="B90" s="470">
        <v>1823</v>
      </c>
      <c r="C90" s="551"/>
      <c r="D90" s="468"/>
      <c r="E90" s="468"/>
      <c r="F90" s="468"/>
      <c r="G90" s="468"/>
      <c r="H90" s="468"/>
      <c r="I90" s="468"/>
      <c r="J90" s="468"/>
      <c r="K90" s="468"/>
    </row>
    <row r="91" spans="1:11" ht="12.95" customHeight="1" x14ac:dyDescent="0.2">
      <c r="A91" s="463" t="s">
        <v>27</v>
      </c>
      <c r="B91" s="470">
        <v>1829</v>
      </c>
      <c r="C91" s="551"/>
      <c r="D91" s="468"/>
      <c r="E91" s="468"/>
      <c r="F91" s="468"/>
      <c r="G91" s="468"/>
      <c r="H91" s="468"/>
      <c r="I91" s="468"/>
      <c r="J91" s="468"/>
      <c r="K91" s="468"/>
    </row>
    <row r="92" spans="1:11" ht="12.95" customHeight="1" x14ac:dyDescent="0.2">
      <c r="A92" s="463" t="s">
        <v>762</v>
      </c>
      <c r="B92" s="470">
        <v>1890</v>
      </c>
      <c r="C92" s="551"/>
      <c r="D92" s="468"/>
      <c r="E92" s="468"/>
      <c r="F92" s="468"/>
      <c r="G92" s="468"/>
      <c r="H92" s="468"/>
      <c r="I92" s="468"/>
      <c r="J92" s="468"/>
      <c r="K92" s="468"/>
    </row>
    <row r="93" spans="1:11" ht="12.9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95" customHeight="1" x14ac:dyDescent="0.2">
      <c r="A95" s="463" t="s">
        <v>1064</v>
      </c>
      <c r="B95" s="470">
        <v>1910</v>
      </c>
      <c r="C95" s="466"/>
      <c r="D95" s="551">
        <v>18750</v>
      </c>
      <c r="E95" s="521"/>
      <c r="F95" s="521"/>
      <c r="G95" s="521"/>
      <c r="H95" s="521"/>
      <c r="I95" s="521"/>
      <c r="J95" s="521"/>
      <c r="K95" s="521"/>
    </row>
    <row r="96" spans="1:11" ht="12.95" customHeight="1" x14ac:dyDescent="0.2">
      <c r="A96" s="463" t="s">
        <v>391</v>
      </c>
      <c r="B96" s="470">
        <v>1920</v>
      </c>
      <c r="C96" s="551">
        <f>93319+27310</f>
        <v>120629</v>
      </c>
      <c r="D96" s="551"/>
      <c r="E96" s="479"/>
      <c r="F96" s="478"/>
      <c r="G96" s="478"/>
      <c r="H96" s="478"/>
      <c r="I96" s="478"/>
      <c r="J96" s="478"/>
      <c r="K96" s="478"/>
    </row>
    <row r="97" spans="1:12" ht="12.95" customHeight="1" x14ac:dyDescent="0.2">
      <c r="A97" s="1495" t="s">
        <v>244</v>
      </c>
      <c r="B97" s="559">
        <v>1930</v>
      </c>
      <c r="C97" s="489"/>
      <c r="D97" s="467"/>
      <c r="E97" s="474"/>
      <c r="F97" s="467"/>
      <c r="G97" s="467"/>
      <c r="H97" s="467"/>
      <c r="I97" s="467"/>
      <c r="J97" s="467"/>
      <c r="K97" s="467"/>
    </row>
    <row r="98" spans="1:12" ht="12.95" customHeight="1" x14ac:dyDescent="0.2">
      <c r="A98" s="463" t="s">
        <v>189</v>
      </c>
      <c r="B98" s="470">
        <v>1940</v>
      </c>
      <c r="C98" s="489"/>
      <c r="D98" s="466"/>
      <c r="E98" s="512"/>
      <c r="F98" s="466"/>
      <c r="G98" s="512"/>
      <c r="H98" s="512"/>
      <c r="I98" s="510"/>
      <c r="J98" s="512"/>
      <c r="K98" s="512"/>
    </row>
    <row r="99" spans="1:12" ht="12.95" customHeight="1" x14ac:dyDescent="0.2">
      <c r="A99" s="463" t="s">
        <v>821</v>
      </c>
      <c r="B99" s="470">
        <v>1950</v>
      </c>
      <c r="C99" s="489">
        <v>243</v>
      </c>
      <c r="D99" s="466"/>
      <c r="E99" s="466"/>
      <c r="F99" s="466"/>
      <c r="G99" s="466"/>
      <c r="H99" s="466"/>
      <c r="I99" s="468"/>
      <c r="J99" s="467"/>
      <c r="K99" s="466"/>
    </row>
    <row r="100" spans="1:12" ht="12.95" customHeight="1" x14ac:dyDescent="0.2">
      <c r="A100" s="463" t="s">
        <v>245</v>
      </c>
      <c r="B100" s="470">
        <v>1960</v>
      </c>
      <c r="C100" s="489"/>
      <c r="D100" s="489"/>
      <c r="E100" s="489"/>
      <c r="F100" s="489"/>
      <c r="G100" s="489"/>
      <c r="H100" s="489"/>
      <c r="I100" s="467"/>
      <c r="J100" s="489"/>
      <c r="K100" s="467"/>
    </row>
    <row r="101" spans="1:12" ht="12.95" customHeight="1" x14ac:dyDescent="0.2">
      <c r="A101" s="463" t="s">
        <v>246</v>
      </c>
      <c r="B101" s="470">
        <v>1970</v>
      </c>
      <c r="C101" s="489"/>
      <c r="D101" s="526"/>
      <c r="E101" s="480"/>
      <c r="F101" s="526"/>
      <c r="G101" s="475"/>
      <c r="H101" s="526"/>
      <c r="I101" s="468"/>
      <c r="J101" s="475"/>
      <c r="K101" s="475"/>
    </row>
    <row r="102" spans="1:12" ht="12.95" customHeight="1" x14ac:dyDescent="0.2">
      <c r="A102" s="463" t="s">
        <v>247</v>
      </c>
      <c r="B102" s="470">
        <v>1980</v>
      </c>
      <c r="C102" s="489"/>
      <c r="D102" s="489"/>
      <c r="E102" s="489"/>
      <c r="F102" s="489"/>
      <c r="G102" s="489"/>
      <c r="H102" s="489"/>
      <c r="I102" s="467"/>
      <c r="J102" s="489"/>
      <c r="K102" s="467"/>
    </row>
    <row r="103" spans="1:12" ht="12.95" customHeight="1" x14ac:dyDescent="0.2">
      <c r="A103" s="463" t="s">
        <v>345</v>
      </c>
      <c r="B103" s="470">
        <v>1983</v>
      </c>
      <c r="C103" s="468"/>
      <c r="D103" s="468"/>
      <c r="E103" s="560"/>
      <c r="F103" s="468"/>
      <c r="G103" s="468"/>
      <c r="H103" s="489"/>
      <c r="I103" s="468"/>
      <c r="J103" s="510"/>
      <c r="K103" s="510"/>
    </row>
    <row r="104" spans="1:12" ht="12.95" customHeight="1" x14ac:dyDescent="0.2">
      <c r="A104" s="463" t="s">
        <v>830</v>
      </c>
      <c r="B104" s="470">
        <v>1991</v>
      </c>
      <c r="C104" s="489"/>
      <c r="D104" s="466">
        <v>269282</v>
      </c>
      <c r="E104" s="481"/>
      <c r="F104" s="467"/>
      <c r="G104" s="467"/>
      <c r="H104" s="466"/>
      <c r="I104" s="468"/>
      <c r="J104" s="468"/>
      <c r="K104" s="468"/>
    </row>
    <row r="105" spans="1:12" ht="12.95" customHeight="1" x14ac:dyDescent="0.2">
      <c r="A105" s="463" t="s">
        <v>822</v>
      </c>
      <c r="B105" s="470">
        <v>1992</v>
      </c>
      <c r="C105" s="466">
        <v>36751</v>
      </c>
      <c r="D105" s="561"/>
      <c r="E105" s="468"/>
      <c r="F105" s="468"/>
      <c r="G105" s="468"/>
      <c r="H105" s="510"/>
      <c r="I105" s="468"/>
      <c r="J105" s="468"/>
      <c r="K105" s="468"/>
    </row>
    <row r="106" spans="1:12" ht="12.95" customHeight="1" x14ac:dyDescent="0.2">
      <c r="A106" s="463" t="s">
        <v>1430</v>
      </c>
      <c r="B106" s="470">
        <v>1993</v>
      </c>
      <c r="C106" s="466"/>
      <c r="D106" s="489"/>
      <c r="E106" s="467"/>
      <c r="F106" s="467"/>
      <c r="G106" s="467"/>
      <c r="H106" s="467"/>
      <c r="I106" s="521"/>
      <c r="J106" s="467"/>
      <c r="K106" s="467"/>
    </row>
    <row r="107" spans="1:12" ht="12.95" customHeight="1" x14ac:dyDescent="0.2">
      <c r="A107" s="463" t="s">
        <v>78</v>
      </c>
      <c r="B107" s="470">
        <v>1999</v>
      </c>
      <c r="C107" s="551">
        <v>1487</v>
      </c>
      <c r="D107" s="466">
        <v>2633</v>
      </c>
      <c r="E107" s="466"/>
      <c r="F107" s="466"/>
      <c r="G107" s="466"/>
      <c r="H107" s="466"/>
      <c r="I107" s="466"/>
      <c r="J107" s="467"/>
      <c r="K107" s="466"/>
    </row>
    <row r="108" spans="1:12" ht="12.95" customHeight="1" thickBot="1" x14ac:dyDescent="0.25">
      <c r="A108" s="1708" t="s">
        <v>487</v>
      </c>
      <c r="B108" s="1712"/>
      <c r="C108" s="1707">
        <f>SUM(C95:C107)</f>
        <v>159110</v>
      </c>
      <c r="D108" s="1707">
        <f t="shared" ref="D108:K108" si="3">SUM(D95:D107)</f>
        <v>290665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733573</v>
      </c>
      <c r="D109" s="1715">
        <f t="shared" si="4"/>
        <v>293627</v>
      </c>
      <c r="E109" s="1715">
        <f t="shared" si="4"/>
        <v>0</v>
      </c>
      <c r="F109" s="1715">
        <f t="shared" si="4"/>
        <v>6682</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95" customHeight="1" x14ac:dyDescent="0.2">
      <c r="A111" s="493" t="s">
        <v>823</v>
      </c>
      <c r="B111" s="491">
        <v>2100</v>
      </c>
      <c r="C111" s="516"/>
      <c r="D111" s="481"/>
      <c r="E111" s="561"/>
      <c r="F111" s="481"/>
      <c r="G111" s="481"/>
      <c r="H111" s="561"/>
      <c r="I111" s="468"/>
      <c r="J111" s="468"/>
      <c r="K111" s="468"/>
    </row>
    <row r="112" spans="1:12" ht="12.95" customHeight="1" x14ac:dyDescent="0.2">
      <c r="A112" s="463" t="s">
        <v>824</v>
      </c>
      <c r="B112" s="470">
        <v>2200</v>
      </c>
      <c r="C112" s="551"/>
      <c r="D112" s="466"/>
      <c r="E112" s="561"/>
      <c r="F112" s="466"/>
      <c r="G112" s="466"/>
      <c r="H112" s="561"/>
      <c r="I112" s="468"/>
      <c r="J112" s="468"/>
      <c r="K112" s="468"/>
      <c r="L112" s="552"/>
    </row>
    <row r="113" spans="1:11" ht="12.9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95" customHeight="1" x14ac:dyDescent="0.2">
      <c r="A117" s="463" t="s">
        <v>1667</v>
      </c>
      <c r="B117" s="562">
        <v>3001</v>
      </c>
      <c r="C117" s="516"/>
      <c r="D117" s="481"/>
      <c r="E117" s="466"/>
      <c r="F117" s="481"/>
      <c r="G117" s="481"/>
      <c r="H117" s="466"/>
      <c r="I117" s="468"/>
      <c r="J117" s="467"/>
      <c r="K117" s="466"/>
    </row>
    <row r="118" spans="1:11" ht="12.95" customHeight="1" x14ac:dyDescent="0.2">
      <c r="A118" s="463" t="s">
        <v>1799</v>
      </c>
      <c r="B118" s="562">
        <v>3002</v>
      </c>
      <c r="C118" s="551"/>
      <c r="D118" s="466"/>
      <c r="E118" s="466"/>
      <c r="F118" s="466"/>
      <c r="G118" s="466"/>
      <c r="H118" s="466"/>
      <c r="I118" s="468"/>
      <c r="J118" s="467"/>
      <c r="K118" s="466"/>
    </row>
    <row r="119" spans="1:11" ht="12.95" customHeight="1" x14ac:dyDescent="0.2">
      <c r="A119" s="463" t="s">
        <v>1800</v>
      </c>
      <c r="B119" s="562">
        <v>3005</v>
      </c>
      <c r="C119" s="551"/>
      <c r="D119" s="466"/>
      <c r="E119" s="466"/>
      <c r="F119" s="466"/>
      <c r="G119" s="466"/>
      <c r="H119" s="466"/>
      <c r="I119" s="468"/>
      <c r="J119" s="467"/>
      <c r="K119" s="466"/>
    </row>
    <row r="120" spans="1:11" ht="12.9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95" customHeight="1" x14ac:dyDescent="0.2">
      <c r="A125" s="463" t="s">
        <v>866</v>
      </c>
      <c r="B125" s="567">
        <v>3100</v>
      </c>
      <c r="C125" s="481"/>
      <c r="D125" s="561"/>
      <c r="E125" s="468"/>
      <c r="F125" s="548"/>
      <c r="G125" s="468"/>
      <c r="H125" s="468"/>
      <c r="I125" s="468"/>
      <c r="J125" s="468"/>
      <c r="K125" s="468"/>
    </row>
    <row r="126" spans="1:11" ht="12.95" customHeight="1" x14ac:dyDescent="0.2">
      <c r="A126" s="463" t="s">
        <v>1446</v>
      </c>
      <c r="B126" s="562">
        <v>3105</v>
      </c>
      <c r="C126" s="466"/>
      <c r="D126" s="561"/>
      <c r="E126" s="468"/>
      <c r="F126" s="466"/>
      <c r="G126" s="468"/>
      <c r="H126" s="468"/>
      <c r="I126" s="468"/>
      <c r="J126" s="468"/>
      <c r="K126" s="468"/>
    </row>
    <row r="127" spans="1:11" ht="12.95" customHeight="1" x14ac:dyDescent="0.2">
      <c r="A127" s="463" t="s">
        <v>867</v>
      </c>
      <c r="B127" s="562">
        <v>3110</v>
      </c>
      <c r="C127" s="551"/>
      <c r="D127" s="466"/>
      <c r="E127" s="468"/>
      <c r="F127" s="466"/>
      <c r="G127" s="468"/>
      <c r="H127" s="468"/>
      <c r="I127" s="468"/>
      <c r="J127" s="468"/>
      <c r="K127" s="468"/>
    </row>
    <row r="128" spans="1:11" ht="12.95" customHeight="1" x14ac:dyDescent="0.2">
      <c r="A128" s="463" t="s">
        <v>105</v>
      </c>
      <c r="B128" s="562">
        <v>3120</v>
      </c>
      <c r="C128" s="466"/>
      <c r="D128" s="561"/>
      <c r="E128" s="468"/>
      <c r="F128" s="466"/>
      <c r="G128" s="468"/>
      <c r="H128" s="468"/>
      <c r="I128" s="468"/>
      <c r="J128" s="468"/>
      <c r="K128" s="468"/>
    </row>
    <row r="129" spans="1:11" ht="12.95" customHeight="1" x14ac:dyDescent="0.2">
      <c r="A129" s="463" t="s">
        <v>1447</v>
      </c>
      <c r="B129" s="562">
        <v>3130</v>
      </c>
      <c r="C129" s="466"/>
      <c r="D129" s="561"/>
      <c r="E129" s="468"/>
      <c r="F129" s="466"/>
      <c r="G129" s="468"/>
      <c r="H129" s="468"/>
      <c r="I129" s="468"/>
      <c r="J129" s="468"/>
      <c r="K129" s="468"/>
    </row>
    <row r="130" spans="1:11" ht="12.95" customHeight="1" x14ac:dyDescent="0.2">
      <c r="A130" s="463" t="s">
        <v>137</v>
      </c>
      <c r="B130" s="562">
        <v>3145</v>
      </c>
      <c r="C130" s="466"/>
      <c r="D130" s="561"/>
      <c r="E130" s="468"/>
      <c r="F130" s="466"/>
      <c r="G130" s="468"/>
      <c r="H130" s="468"/>
      <c r="I130" s="468"/>
      <c r="J130" s="468"/>
      <c r="K130" s="468"/>
    </row>
    <row r="131" spans="1:11" ht="12.95" customHeight="1" x14ac:dyDescent="0.2">
      <c r="A131" s="463" t="s">
        <v>66</v>
      </c>
      <c r="B131" s="562">
        <v>3199</v>
      </c>
      <c r="C131" s="551"/>
      <c r="D131" s="467"/>
      <c r="E131" s="468"/>
      <c r="F131" s="466"/>
      <c r="G131" s="468"/>
      <c r="H131" s="468"/>
      <c r="I131" s="468"/>
      <c r="J131" s="468"/>
      <c r="K131" s="468"/>
    </row>
    <row r="132" spans="1:11" ht="12.9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95" customHeight="1" x14ac:dyDescent="0.2">
      <c r="A135" s="463" t="s">
        <v>669</v>
      </c>
      <c r="B135" s="562">
        <v>3220</v>
      </c>
      <c r="C135" s="551">
        <v>794830</v>
      </c>
      <c r="D135" s="466"/>
      <c r="E135" s="561"/>
      <c r="F135" s="468"/>
      <c r="G135" s="467"/>
      <c r="H135" s="468"/>
      <c r="I135" s="468"/>
      <c r="J135" s="468"/>
      <c r="K135" s="468"/>
    </row>
    <row r="136" spans="1:11" ht="12.95" customHeight="1" x14ac:dyDescent="0.2">
      <c r="A136" s="463" t="s">
        <v>249</v>
      </c>
      <c r="B136" s="562">
        <v>3225</v>
      </c>
      <c r="C136" s="551"/>
      <c r="D136" s="466"/>
      <c r="E136" s="561"/>
      <c r="F136" s="468"/>
      <c r="G136" s="467"/>
      <c r="H136" s="468"/>
      <c r="I136" s="468"/>
      <c r="J136" s="468"/>
      <c r="K136" s="468"/>
    </row>
    <row r="137" spans="1:11" ht="12.95" customHeight="1" x14ac:dyDescent="0.2">
      <c r="A137" s="463" t="s">
        <v>600</v>
      </c>
      <c r="B137" s="562">
        <v>3235</v>
      </c>
      <c r="C137" s="489"/>
      <c r="D137" s="467"/>
      <c r="E137" s="561"/>
      <c r="F137" s="468"/>
      <c r="G137" s="467"/>
      <c r="H137" s="468"/>
      <c r="I137" s="468"/>
      <c r="J137" s="468"/>
      <c r="K137" s="468"/>
    </row>
    <row r="138" spans="1:11" ht="12.95" customHeight="1" x14ac:dyDescent="0.2">
      <c r="A138" s="463" t="s">
        <v>601</v>
      </c>
      <c r="B138" s="562">
        <v>3240</v>
      </c>
      <c r="C138" s="489"/>
      <c r="D138" s="467"/>
      <c r="E138" s="561"/>
      <c r="F138" s="468"/>
      <c r="G138" s="467"/>
      <c r="H138" s="468"/>
      <c r="I138" s="468"/>
      <c r="J138" s="468"/>
      <c r="K138" s="468"/>
    </row>
    <row r="139" spans="1:11" ht="12.95" customHeight="1" x14ac:dyDescent="0.2">
      <c r="A139" s="463" t="s">
        <v>602</v>
      </c>
      <c r="B139" s="562">
        <v>3270</v>
      </c>
      <c r="C139" s="489"/>
      <c r="D139" s="467"/>
      <c r="E139" s="561"/>
      <c r="F139" s="468"/>
      <c r="G139" s="467"/>
      <c r="H139" s="468"/>
      <c r="I139" s="468"/>
      <c r="J139" s="468"/>
      <c r="K139" s="468"/>
    </row>
    <row r="140" spans="1:11" ht="12.95" customHeight="1" x14ac:dyDescent="0.2">
      <c r="A140" s="463" t="s">
        <v>67</v>
      </c>
      <c r="B140" s="562">
        <v>3299</v>
      </c>
      <c r="C140" s="551"/>
      <c r="D140" s="466"/>
      <c r="E140" s="561"/>
      <c r="F140" s="477"/>
      <c r="G140" s="467"/>
      <c r="H140" s="468"/>
      <c r="I140" s="468"/>
      <c r="J140" s="468"/>
      <c r="K140" s="468"/>
    </row>
    <row r="141" spans="1:11" ht="12.95" customHeight="1" thickBot="1" x14ac:dyDescent="0.25">
      <c r="A141" s="1708" t="s">
        <v>603</v>
      </c>
      <c r="B141" s="1720"/>
      <c r="C141" s="1707">
        <f>SUM(C134:C140)</f>
        <v>794830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95" customHeight="1" x14ac:dyDescent="0.2">
      <c r="A143" s="463" t="s">
        <v>604</v>
      </c>
      <c r="B143" s="562">
        <v>3305</v>
      </c>
      <c r="C143" s="466"/>
      <c r="D143" s="468"/>
      <c r="E143" s="561"/>
      <c r="F143" s="468"/>
      <c r="G143" s="466"/>
      <c r="H143" s="468"/>
      <c r="I143" s="468"/>
      <c r="J143" s="468"/>
      <c r="K143" s="468"/>
    </row>
    <row r="144" spans="1:11" ht="12.9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95" customHeight="1" thickTop="1" x14ac:dyDescent="0.2">
      <c r="A146" s="1498" t="s">
        <v>1056</v>
      </c>
      <c r="B146" s="568">
        <v>3360</v>
      </c>
      <c r="C146" s="569"/>
      <c r="D146" s="570"/>
      <c r="E146" s="509"/>
      <c r="F146" s="468"/>
      <c r="G146" s="571"/>
      <c r="H146" s="468"/>
      <c r="I146" s="468"/>
      <c r="J146" s="468"/>
      <c r="K146" s="468"/>
    </row>
    <row r="147" spans="1:11" ht="12.95" customHeight="1" thickBot="1" x14ac:dyDescent="0.25">
      <c r="A147" s="1499" t="s">
        <v>922</v>
      </c>
      <c r="B147" s="572">
        <v>3365</v>
      </c>
      <c r="C147" s="573"/>
      <c r="D147" s="532"/>
      <c r="E147" s="561"/>
      <c r="F147" s="468"/>
      <c r="G147" s="532"/>
      <c r="H147" s="468"/>
      <c r="I147" s="468"/>
      <c r="J147" s="468"/>
      <c r="K147" s="468"/>
    </row>
    <row r="148" spans="1:11" ht="12.95" customHeight="1" thickTop="1" thickBot="1" x14ac:dyDescent="0.25">
      <c r="A148" s="1500" t="s">
        <v>138</v>
      </c>
      <c r="B148" s="574">
        <v>3370</v>
      </c>
      <c r="C148" s="573"/>
      <c r="D148" s="573"/>
      <c r="E148" s="509"/>
      <c r="F148" s="468"/>
      <c r="G148" s="468"/>
      <c r="H148" s="468"/>
      <c r="I148" s="468"/>
      <c r="J148" s="468"/>
      <c r="K148" s="468"/>
    </row>
    <row r="149" spans="1:11" ht="12.95" customHeight="1" thickTop="1" thickBot="1" x14ac:dyDescent="0.25">
      <c r="A149" s="1500" t="s">
        <v>767</v>
      </c>
      <c r="B149" s="574">
        <v>3410</v>
      </c>
      <c r="C149" s="575"/>
      <c r="D149" s="576"/>
      <c r="E149" s="577"/>
      <c r="F149" s="530"/>
      <c r="G149" s="530"/>
      <c r="H149" s="530"/>
      <c r="I149" s="530"/>
      <c r="J149" s="530"/>
      <c r="K149" s="530"/>
    </row>
    <row r="150" spans="1:11" ht="12.9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95" customHeight="1" x14ac:dyDescent="0.2">
      <c r="A152" s="463" t="s">
        <v>1448</v>
      </c>
      <c r="B152" s="562">
        <v>3500</v>
      </c>
      <c r="C152" s="551"/>
      <c r="D152" s="466"/>
      <c r="E152" s="561"/>
      <c r="F152" s="466">
        <v>9949</v>
      </c>
      <c r="G152" s="467"/>
      <c r="H152" s="468"/>
      <c r="I152" s="468"/>
      <c r="J152" s="468"/>
      <c r="K152" s="468"/>
    </row>
    <row r="153" spans="1:11" ht="12.95" customHeight="1" x14ac:dyDescent="0.2">
      <c r="A153" s="463" t="s">
        <v>1057</v>
      </c>
      <c r="B153" s="562">
        <v>3510</v>
      </c>
      <c r="C153" s="551"/>
      <c r="D153" s="466"/>
      <c r="E153" s="561"/>
      <c r="F153" s="466"/>
      <c r="G153" s="467"/>
      <c r="H153" s="468"/>
      <c r="I153" s="468"/>
      <c r="J153" s="468"/>
      <c r="K153" s="468"/>
    </row>
    <row r="154" spans="1:11" ht="12.95" customHeight="1" x14ac:dyDescent="0.2">
      <c r="A154" s="463" t="s">
        <v>69</v>
      </c>
      <c r="B154" s="562">
        <v>3599</v>
      </c>
      <c r="C154" s="551"/>
      <c r="D154" s="466"/>
      <c r="E154" s="561"/>
      <c r="F154" s="466"/>
      <c r="G154" s="467"/>
      <c r="H154" s="468"/>
      <c r="I154" s="468"/>
      <c r="J154" s="468"/>
      <c r="K154" s="468"/>
    </row>
    <row r="155" spans="1:11" ht="12.95" customHeight="1" thickBot="1" x14ac:dyDescent="0.25">
      <c r="A155" s="1708" t="s">
        <v>94</v>
      </c>
      <c r="B155" s="1720"/>
      <c r="C155" s="1707">
        <f>SUM(C152:C154)</f>
        <v>0</v>
      </c>
      <c r="D155" s="1707">
        <f>SUM(D152:D154)</f>
        <v>0</v>
      </c>
      <c r="E155" s="561"/>
      <c r="F155" s="1707">
        <f>SUM(F152:F154)</f>
        <v>9949</v>
      </c>
      <c r="G155" s="1707">
        <f>SUM(G152:G154)</f>
        <v>0</v>
      </c>
      <c r="H155" s="468"/>
      <c r="I155" s="468"/>
      <c r="J155" s="468"/>
      <c r="K155" s="468"/>
    </row>
    <row r="156" spans="1:11" ht="12.95" customHeight="1" thickTop="1" thickBot="1" x14ac:dyDescent="0.25">
      <c r="A156" s="1500" t="s">
        <v>380</v>
      </c>
      <c r="B156" s="574">
        <v>3610</v>
      </c>
      <c r="C156" s="576"/>
      <c r="D156" s="468"/>
      <c r="E156" s="509"/>
      <c r="F156" s="468"/>
      <c r="G156" s="468"/>
      <c r="H156" s="468"/>
      <c r="I156" s="468"/>
      <c r="J156" s="468"/>
      <c r="K156" s="468"/>
    </row>
    <row r="157" spans="1:11" ht="12.95" customHeight="1" thickTop="1" thickBot="1" x14ac:dyDescent="0.25">
      <c r="A157" s="1500" t="s">
        <v>50</v>
      </c>
      <c r="B157" s="574">
        <v>3660</v>
      </c>
      <c r="C157" s="573"/>
      <c r="D157" s="578"/>
      <c r="E157" s="561"/>
      <c r="F157" s="578"/>
      <c r="G157" s="578"/>
      <c r="H157" s="468"/>
      <c r="I157" s="468"/>
      <c r="J157" s="468"/>
      <c r="K157" s="468"/>
    </row>
    <row r="158" spans="1:11" ht="12.95" customHeight="1" thickTop="1" thickBot="1" x14ac:dyDescent="0.25">
      <c r="A158" s="1500" t="s">
        <v>1000</v>
      </c>
      <c r="B158" s="574">
        <v>3695</v>
      </c>
      <c r="C158" s="576"/>
      <c r="D158" s="468"/>
      <c r="E158" s="561"/>
      <c r="F158" s="576"/>
      <c r="G158" s="576"/>
      <c r="H158" s="468"/>
      <c r="I158" s="468"/>
      <c r="J158" s="468"/>
      <c r="K158" s="468"/>
    </row>
    <row r="159" spans="1:11" ht="12.95" customHeight="1" thickTop="1" thickBot="1" x14ac:dyDescent="0.25">
      <c r="A159" s="1500" t="s">
        <v>1051</v>
      </c>
      <c r="B159" s="574">
        <v>3705</v>
      </c>
      <c r="C159" s="576"/>
      <c r="D159" s="578"/>
      <c r="E159" s="561"/>
      <c r="F159" s="576"/>
      <c r="G159" s="576"/>
      <c r="H159" s="468"/>
      <c r="I159" s="468"/>
      <c r="J159" s="468"/>
      <c r="K159" s="468"/>
    </row>
    <row r="160" spans="1:11" ht="12.95" customHeight="1" thickTop="1" thickBot="1" x14ac:dyDescent="0.25">
      <c r="A160" s="1500" t="s">
        <v>39</v>
      </c>
      <c r="B160" s="574">
        <v>3766</v>
      </c>
      <c r="C160" s="576"/>
      <c r="D160" s="578"/>
      <c r="E160" s="561"/>
      <c r="F160" s="576"/>
      <c r="G160" s="531"/>
      <c r="H160" s="468"/>
      <c r="I160" s="468"/>
      <c r="J160" s="468"/>
      <c r="K160" s="468"/>
    </row>
    <row r="161" spans="1:11" ht="12.95" customHeight="1" thickTop="1" thickBot="1" x14ac:dyDescent="0.25">
      <c r="A161" s="1500" t="s">
        <v>985</v>
      </c>
      <c r="B161" s="574">
        <v>3767</v>
      </c>
      <c r="C161" s="576"/>
      <c r="D161" s="531"/>
      <c r="E161" s="561"/>
      <c r="F161" s="531"/>
      <c r="G161" s="531"/>
      <c r="H161" s="468"/>
      <c r="I161" s="468"/>
      <c r="J161" s="468"/>
      <c r="K161" s="468"/>
    </row>
    <row r="162" spans="1:11" ht="12.95" customHeight="1" thickTop="1" thickBot="1" x14ac:dyDescent="0.25">
      <c r="A162" s="1500" t="s">
        <v>986</v>
      </c>
      <c r="B162" s="574">
        <v>3775</v>
      </c>
      <c r="C162" s="576"/>
      <c r="D162" s="573"/>
      <c r="E162" s="530"/>
      <c r="F162" s="573"/>
      <c r="G162" s="532"/>
      <c r="H162" s="530"/>
      <c r="I162" s="468"/>
      <c r="J162" s="468"/>
      <c r="K162" s="530"/>
    </row>
    <row r="163" spans="1:11" ht="12.95" customHeight="1" thickTop="1" thickBot="1" x14ac:dyDescent="0.25">
      <c r="A163" s="1500" t="s">
        <v>1449</v>
      </c>
      <c r="B163" s="574">
        <v>3780</v>
      </c>
      <c r="C163" s="531"/>
      <c r="D163" s="530"/>
      <c r="E163" s="531"/>
      <c r="F163" s="531"/>
      <c r="G163" s="531"/>
      <c r="H163" s="531"/>
      <c r="I163" s="468"/>
      <c r="J163" s="468"/>
      <c r="K163" s="531"/>
    </row>
    <row r="164" spans="1:11" ht="12.95" customHeight="1" thickTop="1" thickBot="1" x14ac:dyDescent="0.25">
      <c r="A164" s="1500" t="s">
        <v>858</v>
      </c>
      <c r="B164" s="574">
        <v>3815</v>
      </c>
      <c r="C164" s="576"/>
      <c r="D164" s="468"/>
      <c r="E164" s="561"/>
      <c r="F164" s="576"/>
      <c r="G164" s="468"/>
      <c r="H164" s="468"/>
      <c r="I164" s="468"/>
      <c r="J164" s="468"/>
      <c r="K164" s="468"/>
    </row>
    <row r="165" spans="1:11" ht="12.95" customHeight="1" thickTop="1" thickBot="1" x14ac:dyDescent="0.25">
      <c r="A165" s="1500" t="s">
        <v>397</v>
      </c>
      <c r="B165" s="574">
        <v>3825</v>
      </c>
      <c r="C165" s="576"/>
      <c r="D165" s="468"/>
      <c r="E165" s="561"/>
      <c r="F165" s="576"/>
      <c r="G165" s="468"/>
      <c r="H165" s="468"/>
      <c r="I165" s="468"/>
      <c r="J165" s="468"/>
      <c r="K165" s="468"/>
    </row>
    <row r="166" spans="1:11" ht="12.95" customHeight="1" thickTop="1" thickBot="1" x14ac:dyDescent="0.25">
      <c r="A166" s="1500" t="s">
        <v>348</v>
      </c>
      <c r="B166" s="574">
        <v>3920</v>
      </c>
      <c r="C166" s="566"/>
      <c r="D166" s="578"/>
      <c r="E166" s="468"/>
      <c r="F166" s="566"/>
      <c r="G166" s="468"/>
      <c r="H166" s="530"/>
      <c r="I166" s="468"/>
      <c r="J166" s="468"/>
      <c r="K166" s="468"/>
    </row>
    <row r="167" spans="1:11" ht="12.9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95" customHeight="1" thickTop="1" thickBot="1" x14ac:dyDescent="0.25">
      <c r="A169" s="2152" t="s">
        <v>398</v>
      </c>
      <c r="B169" s="2153"/>
      <c r="C169" s="1722">
        <f t="shared" ref="C169:K169" si="6">SUM(C132,C141,C145,C146:C150,C155,C156:C167,C168)</f>
        <v>794830</v>
      </c>
      <c r="D169" s="1722">
        <f t="shared" si="6"/>
        <v>0</v>
      </c>
      <c r="E169" s="1722">
        <f t="shared" si="6"/>
        <v>0</v>
      </c>
      <c r="F169" s="1722">
        <f t="shared" si="6"/>
        <v>9949</v>
      </c>
      <c r="G169" s="1722">
        <f t="shared" si="6"/>
        <v>0</v>
      </c>
      <c r="H169" s="1722">
        <f t="shared" si="6"/>
        <v>0</v>
      </c>
      <c r="I169" s="1722">
        <f t="shared" si="6"/>
        <v>0</v>
      </c>
      <c r="J169" s="1722">
        <f t="shared" si="6"/>
        <v>0</v>
      </c>
      <c r="K169" s="1703">
        <f t="shared" si="6"/>
        <v>0</v>
      </c>
    </row>
    <row r="170" spans="1:11" ht="12.95" customHeight="1" thickTop="1" thickBot="1" x14ac:dyDescent="0.25">
      <c r="A170" s="1708" t="s">
        <v>399</v>
      </c>
      <c r="B170" s="1714" t="s">
        <v>575</v>
      </c>
      <c r="C170" s="1715">
        <f t="shared" ref="C170:K170" si="7">SUM(C122,C169)</f>
        <v>794830</v>
      </c>
      <c r="D170" s="1715">
        <f t="shared" si="7"/>
        <v>0</v>
      </c>
      <c r="E170" s="1715">
        <f t="shared" si="7"/>
        <v>0</v>
      </c>
      <c r="F170" s="1715">
        <f t="shared" si="7"/>
        <v>9949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95" customHeight="1" x14ac:dyDescent="0.2">
      <c r="A177" s="463" t="s">
        <v>1045</v>
      </c>
      <c r="B177" s="470">
        <v>4045</v>
      </c>
      <c r="C177" s="551"/>
      <c r="D177" s="468"/>
      <c r="E177" s="561"/>
      <c r="F177" s="468"/>
      <c r="G177" s="468"/>
      <c r="H177" s="468"/>
      <c r="I177" s="468"/>
      <c r="J177" s="468"/>
      <c r="K177" s="468"/>
    </row>
    <row r="178" spans="1:11" ht="12.95" customHeight="1" x14ac:dyDescent="0.2">
      <c r="A178" s="463" t="s">
        <v>1046</v>
      </c>
      <c r="B178" s="470">
        <v>4050</v>
      </c>
      <c r="C178" s="551"/>
      <c r="D178" s="467"/>
      <c r="E178" s="561"/>
      <c r="F178" s="468"/>
      <c r="G178" s="468"/>
      <c r="H178" s="467"/>
      <c r="I178" s="468"/>
      <c r="J178" s="468"/>
      <c r="K178" s="468"/>
    </row>
    <row r="179" spans="1:11" ht="12.9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1803</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95" customHeight="1" x14ac:dyDescent="0.2">
      <c r="A184" s="463" t="s">
        <v>1603</v>
      </c>
      <c r="B184" s="470">
        <v>4100</v>
      </c>
      <c r="C184" s="516"/>
      <c r="D184" s="481"/>
      <c r="E184" s="561"/>
      <c r="F184" s="481"/>
      <c r="G184" s="481"/>
      <c r="H184" s="468"/>
      <c r="I184" s="468"/>
      <c r="J184" s="468"/>
      <c r="K184" s="468"/>
    </row>
    <row r="185" spans="1:11" ht="12.95" customHeight="1" x14ac:dyDescent="0.2">
      <c r="A185" s="463" t="s">
        <v>1604</v>
      </c>
      <c r="B185" s="470">
        <v>4105</v>
      </c>
      <c r="C185" s="551"/>
      <c r="D185" s="466"/>
      <c r="E185" s="561"/>
      <c r="F185" s="466"/>
      <c r="G185" s="466"/>
      <c r="H185" s="468"/>
      <c r="I185" s="468"/>
      <c r="J185" s="468"/>
      <c r="K185" s="468"/>
    </row>
    <row r="186" spans="1:11" ht="12.95" customHeight="1" x14ac:dyDescent="0.2">
      <c r="A186" s="463" t="s">
        <v>1606</v>
      </c>
      <c r="B186" s="470">
        <v>4107</v>
      </c>
      <c r="C186" s="551"/>
      <c r="D186" s="466"/>
      <c r="E186" s="561"/>
      <c r="F186" s="466"/>
      <c r="G186" s="466"/>
      <c r="H186" s="468"/>
      <c r="I186" s="468"/>
      <c r="J186" s="468"/>
      <c r="K186" s="468"/>
    </row>
    <row r="187" spans="1:11" ht="12.95" customHeight="1" x14ac:dyDescent="0.2">
      <c r="A187" s="463" t="s">
        <v>1605</v>
      </c>
      <c r="B187" s="470">
        <v>4199</v>
      </c>
      <c r="C187" s="551"/>
      <c r="D187" s="466"/>
      <c r="E187" s="561"/>
      <c r="F187" s="466"/>
      <c r="G187" s="466"/>
      <c r="H187" s="468"/>
      <c r="I187" s="468"/>
      <c r="J187" s="468"/>
      <c r="K187" s="468"/>
    </row>
    <row r="188" spans="1:11" ht="12.9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95" customHeight="1" x14ac:dyDescent="0.2">
      <c r="A191" s="463" t="s">
        <v>1058</v>
      </c>
      <c r="B191" s="470">
        <v>4210</v>
      </c>
      <c r="C191" s="466"/>
      <c r="D191" s="468"/>
      <c r="E191" s="561"/>
      <c r="F191" s="468"/>
      <c r="G191" s="585"/>
      <c r="H191" s="468"/>
      <c r="I191" s="468"/>
      <c r="J191" s="468"/>
      <c r="K191" s="468"/>
    </row>
    <row r="192" spans="1:11" ht="12.95" customHeight="1" x14ac:dyDescent="0.2">
      <c r="A192" s="463" t="s">
        <v>1047</v>
      </c>
      <c r="B192" s="470">
        <v>4215</v>
      </c>
      <c r="C192" s="551"/>
      <c r="D192" s="468"/>
      <c r="E192" s="561"/>
      <c r="F192" s="468"/>
      <c r="G192" s="585"/>
      <c r="H192" s="468"/>
      <c r="I192" s="468"/>
      <c r="J192" s="468"/>
      <c r="K192" s="468"/>
    </row>
    <row r="193" spans="1:11" ht="12.95" customHeight="1" x14ac:dyDescent="0.2">
      <c r="A193" s="463" t="s">
        <v>1059</v>
      </c>
      <c r="B193" s="470">
        <v>4220</v>
      </c>
      <c r="C193" s="551"/>
      <c r="D193" s="468"/>
      <c r="E193" s="561"/>
      <c r="F193" s="468"/>
      <c r="G193" s="585"/>
      <c r="H193" s="468"/>
      <c r="I193" s="468"/>
      <c r="J193" s="468"/>
      <c r="K193" s="468"/>
    </row>
    <row r="194" spans="1:11" ht="12.95" customHeight="1" x14ac:dyDescent="0.2">
      <c r="A194" s="463" t="s">
        <v>1451</v>
      </c>
      <c r="B194" s="470">
        <v>4225</v>
      </c>
      <c r="C194" s="551"/>
      <c r="D194" s="468"/>
      <c r="E194" s="561"/>
      <c r="F194" s="468"/>
      <c r="G194" s="585"/>
      <c r="H194" s="468"/>
      <c r="I194" s="468"/>
      <c r="J194" s="468"/>
      <c r="K194" s="468"/>
    </row>
    <row r="195" spans="1:11" ht="12.95" customHeight="1" x14ac:dyDescent="0.2">
      <c r="A195" s="463" t="s">
        <v>1452</v>
      </c>
      <c r="B195" s="470">
        <v>4226</v>
      </c>
      <c r="C195" s="551"/>
      <c r="D195" s="468"/>
      <c r="E195" s="561"/>
      <c r="F195" s="468"/>
      <c r="G195" s="585"/>
      <c r="H195" s="468"/>
      <c r="I195" s="468"/>
      <c r="J195" s="468"/>
      <c r="K195" s="468"/>
    </row>
    <row r="196" spans="1:11" ht="12.95" customHeight="1" x14ac:dyDescent="0.2">
      <c r="A196" s="463" t="s">
        <v>792</v>
      </c>
      <c r="B196" s="470">
        <v>4240</v>
      </c>
      <c r="C196" s="489"/>
      <c r="D196" s="468"/>
      <c r="E196" s="561"/>
      <c r="F196" s="468"/>
      <c r="G196" s="586"/>
      <c r="H196" s="468"/>
      <c r="I196" s="468"/>
      <c r="J196" s="468"/>
      <c r="K196" s="468"/>
    </row>
    <row r="197" spans="1:11" ht="12.95" customHeight="1" x14ac:dyDescent="0.2">
      <c r="A197" s="463" t="s">
        <v>71</v>
      </c>
      <c r="B197" s="470">
        <v>4299</v>
      </c>
      <c r="C197" s="551"/>
      <c r="D197" s="468"/>
      <c r="E197" s="561"/>
      <c r="F197" s="468"/>
      <c r="G197" s="585"/>
      <c r="H197" s="468"/>
      <c r="I197" s="468"/>
      <c r="J197" s="468"/>
      <c r="K197" s="468"/>
    </row>
    <row r="198" spans="1:11" ht="12.9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95" customHeight="1" x14ac:dyDescent="0.2">
      <c r="A200" s="463" t="s">
        <v>918</v>
      </c>
      <c r="B200" s="470">
        <v>4300</v>
      </c>
      <c r="C200" s="466"/>
      <c r="D200" s="466"/>
      <c r="E200" s="468"/>
      <c r="F200" s="466"/>
      <c r="G200" s="466"/>
      <c r="H200" s="468"/>
      <c r="I200" s="468"/>
      <c r="J200" s="468"/>
      <c r="K200" s="468"/>
    </row>
    <row r="201" spans="1:11" ht="12.95" customHeight="1" x14ac:dyDescent="0.2">
      <c r="A201" s="463" t="s">
        <v>919</v>
      </c>
      <c r="B201" s="470">
        <v>4305</v>
      </c>
      <c r="C201" s="551"/>
      <c r="D201" s="466"/>
      <c r="E201" s="468"/>
      <c r="F201" s="466"/>
      <c r="G201" s="466"/>
      <c r="H201" s="468"/>
      <c r="I201" s="468"/>
      <c r="J201" s="468"/>
      <c r="K201" s="468"/>
    </row>
    <row r="202" spans="1:11" ht="12.95" customHeight="1" x14ac:dyDescent="0.2">
      <c r="A202" s="463" t="s">
        <v>1031</v>
      </c>
      <c r="B202" s="470">
        <v>4340</v>
      </c>
      <c r="C202" s="551"/>
      <c r="D202" s="466"/>
      <c r="E202" s="468"/>
      <c r="F202" s="466"/>
      <c r="G202" s="466"/>
      <c r="H202" s="468"/>
      <c r="I202" s="468"/>
      <c r="J202" s="468"/>
      <c r="K202" s="468"/>
    </row>
    <row r="203" spans="1:11" ht="12.95" customHeight="1" x14ac:dyDescent="0.2">
      <c r="A203" s="463" t="s">
        <v>72</v>
      </c>
      <c r="B203" s="470">
        <v>4399</v>
      </c>
      <c r="C203" s="551"/>
      <c r="D203" s="466"/>
      <c r="E203" s="468"/>
      <c r="F203" s="466"/>
      <c r="G203" s="466"/>
      <c r="H203" s="468"/>
      <c r="I203" s="468"/>
      <c r="J203" s="468"/>
      <c r="K203" s="468"/>
    </row>
    <row r="204" spans="1:11" ht="12.9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95" customHeight="1" x14ac:dyDescent="0.2">
      <c r="A206" s="463" t="s">
        <v>759</v>
      </c>
      <c r="B206" s="470">
        <v>4400</v>
      </c>
      <c r="C206" s="551"/>
      <c r="D206" s="466"/>
      <c r="E206" s="468"/>
      <c r="F206" s="466"/>
      <c r="G206" s="466"/>
      <c r="H206" s="468"/>
      <c r="I206" s="468"/>
      <c r="J206" s="468"/>
      <c r="K206" s="468"/>
    </row>
    <row r="207" spans="1:11" ht="12.95" customHeight="1" x14ac:dyDescent="0.2">
      <c r="A207" s="463" t="s">
        <v>1453</v>
      </c>
      <c r="B207" s="470">
        <v>4421</v>
      </c>
      <c r="C207" s="551"/>
      <c r="D207" s="466"/>
      <c r="E207" s="468"/>
      <c r="F207" s="466"/>
      <c r="G207" s="466"/>
      <c r="H207" s="468"/>
      <c r="I207" s="468"/>
      <c r="J207" s="468"/>
      <c r="K207" s="468"/>
    </row>
    <row r="208" spans="1:11" ht="12.95" customHeight="1" x14ac:dyDescent="0.2">
      <c r="A208" s="463" t="s">
        <v>73</v>
      </c>
      <c r="B208" s="470">
        <v>4499</v>
      </c>
      <c r="C208" s="551"/>
      <c r="D208" s="466"/>
      <c r="E208" s="468"/>
      <c r="F208" s="466"/>
      <c r="G208" s="466"/>
      <c r="H208" s="468"/>
      <c r="I208" s="468"/>
      <c r="J208" s="468"/>
      <c r="K208" s="468"/>
    </row>
    <row r="209" spans="1:11" ht="12.9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95" customHeight="1" x14ac:dyDescent="0.2">
      <c r="A211" s="463" t="s">
        <v>1052</v>
      </c>
      <c r="B211" s="470">
        <v>4600</v>
      </c>
      <c r="C211" s="551"/>
      <c r="D211" s="466"/>
      <c r="E211" s="468"/>
      <c r="F211" s="466"/>
      <c r="G211" s="466"/>
      <c r="H211" s="468"/>
      <c r="I211" s="468"/>
      <c r="J211" s="468"/>
      <c r="K211" s="468"/>
    </row>
    <row r="212" spans="1:11" ht="12.95" customHeight="1" x14ac:dyDescent="0.2">
      <c r="A212" s="463" t="s">
        <v>1053</v>
      </c>
      <c r="B212" s="470">
        <v>4605</v>
      </c>
      <c r="C212" s="551"/>
      <c r="D212" s="466"/>
      <c r="E212" s="468"/>
      <c r="F212" s="466"/>
      <c r="G212" s="466"/>
      <c r="H212" s="468"/>
      <c r="I212" s="468"/>
      <c r="J212" s="468"/>
      <c r="K212" s="468"/>
    </row>
    <row r="213" spans="1:11" ht="12.95" customHeight="1" x14ac:dyDescent="0.2">
      <c r="A213" s="463" t="s">
        <v>1454</v>
      </c>
      <c r="B213" s="557">
        <v>4620</v>
      </c>
      <c r="C213" s="551"/>
      <c r="D213" s="466"/>
      <c r="E213" s="468"/>
      <c r="F213" s="466"/>
      <c r="G213" s="466"/>
      <c r="H213" s="468"/>
      <c r="I213" s="468"/>
      <c r="J213" s="468"/>
      <c r="K213" s="468"/>
    </row>
    <row r="214" spans="1:11" ht="12.95" customHeight="1" x14ac:dyDescent="0.2">
      <c r="A214" s="463" t="s">
        <v>1054</v>
      </c>
      <c r="B214" s="470">
        <v>4625</v>
      </c>
      <c r="C214" s="551"/>
      <c r="D214" s="466"/>
      <c r="E214" s="468"/>
      <c r="F214" s="466"/>
      <c r="G214" s="466"/>
      <c r="H214" s="468"/>
      <c r="I214" s="468"/>
      <c r="J214" s="468"/>
      <c r="K214" s="468"/>
    </row>
    <row r="215" spans="1:11" ht="12.95" customHeight="1" x14ac:dyDescent="0.2">
      <c r="A215" s="463" t="s">
        <v>1055</v>
      </c>
      <c r="B215" s="470">
        <v>4630</v>
      </c>
      <c r="C215" s="551"/>
      <c r="D215" s="466"/>
      <c r="E215" s="468"/>
      <c r="F215" s="466"/>
      <c r="G215" s="466"/>
      <c r="H215" s="468"/>
      <c r="I215" s="468"/>
      <c r="J215" s="468"/>
      <c r="K215" s="468"/>
    </row>
    <row r="216" spans="1:11" ht="12.95" customHeight="1" x14ac:dyDescent="0.2">
      <c r="A216" s="1501" t="s">
        <v>74</v>
      </c>
      <c r="B216" s="557">
        <v>4699</v>
      </c>
      <c r="C216" s="551"/>
      <c r="D216" s="466"/>
      <c r="E216" s="468"/>
      <c r="F216" s="466"/>
      <c r="G216" s="466"/>
      <c r="H216" s="468"/>
      <c r="I216" s="468"/>
      <c r="J216" s="468"/>
      <c r="K216" s="468"/>
    </row>
    <row r="217" spans="1:11" ht="12.9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95" customHeight="1" x14ac:dyDescent="0.2">
      <c r="A219" s="463" t="s">
        <v>787</v>
      </c>
      <c r="B219" s="470">
        <v>4770</v>
      </c>
      <c r="C219" s="551">
        <v>130950</v>
      </c>
      <c r="D219" s="466"/>
      <c r="E219" s="468"/>
      <c r="F219" s="468"/>
      <c r="G219" s="466"/>
      <c r="H219" s="468"/>
      <c r="I219" s="468"/>
      <c r="J219" s="468"/>
      <c r="K219" s="468"/>
    </row>
    <row r="220" spans="1:11" ht="12.95" customHeight="1" x14ac:dyDescent="0.2">
      <c r="A220" s="463" t="s">
        <v>67</v>
      </c>
      <c r="B220" s="470">
        <v>4799</v>
      </c>
      <c r="C220" s="551"/>
      <c r="D220" s="466"/>
      <c r="E220" s="468"/>
      <c r="F220" s="468"/>
      <c r="G220" s="466"/>
      <c r="H220" s="468"/>
      <c r="I220" s="468"/>
      <c r="J220" s="468"/>
      <c r="K220" s="468"/>
    </row>
    <row r="221" spans="1:11" ht="12.95" customHeight="1" thickBot="1" x14ac:dyDescent="0.25">
      <c r="A221" s="1723" t="s">
        <v>1085</v>
      </c>
      <c r="B221" s="1724"/>
      <c r="C221" s="1707">
        <f>SUM(C219:C220)</f>
        <v>130950</v>
      </c>
      <c r="D221" s="1707">
        <f>SUM(D219:D220)</f>
        <v>0</v>
      </c>
      <c r="E221" s="468"/>
      <c r="F221" s="468"/>
      <c r="G221" s="1707">
        <f>SUM(G219:G220)</f>
        <v>0</v>
      </c>
      <c r="H221" s="468"/>
      <c r="I221" s="468"/>
      <c r="J221" s="468"/>
      <c r="K221" s="468"/>
    </row>
    <row r="222" spans="1:11" ht="12.95" customHeight="1" thickTop="1" thickBot="1" x14ac:dyDescent="0.25">
      <c r="A222" s="493" t="s">
        <v>757</v>
      </c>
      <c r="B222" s="491">
        <v>4810</v>
      </c>
      <c r="C222" s="575"/>
      <c r="D222" s="576"/>
      <c r="E222" s="468"/>
      <c r="F222" s="468"/>
      <c r="G222" s="576"/>
      <c r="H222" s="468"/>
      <c r="I222" s="468"/>
      <c r="J222" s="468"/>
      <c r="K222" s="468"/>
    </row>
    <row r="223" spans="1:11" ht="12.95" customHeight="1" thickTop="1" x14ac:dyDescent="0.2">
      <c r="A223" s="493" t="s">
        <v>350</v>
      </c>
      <c r="B223" s="491">
        <v>4850</v>
      </c>
      <c r="C223" s="489"/>
      <c r="D223" s="467"/>
      <c r="E223" s="467"/>
      <c r="F223" s="467"/>
      <c r="G223" s="467"/>
      <c r="H223" s="467"/>
      <c r="I223" s="468"/>
      <c r="J223" s="467"/>
      <c r="K223" s="467"/>
    </row>
    <row r="224" spans="1:11" ht="12.95" customHeight="1" x14ac:dyDescent="0.2">
      <c r="A224" s="493" t="s">
        <v>351</v>
      </c>
      <c r="B224" s="491">
        <v>4851</v>
      </c>
      <c r="C224" s="489"/>
      <c r="D224" s="467"/>
      <c r="E224" s="468"/>
      <c r="F224" s="474"/>
      <c r="G224" s="467"/>
      <c r="H224" s="468"/>
      <c r="I224" s="468"/>
      <c r="J224" s="468"/>
      <c r="K224" s="468"/>
    </row>
    <row r="225" spans="1:11" ht="12.95" customHeight="1" x14ac:dyDescent="0.2">
      <c r="A225" s="493" t="s">
        <v>352</v>
      </c>
      <c r="B225" s="491">
        <v>4852</v>
      </c>
      <c r="C225" s="489"/>
      <c r="D225" s="467"/>
      <c r="E225" s="467"/>
      <c r="F225" s="467"/>
      <c r="G225" s="467"/>
      <c r="H225" s="467"/>
      <c r="I225" s="468"/>
      <c r="J225" s="467"/>
      <c r="K225" s="467"/>
    </row>
    <row r="226" spans="1:11" ht="12.95" customHeight="1" x14ac:dyDescent="0.2">
      <c r="A226" s="493" t="s">
        <v>353</v>
      </c>
      <c r="B226" s="491">
        <v>4853</v>
      </c>
      <c r="C226" s="489"/>
      <c r="D226" s="467"/>
      <c r="E226" s="467"/>
      <c r="F226" s="467"/>
      <c r="G226" s="467"/>
      <c r="H226" s="467"/>
      <c r="I226" s="468"/>
      <c r="J226" s="467"/>
      <c r="K226" s="467"/>
    </row>
    <row r="227" spans="1:11" ht="12.95" customHeight="1" x14ac:dyDescent="0.2">
      <c r="A227" s="493" t="s">
        <v>354</v>
      </c>
      <c r="B227" s="491">
        <v>4854</v>
      </c>
      <c r="C227" s="489"/>
      <c r="D227" s="467"/>
      <c r="E227" s="467"/>
      <c r="F227" s="467"/>
      <c r="G227" s="467"/>
      <c r="H227" s="467"/>
      <c r="I227" s="468"/>
      <c r="J227" s="467"/>
      <c r="K227" s="467"/>
    </row>
    <row r="228" spans="1:11" ht="12.95" customHeight="1" x14ac:dyDescent="0.2">
      <c r="A228" s="493" t="s">
        <v>464</v>
      </c>
      <c r="B228" s="491">
        <v>4855</v>
      </c>
      <c r="C228" s="489"/>
      <c r="D228" s="467"/>
      <c r="E228" s="467"/>
      <c r="F228" s="467"/>
      <c r="G228" s="467"/>
      <c r="H228" s="467"/>
      <c r="I228" s="468"/>
      <c r="J228" s="467"/>
      <c r="K228" s="467"/>
    </row>
    <row r="229" spans="1:11" ht="12.95" customHeight="1" x14ac:dyDescent="0.2">
      <c r="A229" s="493" t="s">
        <v>355</v>
      </c>
      <c r="B229" s="491">
        <v>4856</v>
      </c>
      <c r="C229" s="489"/>
      <c r="D229" s="467"/>
      <c r="E229" s="467"/>
      <c r="F229" s="467"/>
      <c r="G229" s="467"/>
      <c r="H229" s="467"/>
      <c r="I229" s="468"/>
      <c r="J229" s="467"/>
      <c r="K229" s="467"/>
    </row>
    <row r="230" spans="1:11" ht="12.95" customHeight="1" x14ac:dyDescent="0.2">
      <c r="A230" s="493" t="s">
        <v>356</v>
      </c>
      <c r="B230" s="491">
        <v>4857</v>
      </c>
      <c r="C230" s="489"/>
      <c r="D230" s="467"/>
      <c r="E230" s="467"/>
      <c r="F230" s="467"/>
      <c r="G230" s="467"/>
      <c r="H230" s="467"/>
      <c r="I230" s="468"/>
      <c r="J230" s="467"/>
      <c r="K230" s="467"/>
    </row>
    <row r="231" spans="1:11" ht="12.95" customHeight="1" x14ac:dyDescent="0.2">
      <c r="A231" s="493" t="s">
        <v>357</v>
      </c>
      <c r="B231" s="491">
        <v>4860</v>
      </c>
      <c r="C231" s="489"/>
      <c r="D231" s="467"/>
      <c r="E231" s="467"/>
      <c r="F231" s="467"/>
      <c r="G231" s="467"/>
      <c r="H231" s="467"/>
      <c r="I231" s="468"/>
      <c r="J231" s="467"/>
      <c r="K231" s="467"/>
    </row>
    <row r="232" spans="1:11" ht="12.95" customHeight="1" x14ac:dyDescent="0.2">
      <c r="A232" s="493" t="s">
        <v>358</v>
      </c>
      <c r="B232" s="491">
        <v>4861</v>
      </c>
      <c r="C232" s="489"/>
      <c r="D232" s="467"/>
      <c r="E232" s="467"/>
      <c r="F232" s="467"/>
      <c r="G232" s="467"/>
      <c r="H232" s="467"/>
      <c r="I232" s="468"/>
      <c r="J232" s="467"/>
      <c r="K232" s="467"/>
    </row>
    <row r="233" spans="1:11" ht="12.95" customHeight="1" x14ac:dyDescent="0.2">
      <c r="A233" s="493" t="s">
        <v>359</v>
      </c>
      <c r="B233" s="491">
        <v>4862</v>
      </c>
      <c r="C233" s="489"/>
      <c r="D233" s="467"/>
      <c r="E233" s="475"/>
      <c r="F233" s="467"/>
      <c r="G233" s="467"/>
      <c r="H233" s="475"/>
      <c r="I233" s="468"/>
      <c r="J233" s="475"/>
      <c r="K233" s="475"/>
    </row>
    <row r="234" spans="1:11" ht="12.95" customHeight="1" x14ac:dyDescent="0.2">
      <c r="A234" s="493" t="s">
        <v>360</v>
      </c>
      <c r="B234" s="491">
        <v>4863</v>
      </c>
      <c r="C234" s="489"/>
      <c r="D234" s="467"/>
      <c r="E234" s="468"/>
      <c r="F234" s="475"/>
      <c r="G234" s="526"/>
      <c r="H234" s="468"/>
      <c r="I234" s="468"/>
      <c r="J234" s="468"/>
      <c r="K234" s="468"/>
    </row>
    <row r="235" spans="1:11" ht="12.95" customHeight="1" x14ac:dyDescent="0.2">
      <c r="A235" s="493" t="s">
        <v>469</v>
      </c>
      <c r="B235" s="491">
        <v>4864</v>
      </c>
      <c r="C235" s="489"/>
      <c r="D235" s="467"/>
      <c r="E235" s="467"/>
      <c r="F235" s="467"/>
      <c r="G235" s="467"/>
      <c r="H235" s="467"/>
      <c r="I235" s="468"/>
      <c r="J235" s="467"/>
      <c r="K235" s="467"/>
    </row>
    <row r="236" spans="1:11" ht="12.95" customHeight="1" x14ac:dyDescent="0.2">
      <c r="A236" s="493" t="s">
        <v>470</v>
      </c>
      <c r="B236" s="491">
        <v>4865</v>
      </c>
      <c r="C236" s="489"/>
      <c r="D236" s="467"/>
      <c r="E236" s="467"/>
      <c r="F236" s="467"/>
      <c r="G236" s="467"/>
      <c r="H236" s="467"/>
      <c r="I236" s="468"/>
      <c r="J236" s="467"/>
      <c r="K236" s="467"/>
    </row>
    <row r="237" spans="1:11" ht="12.95" customHeight="1" x14ac:dyDescent="0.2">
      <c r="A237" s="493" t="s">
        <v>468</v>
      </c>
      <c r="B237" s="491">
        <v>4866</v>
      </c>
      <c r="C237" s="489"/>
      <c r="D237" s="467"/>
      <c r="E237" s="467"/>
      <c r="F237" s="467"/>
      <c r="G237" s="467"/>
      <c r="H237" s="467"/>
      <c r="I237" s="468"/>
      <c r="J237" s="467"/>
      <c r="K237" s="467"/>
    </row>
    <row r="238" spans="1:11" ht="12.95" customHeight="1" x14ac:dyDescent="0.2">
      <c r="A238" s="493" t="s">
        <v>467</v>
      </c>
      <c r="B238" s="491">
        <v>4867</v>
      </c>
      <c r="C238" s="489"/>
      <c r="D238" s="467"/>
      <c r="E238" s="467"/>
      <c r="F238" s="467"/>
      <c r="G238" s="467"/>
      <c r="H238" s="467"/>
      <c r="I238" s="468"/>
      <c r="J238" s="467"/>
      <c r="K238" s="467"/>
    </row>
    <row r="239" spans="1:11" ht="12.95" customHeight="1" x14ac:dyDescent="0.2">
      <c r="A239" s="493" t="s">
        <v>466</v>
      </c>
      <c r="B239" s="491">
        <v>4868</v>
      </c>
      <c r="C239" s="489"/>
      <c r="D239" s="467"/>
      <c r="E239" s="467"/>
      <c r="F239" s="467"/>
      <c r="G239" s="467"/>
      <c r="H239" s="467"/>
      <c r="I239" s="468"/>
      <c r="J239" s="467"/>
      <c r="K239" s="467"/>
    </row>
    <row r="240" spans="1:11" ht="12.95" customHeight="1" x14ac:dyDescent="0.2">
      <c r="A240" s="493" t="s">
        <v>465</v>
      </c>
      <c r="B240" s="491">
        <v>4869</v>
      </c>
      <c r="C240" s="489"/>
      <c r="D240" s="467"/>
      <c r="E240" s="467"/>
      <c r="F240" s="467"/>
      <c r="G240" s="467"/>
      <c r="H240" s="467"/>
      <c r="I240" s="468"/>
      <c r="J240" s="467"/>
      <c r="K240" s="467"/>
    </row>
    <row r="241" spans="1:11" ht="12.95" customHeight="1" x14ac:dyDescent="0.2">
      <c r="A241" s="493" t="s">
        <v>1128</v>
      </c>
      <c r="B241" s="491">
        <v>4870</v>
      </c>
      <c r="C241" s="489"/>
      <c r="D241" s="467"/>
      <c r="E241" s="467"/>
      <c r="F241" s="467"/>
      <c r="G241" s="467"/>
      <c r="H241" s="467"/>
      <c r="I241" s="468"/>
      <c r="J241" s="467"/>
      <c r="K241" s="467"/>
    </row>
    <row r="242" spans="1:11" ht="12.95" customHeight="1" x14ac:dyDescent="0.2">
      <c r="A242" s="493" t="s">
        <v>788</v>
      </c>
      <c r="B242" s="491">
        <v>4871</v>
      </c>
      <c r="C242" s="489"/>
      <c r="D242" s="467"/>
      <c r="E242" s="467"/>
      <c r="F242" s="467"/>
      <c r="G242" s="467"/>
      <c r="H242" s="467"/>
      <c r="I242" s="468"/>
      <c r="J242" s="467"/>
      <c r="K242" s="467"/>
    </row>
    <row r="243" spans="1:11" ht="12.95" customHeight="1" x14ac:dyDescent="0.2">
      <c r="A243" s="493" t="s">
        <v>789</v>
      </c>
      <c r="B243" s="491">
        <v>4872</v>
      </c>
      <c r="C243" s="489"/>
      <c r="D243" s="467"/>
      <c r="E243" s="467"/>
      <c r="F243" s="467"/>
      <c r="G243" s="467"/>
      <c r="H243" s="467"/>
      <c r="I243" s="468"/>
      <c r="J243" s="467"/>
      <c r="K243" s="467"/>
    </row>
    <row r="244" spans="1:11" ht="12.95" customHeight="1" x14ac:dyDescent="0.2">
      <c r="A244" s="493" t="s">
        <v>790</v>
      </c>
      <c r="B244" s="491">
        <v>4873</v>
      </c>
      <c r="C244" s="489"/>
      <c r="D244" s="467"/>
      <c r="E244" s="467"/>
      <c r="F244" s="467"/>
      <c r="G244" s="467"/>
      <c r="H244" s="467"/>
      <c r="I244" s="468"/>
      <c r="J244" s="467"/>
      <c r="K244" s="467"/>
    </row>
    <row r="245" spans="1:11" ht="12.95" customHeight="1" x14ac:dyDescent="0.2">
      <c r="A245" s="493" t="s">
        <v>791</v>
      </c>
      <c r="B245" s="491">
        <v>4874</v>
      </c>
      <c r="C245" s="489"/>
      <c r="D245" s="467"/>
      <c r="E245" s="467"/>
      <c r="F245" s="467"/>
      <c r="G245" s="467"/>
      <c r="H245" s="467"/>
      <c r="I245" s="468"/>
      <c r="J245" s="467"/>
      <c r="K245" s="467"/>
    </row>
    <row r="246" spans="1:11" ht="12.95" customHeight="1" x14ac:dyDescent="0.2">
      <c r="A246" s="493" t="s">
        <v>471</v>
      </c>
      <c r="B246" s="491">
        <v>4875</v>
      </c>
      <c r="C246" s="489"/>
      <c r="D246" s="467"/>
      <c r="E246" s="467"/>
      <c r="F246" s="467"/>
      <c r="G246" s="467"/>
      <c r="H246" s="467"/>
      <c r="I246" s="468"/>
      <c r="J246" s="467"/>
      <c r="K246" s="467"/>
    </row>
    <row r="247" spans="1:11" ht="12.95" customHeight="1" x14ac:dyDescent="0.2">
      <c r="A247" s="493" t="s">
        <v>770</v>
      </c>
      <c r="B247" s="491">
        <v>4876</v>
      </c>
      <c r="C247" s="489"/>
      <c r="D247" s="467"/>
      <c r="E247" s="467"/>
      <c r="F247" s="467"/>
      <c r="G247" s="467"/>
      <c r="H247" s="467"/>
      <c r="I247" s="468"/>
      <c r="J247" s="467"/>
      <c r="K247" s="467"/>
    </row>
    <row r="248" spans="1:11" ht="12.95" customHeight="1" x14ac:dyDescent="0.2">
      <c r="A248" s="493" t="s">
        <v>771</v>
      </c>
      <c r="B248" s="491">
        <v>4877</v>
      </c>
      <c r="C248" s="489"/>
      <c r="D248" s="467"/>
      <c r="E248" s="467"/>
      <c r="F248" s="467"/>
      <c r="G248" s="467"/>
      <c r="H248" s="467"/>
      <c r="I248" s="468"/>
      <c r="J248" s="467"/>
      <c r="K248" s="467"/>
    </row>
    <row r="249" spans="1:11" ht="12.95" customHeight="1" x14ac:dyDescent="0.2">
      <c r="A249" s="493" t="s">
        <v>772</v>
      </c>
      <c r="B249" s="491">
        <v>4878</v>
      </c>
      <c r="C249" s="489"/>
      <c r="D249" s="467"/>
      <c r="E249" s="467"/>
      <c r="F249" s="467"/>
      <c r="G249" s="467"/>
      <c r="H249" s="467"/>
      <c r="I249" s="468"/>
      <c r="J249" s="467"/>
      <c r="K249" s="467"/>
    </row>
    <row r="250" spans="1:11" ht="12.95" customHeight="1" x14ac:dyDescent="0.2">
      <c r="A250" s="493" t="s">
        <v>773</v>
      </c>
      <c r="B250" s="491">
        <v>4879</v>
      </c>
      <c r="C250" s="489"/>
      <c r="D250" s="467"/>
      <c r="E250" s="467"/>
      <c r="F250" s="467"/>
      <c r="G250" s="467"/>
      <c r="H250" s="467"/>
      <c r="I250" s="468"/>
      <c r="J250" s="467"/>
      <c r="K250" s="467"/>
    </row>
    <row r="251" spans="1:11" ht="12.95" customHeight="1" x14ac:dyDescent="0.2">
      <c r="A251" s="225" t="s">
        <v>1455</v>
      </c>
      <c r="B251" s="587">
        <v>4880</v>
      </c>
      <c r="C251" s="489"/>
      <c r="D251" s="467"/>
      <c r="E251" s="467"/>
      <c r="F251" s="467"/>
      <c r="G251" s="467"/>
      <c r="H251" s="467"/>
      <c r="I251" s="468"/>
      <c r="J251" s="467"/>
      <c r="K251" s="467"/>
    </row>
    <row r="252" spans="1:11" ht="12.9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95" customHeight="1" thickTop="1" thickBot="1" x14ac:dyDescent="0.25">
      <c r="A253" s="1502" t="s">
        <v>1421</v>
      </c>
      <c r="B253" s="588">
        <v>4901</v>
      </c>
      <c r="C253" s="589"/>
      <c r="D253" s="469"/>
      <c r="E253" s="468"/>
      <c r="F253" s="468"/>
      <c r="G253" s="468"/>
      <c r="H253" s="468"/>
      <c r="I253" s="468"/>
      <c r="J253" s="468"/>
      <c r="K253" s="468"/>
    </row>
    <row r="254" spans="1:11" ht="12.95" customHeight="1" thickTop="1" thickBot="1" x14ac:dyDescent="0.25">
      <c r="A254" s="1503" t="s">
        <v>1463</v>
      </c>
      <c r="B254" s="590">
        <v>4902</v>
      </c>
      <c r="C254" s="591"/>
      <c r="D254" s="592"/>
      <c r="E254" s="469"/>
      <c r="F254" s="592"/>
      <c r="G254" s="592"/>
      <c r="H254" s="469"/>
      <c r="I254" s="468"/>
      <c r="J254" s="469"/>
      <c r="K254" s="469"/>
    </row>
    <row r="255" spans="1:11" ht="12.95" customHeight="1" thickTop="1" thickBot="1" x14ac:dyDescent="0.25">
      <c r="A255" s="463" t="s">
        <v>1456</v>
      </c>
      <c r="B255" s="470">
        <v>4905</v>
      </c>
      <c r="C255" s="573"/>
      <c r="D255" s="468"/>
      <c r="E255" s="468"/>
      <c r="F255" s="578"/>
      <c r="G255" s="573"/>
      <c r="H255" s="468"/>
      <c r="I255" s="468"/>
      <c r="J255" s="468"/>
      <c r="K255" s="468"/>
    </row>
    <row r="256" spans="1:11" ht="12.95" customHeight="1" thickTop="1" thickBot="1" x14ac:dyDescent="0.25">
      <c r="A256" s="463" t="s">
        <v>1457</v>
      </c>
      <c r="B256" s="470">
        <v>4909</v>
      </c>
      <c r="C256" s="576"/>
      <c r="D256" s="468"/>
      <c r="E256" s="468"/>
      <c r="F256" s="576"/>
      <c r="G256" s="576"/>
      <c r="H256" s="468"/>
      <c r="I256" s="468"/>
      <c r="J256" s="468"/>
      <c r="K256" s="468"/>
    </row>
    <row r="257" spans="1:11" ht="12.95" customHeight="1" thickTop="1" thickBot="1" x14ac:dyDescent="0.25">
      <c r="A257" s="463" t="s">
        <v>193</v>
      </c>
      <c r="B257" s="470">
        <v>4920</v>
      </c>
      <c r="C257" s="576"/>
      <c r="D257" s="578"/>
      <c r="E257" s="468"/>
      <c r="F257" s="573"/>
      <c r="G257" s="573"/>
      <c r="H257" s="468"/>
      <c r="I257" s="468"/>
      <c r="J257" s="468"/>
      <c r="K257" s="468"/>
    </row>
    <row r="258" spans="1:11" ht="12.95" customHeight="1" thickTop="1" thickBot="1" x14ac:dyDescent="0.25">
      <c r="A258" s="463" t="s">
        <v>421</v>
      </c>
      <c r="B258" s="470">
        <v>4930</v>
      </c>
      <c r="C258" s="576"/>
      <c r="D258" s="576"/>
      <c r="E258" s="468"/>
      <c r="F258" s="576"/>
      <c r="G258" s="576"/>
      <c r="H258" s="468"/>
      <c r="I258" s="468"/>
      <c r="J258" s="468"/>
      <c r="K258" s="468"/>
    </row>
    <row r="259" spans="1:11" ht="12.95" customHeight="1" thickTop="1" thickBot="1" x14ac:dyDescent="0.25">
      <c r="A259" s="463" t="s">
        <v>758</v>
      </c>
      <c r="B259" s="470">
        <v>4932</v>
      </c>
      <c r="C259" s="576"/>
      <c r="D259" s="576"/>
      <c r="E259" s="468"/>
      <c r="F259" s="576"/>
      <c r="G259" s="576"/>
      <c r="H259" s="468"/>
      <c r="I259" s="468"/>
      <c r="J259" s="468"/>
      <c r="K259" s="468"/>
    </row>
    <row r="260" spans="1:11" ht="12.95" customHeight="1" thickTop="1" thickBot="1" x14ac:dyDescent="0.25">
      <c r="A260" s="463" t="s">
        <v>890</v>
      </c>
      <c r="B260" s="470">
        <v>4960</v>
      </c>
      <c r="C260" s="575"/>
      <c r="D260" s="576"/>
      <c r="E260" s="468"/>
      <c r="F260" s="576"/>
      <c r="G260" s="576"/>
      <c r="H260" s="468"/>
      <c r="I260" s="468"/>
      <c r="J260" s="468"/>
      <c r="K260" s="468"/>
    </row>
    <row r="261" spans="1:11" ht="12.95" customHeight="1" thickTop="1" thickBot="1" x14ac:dyDescent="0.25">
      <c r="A261" s="1930" t="s">
        <v>1935</v>
      </c>
      <c r="B261" s="470">
        <v>4981</v>
      </c>
      <c r="C261" s="575"/>
      <c r="D261" s="576"/>
      <c r="E261" s="468"/>
      <c r="F261" s="576"/>
      <c r="G261" s="576"/>
      <c r="H261" s="468"/>
      <c r="I261" s="468"/>
      <c r="J261" s="468"/>
      <c r="K261" s="468"/>
    </row>
    <row r="262" spans="1:11" ht="12.95" customHeight="1" thickTop="1" thickBot="1" x14ac:dyDescent="0.25">
      <c r="A262" s="1931" t="s">
        <v>1936</v>
      </c>
      <c r="B262" s="470">
        <v>4982</v>
      </c>
      <c r="C262" s="575"/>
      <c r="D262" s="576"/>
      <c r="E262" s="468"/>
      <c r="F262" s="576"/>
      <c r="G262" s="576"/>
      <c r="H262" s="468"/>
      <c r="I262" s="468"/>
      <c r="J262" s="468"/>
      <c r="K262" s="468"/>
    </row>
    <row r="263" spans="1:11" ht="12.95" customHeight="1" thickTop="1" thickBot="1" x14ac:dyDescent="0.25">
      <c r="A263" s="463" t="s">
        <v>568</v>
      </c>
      <c r="B263" s="470">
        <v>4991</v>
      </c>
      <c r="C263" s="575"/>
      <c r="D263" s="576"/>
      <c r="E263" s="468"/>
      <c r="F263" s="576"/>
      <c r="G263" s="576"/>
      <c r="H263" s="468"/>
      <c r="I263" s="468"/>
      <c r="J263" s="468"/>
      <c r="K263" s="468"/>
    </row>
    <row r="264" spans="1:11" ht="12.95" customHeight="1" thickTop="1" thickBot="1" x14ac:dyDescent="0.25">
      <c r="A264" s="463" t="s">
        <v>377</v>
      </c>
      <c r="B264" s="470">
        <v>4992</v>
      </c>
      <c r="C264" s="575"/>
      <c r="D264" s="576"/>
      <c r="E264" s="468"/>
      <c r="F264" s="576"/>
      <c r="G264" s="576"/>
      <c r="H264" s="468"/>
      <c r="I264" s="468"/>
      <c r="J264" s="468"/>
      <c r="K264" s="468"/>
    </row>
    <row r="265" spans="1:11" s="593" customFormat="1" ht="12.9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130950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130950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1659353</v>
      </c>
      <c r="D268" s="1715">
        <f t="shared" si="12"/>
        <v>293627</v>
      </c>
      <c r="E268" s="1715">
        <f t="shared" si="12"/>
        <v>0</v>
      </c>
      <c r="F268" s="1715">
        <f t="shared" si="12"/>
        <v>16631</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FOR THE YEAR ENDING JUNE 30, 2019&amp;R&amp;8Page &amp;P</oddHeader>
    <oddFooter>&amp;L&amp;8Printed Date: &amp;D
&amp;F</oddFooter>
  </headerFooter>
  <rowBreaks count="2" manualBreakCount="2">
    <brk id="145" max="16383" man="1"/>
    <brk id="185" max="16383"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6ce3111e-7420-4802-b50a-75d4e9a0b980"/>
    <ds:schemaRef ds:uri="http://purl.org/dc/elements/1.1/"/>
    <ds:schemaRef ds:uri="http://purl.org/dc/terms/"/>
    <ds:schemaRef ds:uri="http://www.w3.org/XML/1998/namespace"/>
    <ds:schemaRef ds:uri="http://purl.org/dc/dcmitype/"/>
    <ds:schemaRef ds:uri="4d435f69-8686-490b-bd6d-b153bf22ab50"/>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2019-10-23T16:55:06Z</cp:lastPrinted>
  <dcterms:created xsi:type="dcterms:W3CDTF">2003-10-29T19:06:34Z</dcterms:created>
  <dcterms:modified xsi:type="dcterms:W3CDTF">2019-12-03T19:46:26Z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