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84F59B86-2184-4CF3-8249-D1BA8AF688D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3" r:id="rId29"/>
    <sheet name="SEFA NOTES" sheetId="190" r:id="rId30"/>
    <sheet name="SF&amp;QC Sec-1" sheetId="174" r:id="rId31"/>
    <sheet name="SF&amp;QC Sec-2" sheetId="175" r:id="rId32"/>
    <sheet name="Finding 2019-001" sheetId="184" r:id="rId33"/>
    <sheet name="Finding 2019-002" sheetId="185" r:id="rId34"/>
    <sheet name="SF&amp;QC Sec-3" sheetId="176" r:id="rId35"/>
    <sheet name="SSPAF" sheetId="177" r:id="rId36"/>
    <sheet name="CAP 2019-001" sheetId="187" r:id="rId37"/>
    <sheet name="CAP 2019-002" sheetId="191" r:id="rId38"/>
  </sheets>
  <externalReferences>
    <externalReference r:id="rId39"/>
  </externalReferences>
  <definedNames>
    <definedName name="goof" localSheetId="33">#REF!</definedName>
    <definedName name="goof" localSheetId="29">#REF!</definedName>
    <definedName name="goof">#REF!</definedName>
    <definedName name="newname" localSheetId="33">#REF!</definedName>
    <definedName name="newname">#REF!</definedName>
    <definedName name="oops" localSheetId="33">#REF!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33">'Finding 2019-002'!$A$1:$K$52</definedName>
    <definedName name="_xlnm.Print_Area" localSheetId="28">'SEFA 19'!$A$1:$U$86</definedName>
    <definedName name="_xlnm.Print_Area" localSheetId="29">'SEFA NOTES'!$A$1:$F$57</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Print_Area_MI" localSheetId="28">'SEFA 19'!$B$14:$AC$86</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21">#REF!</definedName>
    <definedName name="SCHADDRS" localSheetId="4">#REF!</definedName>
    <definedName name="SCHADDRS" localSheetId="32">#REF!</definedName>
    <definedName name="SCHADDRS" localSheetId="33">#REF!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21">#REF!</definedName>
    <definedName name="SCHCTY" localSheetId="4">#REF!</definedName>
    <definedName name="SCHCTY" localSheetId="32">#REF!</definedName>
    <definedName name="SCHCTY" localSheetId="33">#REF!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21">#REF!</definedName>
    <definedName name="SCHNMBR" localSheetId="4">#REF!</definedName>
    <definedName name="SCHNMBR" localSheetId="32">#REF!</definedName>
    <definedName name="SCHNMBR" localSheetId="33">#REF!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21">#REF!</definedName>
    <definedName name="SCHNME" localSheetId="4">#REF!</definedName>
    <definedName name="SCHNME" localSheetId="32">#REF!</definedName>
    <definedName name="SCHNME" localSheetId="33">#REF!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36">#REF!</definedName>
    <definedName name="SUPT" localSheetId="37">#REF!</definedName>
    <definedName name="SUPT" localSheetId="21">#REF!</definedName>
    <definedName name="SUPT" localSheetId="4">#REF!</definedName>
    <definedName name="SUPT" localSheetId="32">#REF!</definedName>
    <definedName name="SUPT" localSheetId="33">#REF!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4">#REF!</definedName>
    <definedName name="SUPT" localSheetId="25">#REF!</definedName>
    <definedName name="SUPT" localSheetId="24">#REF!</definedName>
    <definedName name="SUPT" localSheetId="35">#REF!</definedName>
    <definedName name="SUPT">#REF!</definedName>
    <definedName name="Z_1BA5A640_1F24_4177_AEF7_A40D8856DB04_.wvu.PrintArea" localSheetId="33" hidden="1">'Finding 2019-002'!$A$1:$K$52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78" i="183" l="1"/>
  <c r="E35" i="190" l="1"/>
  <c r="I71" i="183" l="1"/>
  <c r="B4" i="184" l="1"/>
  <c r="B2" i="184"/>
  <c r="B1" i="184"/>
  <c r="X80" i="183"/>
  <c r="AC75" i="183"/>
  <c r="X74" i="183"/>
  <c r="AC73" i="183"/>
  <c r="O72" i="183"/>
  <c r="O78" i="183" s="1"/>
  <c r="M72" i="183"/>
  <c r="M78" i="183" s="1"/>
  <c r="K72" i="183"/>
  <c r="K78" i="183" s="1"/>
  <c r="I72" i="183"/>
  <c r="I78" i="183" s="1"/>
  <c r="G72" i="183"/>
  <c r="G78" i="183" s="1"/>
  <c r="S71" i="183"/>
  <c r="S70" i="183"/>
  <c r="AC69" i="183"/>
  <c r="AC68" i="183"/>
  <c r="AC67" i="183"/>
  <c r="AC66" i="183"/>
  <c r="AC65" i="183"/>
  <c r="AC64" i="183"/>
  <c r="AC63" i="183"/>
  <c r="S61" i="183"/>
  <c r="S60" i="183"/>
  <c r="AC59" i="183"/>
  <c r="AC58" i="183"/>
  <c r="AC57" i="183"/>
  <c r="AC56" i="183"/>
  <c r="AC55" i="183"/>
  <c r="AC53" i="183"/>
  <c r="AC52" i="183"/>
  <c r="Q51" i="183"/>
  <c r="S50" i="183"/>
  <c r="O50" i="183"/>
  <c r="O51" i="183" s="1"/>
  <c r="S49" i="183"/>
  <c r="U48" i="183"/>
  <c r="M48" i="183"/>
  <c r="I48" i="183"/>
  <c r="I51" i="183" s="1"/>
  <c r="S47" i="183"/>
  <c r="U46" i="183"/>
  <c r="K46" i="183"/>
  <c r="K51" i="183" s="1"/>
  <c r="G46" i="183"/>
  <c r="G51" i="183" s="1"/>
  <c r="Q44" i="183"/>
  <c r="O44" i="183"/>
  <c r="O54" i="183" s="1"/>
  <c r="L44" i="183"/>
  <c r="S43" i="183"/>
  <c r="U40" i="183"/>
  <c r="U39" i="183" s="1"/>
  <c r="S40" i="183"/>
  <c r="M39" i="183"/>
  <c r="M44" i="183" s="1"/>
  <c r="I39" i="183"/>
  <c r="S38" i="183"/>
  <c r="U37" i="183"/>
  <c r="K37" i="183"/>
  <c r="K44" i="183" s="1"/>
  <c r="I37" i="183"/>
  <c r="G37" i="183"/>
  <c r="G44" i="183" s="1"/>
  <c r="G54" i="183" s="1"/>
  <c r="AC36" i="183"/>
  <c r="AA36" i="183"/>
  <c r="AC34" i="183"/>
  <c r="AC32" i="183"/>
  <c r="AA32" i="183"/>
  <c r="Q31" i="183"/>
  <c r="M31" i="183"/>
  <c r="K31" i="183"/>
  <c r="I31" i="183"/>
  <c r="H31" i="183"/>
  <c r="G31" i="183"/>
  <c r="S28" i="183"/>
  <c r="S27" i="183"/>
  <c r="O26" i="183"/>
  <c r="S25" i="183"/>
  <c r="S24" i="183"/>
  <c r="O22" i="183"/>
  <c r="S21" i="183"/>
  <c r="S20" i="183"/>
  <c r="O18" i="183"/>
  <c r="S17" i="183"/>
  <c r="S16" i="183"/>
  <c r="M9" i="183"/>
  <c r="K9" i="183"/>
  <c r="M8" i="183"/>
  <c r="O62" i="183" l="1"/>
  <c r="K54" i="183"/>
  <c r="G62" i="183"/>
  <c r="G76" i="183"/>
  <c r="G80" i="183" s="1"/>
  <c r="Q54" i="183"/>
  <c r="Q62" i="183" s="1"/>
  <c r="G74" i="183"/>
  <c r="Q74" i="183"/>
  <c r="S39" i="183"/>
  <c r="S44" i="183" s="1"/>
  <c r="S72" i="183"/>
  <c r="S78" i="183" s="1"/>
  <c r="AA74" i="183"/>
  <c r="S46" i="183"/>
  <c r="AC48" i="183"/>
  <c r="I44" i="183"/>
  <c r="I54" i="183" s="1"/>
  <c r="S37" i="183"/>
  <c r="S31" i="183"/>
  <c r="S48" i="183"/>
  <c r="X81" i="183"/>
  <c r="O31" i="183"/>
  <c r="O74" i="183" s="1"/>
  <c r="M51" i="183"/>
  <c r="M54" i="183" s="1"/>
  <c r="M76" i="183" l="1"/>
  <c r="M80" i="183" s="1"/>
  <c r="M62" i="183"/>
  <c r="M74" i="183" s="1"/>
  <c r="I76" i="183"/>
  <c r="I80" i="183" s="1"/>
  <c r="I62" i="183"/>
  <c r="I74" i="183" s="1"/>
  <c r="K76" i="183"/>
  <c r="K80" i="183" s="1"/>
  <c r="K62" i="183"/>
  <c r="K74" i="183" s="1"/>
  <c r="AC44" i="183"/>
  <c r="AC74" i="183" s="1"/>
  <c r="Q76" i="183"/>
  <c r="Q80" i="183" s="1"/>
  <c r="O76" i="183"/>
  <c r="O80" i="183" s="1"/>
  <c r="S51" i="183"/>
  <c r="S54" i="183" s="1"/>
  <c r="S76" i="183" l="1"/>
  <c r="S80" i="183" s="1"/>
  <c r="S62" i="183"/>
  <c r="S74" i="183" s="1"/>
  <c r="X82" i="183"/>
  <c r="X77"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D24" i="37"/>
  <c r="B4270" i="106" s="1"/>
  <c r="D4270" i="106" s="1"/>
  <c r="L5" i="11" l="1"/>
  <c r="B2056" i="106" s="1"/>
  <c r="D2056" i="106" s="1"/>
  <c r="F50" i="34"/>
  <c r="B6289" i="106"/>
  <c r="D6289" i="106" s="1"/>
  <c r="B2724" i="106"/>
  <c r="D2724" i="106" s="1"/>
  <c r="H28" i="118"/>
  <c r="J210" i="29"/>
  <c r="B7072" i="106" s="1"/>
  <c r="D7072" i="106" s="1"/>
  <c r="I210" i="29"/>
  <c r="B7071" i="106" s="1"/>
  <c r="D7071" i="106" s="1"/>
  <c r="L15" i="11"/>
  <c r="B3459" i="106" s="1"/>
  <c r="D3459" i="106" s="1"/>
  <c r="H112" i="29"/>
  <c r="B7018" i="106" s="1"/>
  <c r="D7018" i="106" s="1"/>
  <c r="F37" i="34"/>
  <c r="F42" i="34"/>
  <c r="F46" i="34"/>
  <c r="H76" i="4"/>
  <c r="B3298" i="106" s="1"/>
  <c r="D3298" i="106" s="1"/>
  <c r="F36" i="34"/>
  <c r="F49"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D7252" i="106" l="1"/>
  <c r="D7251" i="106"/>
  <c r="B1328" i="106"/>
  <c r="D1328" i="106" s="1"/>
  <c r="L16" i="11"/>
  <c r="B2061" i="106" s="1"/>
  <c r="D2061" i="106" s="1"/>
  <c r="D7255" i="106"/>
  <c r="D7256" i="106"/>
  <c r="D7250" i="106"/>
  <c r="C367" i="29"/>
  <c r="B3622" i="106" s="1"/>
  <c r="D3622" i="106" s="1"/>
  <c r="I7" i="4"/>
  <c r="B4444" i="106" s="1"/>
  <c r="D4444"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<sst xmlns="http://schemas.openxmlformats.org/spreadsheetml/2006/main" count="5488" uniqueCount="2249">
  <si>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</si>
  <si>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</si>
  <si>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</si>
  <si>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</si>
  <si>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</si>
  <si>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</si>
  <si>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</si>
  <si>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</si>
  <si>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</si>
  <si>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</si>
  <si>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</si>
  <si>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</si>
  <si>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</si>
  <si>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</si>
  <si>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</si>
  <si>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</si>
  <si>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</si>
  <si>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</si>
  <si>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</si>
  <si>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</si>
  <si>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</si>
  <si>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</si>
  <si>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</si>
  <si>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</si>
  <si>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</si>
  <si>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</si>
  <si>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</si>
  <si>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</si>
  <si>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</si>
  <si>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</si>
  <si>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</si>
  <si>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</si>
  <si>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</si>
  <si>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</si>
  <si>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</si>
  <si>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</si>
  <si>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</si>
  <si>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</si>
  <si>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</si>
  <si>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</si>
  <si>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</si>
  <si>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</si>
  <si>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</si>
  <si>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</si>
  <si>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</si>
  <si>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</si>
  <si>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</si>
  <si>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</si>
  <si>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</si>
  <si>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</si>
  <si>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</si>
  <si>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</si>
  <si>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</si>
  <si>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</si>
  <si>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</si>
  <si>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</si>
  <si>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</si>
  <si>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</si>
  <si>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</si>
  <si>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</si>
  <si>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</si>
  <si>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</si>
  <si>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</si>
  <si>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</si>
  <si>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</si>
  <si>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</si>
  <si>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</si>
  <si>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</si>
  <si>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</si>
  <si>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</si>
  <si>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</si>
  <si>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</si>
  <si>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</si>
  <si>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</si>
  <si>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</si>
  <si>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</si>
  <si>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</si>
  <si>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</si>
  <si>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</si>
  <si>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</si>
  <si>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</si>
  <si>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</si>
  <si>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</si>
  <si>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</si>
  <si>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</si>
  <si>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</si>
  <si>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</si>
  <si>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</si>
  <si>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</si>
  <si>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</si>
  <si>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</si>
  <si>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</si>
  <si>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</si>
  <si>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</si>
  <si>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</si>
  <si>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</si>
  <si>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</si>
  <si>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</si>
  <si>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</si>
  <si>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</si>
  <si>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</si>
  <si>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</si>
  <si>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</si>
  <si>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</si>
  <si>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</si>
  <si>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</si>
  <si>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</si>
  <si>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</si>
  <si>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</si>
  <si>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</si>
  <si>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</si>
  <si>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</si>
  <si>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</si>
  <si>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</si>
  <si>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</si>
  <si>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</si>
  <si>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</si>
  <si>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</si>
  <si>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</si>
  <si>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</si>
  <si>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</si>
  <si>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</si>
  <si>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</si>
  <si>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</si>
  <si>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</si>
  <si>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</si>
  <si>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</si>
  <si>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</si>
  <si>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</si>
  <si>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</si>
  <si>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</si>
  <si>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</si>
  <si>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</si>
  <si>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</si>
  <si>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</si>
  <si>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</si>
  <si>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</si>
  <si>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</si>
  <si>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</si>
  <si>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</si>
  <si>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</si>
  <si>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</si>
  <si>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</si>
  <si>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</si>
  <si>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</si>
  <si>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</si>
  <si>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</si>
  <si>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</si>
  <si>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</si>
  <si>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</si>
  <si>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</si>
  <si>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</si>
  <si>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</si>
  <si>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</si>
  <si>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</si>
  <si>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</si>
  <si>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</si>
  <si>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</si>
  <si>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</si>
  <si>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</si>
  <si>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</si>
  <si>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</si>
  <si>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</si>
  <si>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</si>
  <si>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</si>
  <si>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</si>
  <si>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</si>
  <si>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</si>
  <si>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</si>
  <si>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</si>
  <si>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</si>
  <si>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</si>
  <si>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</si>
  <si>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</si>
  <si>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</si>
  <si>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</si>
  <si>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</si>
  <si>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</si>
  <si>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</si>
  <si>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</si>
  <si>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</si>
  <si>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</si>
  <si>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</si>
  <si>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</si>
  <si>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</si>
  <si>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</si>
  <si>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</si>
  <si>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</si>
  <si>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</si>
  <si>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</si>
  <si>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</si>
  <si>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</si>
  <si>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</si>
  <si>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</si>
  <si>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</si>
  <si>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</si>
  <si>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</si>
  <si>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</si>
  <si>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</si>
  <si>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</si>
  <si>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</si>
  <si>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</si>
  <si>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</si>
  <si>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</si>
  <si>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</si>
  <si>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</si>
  <si>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</si>
  <si>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</si>
  <si>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</si>
  <si>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</si>
  <si>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</si>
  <si>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</si>
  <si>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</si>
  <si>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</si>
  <si>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</si>
  <si>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</si>
  <si>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</si>
  <si>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</si>
  <si>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</si>
  <si>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</si>
  <si>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</si>
  <si>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</si>
  <si>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</si>
  <si>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</si>
  <si>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</si>
  <si>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</si>
  <si>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</si>
  <si>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</si>
  <si>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</si>
  <si>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</si>
  <si>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</si>
  <si>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</si>
  <si>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</si>
  <si>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</si>
  <si>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</si>
  <si>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</si>
  <si>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</si>
  <si>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</si>
  <si>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</si>
  <si>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</si>
  <si>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</si>
  <si>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</si>
  <si>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</si>
  <si>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</si>
  <si>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</si>
  <si>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</si>
  <si>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</si>
  <si>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</si>
  <si>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</si>
  <si>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</si>
  <si>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</si>
  <si>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</si>
  <si>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</si>
  <si>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</si>
  <si>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</si>
  <si>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</si>
  <si>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</si>
  <si>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</si>
  <si>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</si>
  <si>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</si>
  <si>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</si>
  <si>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</si>
  <si>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</si>
  <si>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</si>
  <si>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</si>
  <si>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</si>
  <si>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</si>
  <si>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</si>
  <si>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</si>
  <si>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</si>
  <si>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</si>
  <si>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</si>
  <si>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</si>
  <si>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</si>
  <si>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</si>
  <si>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</si>
  <si>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</si>
  <si>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</si>
  <si>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</si>
  <si>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</si>
  <si>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</si>
  <si>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</si>
  <si>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</si>
  <si>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</si>
  <si>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</si>
  <si>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</si>
  <si>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</si>
  <si>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</si>
  <si>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</si>
  <si>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</si>
  <si>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</si>
  <si>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</si>
  <si>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</si>
  <si>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</si>
  <si>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</si>
  <si>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</si>
  <si>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</si>
  <si>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</si>
  <si>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</si>
  <si>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</si>
  <si>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</si>
  <si>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</si>
  <si>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</si>
  <si>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</si>
  <si>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</si>
  <si>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</si>
  <si>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</si>
  <si>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</si>
  <si>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</si>
  <si>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</si>
  <si>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</si>
  <si>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</si>
  <si>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</si>
  <si>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</si>
  <si>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</si>
  <si>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</si>
  <si>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</si>
  <si>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</si>
  <si>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</si>
  <si>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</si>
  <si>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</si>
  <si>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</si>
  <si>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</si>
  <si>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</si>
  <si>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</si>
  <si>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</si>
  <si>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</si>
  <si>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</si>
  <si>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</si>
  <si>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</si>
  <si>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</si>
  <si>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</si>
  <si>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</si>
  <si>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</si>
  <si>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</si>
  <si>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</si>
  <si>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</si>
  <si>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</si>
  <si>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</si>
  <si>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</si>
  <si>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</si>
  <si>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</si>
  <si>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</si>
  <si>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</si>
  <si>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</si>
  <si>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</si>
  <si>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</si>
  <si>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</si>
  <si>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</si>
  <si>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</si>
  <si>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</si>
  <si>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</si>
  <si>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</si>
  <si>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</si>
  <si>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</si>
  <si>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</si>
  <si>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</si>
  <si>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</si>
  <si>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</si>
  <si>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</si>
  <si>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</si>
  <si>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</si>
  <si>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</si>
  <si>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</si>
  <si>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</si>
  <si>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</si>
  <si>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</si>
  <si>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</si>
  <si>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</si>
  <si>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</si>
  <si>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</si>
  <si>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</si>
  <si>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</si>
  <si>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</si>
  <si>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</si>
  <si>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</si>
  <si>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</si>
  <si>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</si>
  <si>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</si>
  <si>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</si>
  <si>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</si>
  <si>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</si>
  <si>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</si>
  <si>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</si>
  <si>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</si>
  <si>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</si>
  <si>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</si>
  <si>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</si>
  <si>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</si>
  <si>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</si>
  <si>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</si>
  <si>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</si>
  <si>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</si>
  <si>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</si>
  <si>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</si>
  <si>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</si>
  <si>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</si>
  <si>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</si>
  <si>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</si>
  <si>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</si>
  <si>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</si>
  <si>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</si>
  <si>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</si>
  <si>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</si>
  <si>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</si>
  <si>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</si>
  <si>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</si>
  <si>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</si>
  <si>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</si>
  <si>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</si>
  <si>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</si>
  <si>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</si>
  <si>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</si>
  <si>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</si>
  <si>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</si>
  <si>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</si>
  <si>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</si>
  <si>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</si>
  <si>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</si>
  <si>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</si>
  <si>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</si>
  <si>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</si>
  <si>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</si>
  <si>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</si>
  <si>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</si>
  <si>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</si>
  <si>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</si>
  <si>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</si>
  <si>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</si>
  <si>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</si>
  <si>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</si>
  <si>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</si>
  <si>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</si>
  <si>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</si>
  <si>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</si>
  <si>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</si>
  <si>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</si>
  <si>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</si>
  <si>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</si>
  <si>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</si>
  <si>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</si>
  <si>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</si>
  <si>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</si>
  <si>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</si>
  <si>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</si>
  <si>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</si>
  <si>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</si>
  <si>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</si>
  <si>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</si>
  <si>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</si>
  <si>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</si>
  <si>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</si>
  <si>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</si>
  <si>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</si>
  <si>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</si>
  <si>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</si>
  <si>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</si>
  <si>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</si>
  <si>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</si>
  <si>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</si>
  <si>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</si>
  <si>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</si>
  <si>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</si>
  <si>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</si>
  <si>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</si>
  <si>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</si>
  <si>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</si>
  <si>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</si>
  <si>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</si>
  <si>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</si>
  <si>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</si>
  <si>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</si>
  <si>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</si>
  <si>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</si>
  <si>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</si>
  <si>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</si>
  <si>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</si>
  <si>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</si>
  <si>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</si>
  <si>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</si>
  <si>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</si>
  <si>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</si>
  <si>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</si>
  <si>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</si>
  <si>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</si>
  <si>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</si>
  <si>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</si>
  <si>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</si>
  <si>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</si>
  <si>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</si>
  <si>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</si>
  <si>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</si>
  <si>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</si>
  <si>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</si>
  <si>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</si>
  <si>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</si>
  <si>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</si>
  <si>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</si>
  <si>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</si>
  <si>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</si>
  <si>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</si>
  <si>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</si>
  <si>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</si>
  <si>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</si>
  <si>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</si>
  <si>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</si>
  <si>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</si>
  <si>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</si>
  <si>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</si>
  <si>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</si>
  <si>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</si>
  <si>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</si>
  <si>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</si>
  <si>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</si>
  <si>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</si>
  <si>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</si>
  <si>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</si>
  <si>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</si>
  <si>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</si>
  <si>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</si>
  <si>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</si>
  <si>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</si>
  <si>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</si>
  <si>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</si>
  <si>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</si>
  <si>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</si>
  <si>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</si>
  <si>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</si>
  <si>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</si>
  <si>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</si>
  <si>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</si>
  <si>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</si>
  <si>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</si>
  <si>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</si>
  <si>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</si>
  <si>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</si>
  <si>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</si>
  <si>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</si>
  <si>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</si>
  <si>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</si>
  <si>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</si>
  <si>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</si>
  <si>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</si>
  <si>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</si>
  <si>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</si>
  <si>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</si>
  <si>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</si>
  <si>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</si>
  <si>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</si>
  <si>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</si>
  <si>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</si>
  <si>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</si>
  <si>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</si>
  <si>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</si>
  <si>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</si>
  <si>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</si>
  <si>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</si>
  <si>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</si>
  <si>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</si>
  <si>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</si>
  <si>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</si>
  <si>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</si>
  <si>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</si>
  <si>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</si>
  <si>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</si>
  <si>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</si>
  <si>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</si>
  <si>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</si>
  <si>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</si>
  <si>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</si>
  <si>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</si>
  <si>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</si>
  <si>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</si>
  <si>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</si>
  <si>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</si>
  <si>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</si>
  <si>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</si>
  <si>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</si>
  <si>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</si>
  <si>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</si>
  <si>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</si>
  <si>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</si>
  <si>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</si>
  <si>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</si>
  <si>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</si>
  <si>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</si>
  <si>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</si>
  <si>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</si>
  <si>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</si>
  <si>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</si>
  <si>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</si>
  <si>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</si>
  <si>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</si>
  <si>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</si>
  <si>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</si>
  <si>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</si>
  <si>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</si>
  <si>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</si>
  <si>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</si>
  <si>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</si>
  <si>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</si>
  <si>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</si>
  <si>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</si>
  <si>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</si>
  <si>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</si>
  <si>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</si>
  <si>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</si>
  <si>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</si>
  <si>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</si>
  <si>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</si>
  <si>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</si>
  <si>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</si>
  <si>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</si>
  <si>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</si>
  <si>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</si>
  <si>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</si>
  <si>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</si>
  <si>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</si>
  <si>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</si>
  <si>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</si>
  <si>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</si>
  <si>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</si>
  <si>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</si>
  <si>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</si>
  <si>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</si>
  <si>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</si>
  <si>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</si>
  <si>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</si>
  <si>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</si>
  <si>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</si>
  <si>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</si>
  <si>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</si>
  <si>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</si>
  <si>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</si>
  <si>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</si>
  <si>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</si>
  <si>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</si>
  <si>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</si>
  <si>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</si>
  <si>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</si>
  <si>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</si>
  <si>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</si>
  <si>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</si>
  <si>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</si>
  <si>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</si>
  <si>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</si>
  <si>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</si>
  <si>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</si>
  <si>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</si>
  <si>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</si>
  <si>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</si>
  <si>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</si>
  <si>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</si>
  <si>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</si>
  <si>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</si>
  <si>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</si>
  <si>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</si>
  <si>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</si>
  <si>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</si>
  <si>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</si>
  <si>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</si>
  <si>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</si>
  <si>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</si>
  <si>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</si>
  <si>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</si>
  <si>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</si>
  <si>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</si>
  <si>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</si>
  <si>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</si>
  <si>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</si>
  <si>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</si>
  <si>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</si>
  <si>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</si>
  <si>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</si>
  <si>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</si>
  <si>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</si>
  <si>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</si>
  <si>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</si>
  <si>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</si>
  <si>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</si>
  <si>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</si>
  <si>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</si>
  <si>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</si>
  <si>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</si>
  <si>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</si>
  <si>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</si>
  <si>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</si>
  <si>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</si>
  <si>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</si>
  <si>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</si>
  <si>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</si>
  <si>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</si>
  <si>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</si>
  <si>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</si>
  <si>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</si>
  <si>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</si>
  <si>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</si>
  <si>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</si>
  <si>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</si>
  <si>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</si>
  <si>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</si>
  <si>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</si>
  <si>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</si>
  <si>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</si>
  <si>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</si>
  <si>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</si>
  <si>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</si>
  <si>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</si>
  <si>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</si>
  <si>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</si>
  <si>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</si>
  <si>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</si>
  <si>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</si>
  <si>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</si>
  <si>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</si>
  <si>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</si>
  <si>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</si>
  <si>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</si>
  <si>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</si>
  <si>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</si>
  <si>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</si>
  <si>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</si>
  <si>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</si>
  <si>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</si>
  <si>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</si>
  <si>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</si>
  <si>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</si>
  <si>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</si>
  <si>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</si>
  <si>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</si>
  <si>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</si>
  <si>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</si>
  <si>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</si>
  <si>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</si>
  <si>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</si>
  <si>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</si>
  <si>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</si>
  <si>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</si>
  <si>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</si>
  <si>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</si>
  <si>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</si>
  <si>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</si>
  <si>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</si>
  <si>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</si>
  <si>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</si>
  <si>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</si>
  <si>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</si>
  <si>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</si>
  <si>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</si>
  <si>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</si>
  <si>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</si>
  <si>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</si>
  <si>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</si>
  <si>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</si>
  <si>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</si>
  <si>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</si>
  <si>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</si>
  <si>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</si>
  <si>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</si>
  <si>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</si>
  <si>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</si>
  <si>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</si>
  <si>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</si>
  <si>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</si>
  <si>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</si>
  <si>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</si>
  <si>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</si>
  <si>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</si>
  <si>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</si>
  <si>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</si>
  <si>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</si>
  <si>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</si>
  <si>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</si>
  <si>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</si>
  <si>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</si>
  <si>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</si>
  <si>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</si>
  <si>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</si>
  <si>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</si>
  <si>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</si>
  <si>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</si>
  <si>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</si>
  <si>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</si>
  <si>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</si>
  <si>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</si>
  <si>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</si>
  <si>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</si>
  <si>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</si>
  <si>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</si>
  <si>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</si>
  <si>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</si>
  <si>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</si>
  <si>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</si>
  <si>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</si>
  <si>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</si>
  <si>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</si>
  <si>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</si>
  <si>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</si>
  <si>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</si>
  <si>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</si>
  <si>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</si>
  <si>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</si>
  <si>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</si>
  <si>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</si>
  <si>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</si>
  <si>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</si>
  <si>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</si>
  <si>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</si>
  <si>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</si>
  <si>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</si>
  <si>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</si>
  <si>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</si>
  <si>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</si>
  <si>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</si>
  <si>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</si>
  <si>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</si>
  <si>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</si>
  <si>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</si>
  <si>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</si>
  <si>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</si>
  <si>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</si>
  <si>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</si>
  <si>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</si>
  <si>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</si>
  <si>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</si>
  <si>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</si>
  <si>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</si>
  <si>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</si>
  <si>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</si>
  <si>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</si>
  <si>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</si>
  <si>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</si>
  <si>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</si>
  <si>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</si>
  <si>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</si>
  <si>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</si>
  <si>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</si>
  <si>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</si>
  <si>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</si>
  <si>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</si>
  <si>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</si>
  <si>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</si>
  <si>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</si>
  <si>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</si>
  <si>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</si>
  <si>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</si>
  <si>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</si>
  <si>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</si>
  <si>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</si>
  <si>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</si>
  <si>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</si>
  <si>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</si>
  <si>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</si>
  <si>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</si>
  <si>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</si>
  <si>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</si>
  <si>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</si>
  <si>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</si>
  <si>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</si>
  <si>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</si>
  <si>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</si>
  <si>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</si>
  <si>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</si>
  <si>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</si>
  <si>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</si>
  <si>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</si>
  <si>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</si>
  <si>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</si>
  <si>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</si>
  <si>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</si>
  <si>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</si>
  <si>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</si>
  <si>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</si>
  <si>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</si>
  <si>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</si>
  <si>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</si>
  <si>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</si>
  <si>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</si>
  <si>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</si>
  <si>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</si>
  <si>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</si>
  <si>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</si>
  <si>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</si>
  <si>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</si>
  <si>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</si>
  <si>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</si>
  <si>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</si>
  <si>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</si>
  <si>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</si>
  <si>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</si>
  <si>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</si>
  <si>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</si>
  <si>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</si>
  <si>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</si>
  <si>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</si>
  <si>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</si>
  <si>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</si>
  <si>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</si>
  <si>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</si>
  <si>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</si>
  <si>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</si>
  <si>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</si>
  <si>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</si>
  <si>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</si>
  <si>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</si>
  <si>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</si>
  <si>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</si>
  <si>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</si>
  <si>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</si>
  <si>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</si>
  <si>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</si>
  <si>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</si>
  <si>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</si>
  <si>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</si>
  <si>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</si>
  <si>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</si>
  <si>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</si>
  <si>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</si>
  <si>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</si>
  <si>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</si>
  <si>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</si>
  <si>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</si>
  <si>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</si>
  <si>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</si>
  <si>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</si>
  <si>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</si>
  <si>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</si>
  <si>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</si>
  <si>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</si>
  <si>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</si>
  <si>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</si>
  <si>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</si>
  <si>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</si>
  <si>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</si>
  <si>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</si>
  <si>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</si>
  <si>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</si>
  <si>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</si>
  <si>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</si>
  <si>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</si>
  <si>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</si>
  <si>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</si>
  <si>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</si>
  <si>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</si>
  <si>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</si>
  <si>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</si>
  <si>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</si>
  <si>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</si>
  <si>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</si>
  <si>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</si>
  <si>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</si>
  <si>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</si>
  <si>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</si>
  <si>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</si>
  <si>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</si>
  <si>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</si>
  <si>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</si>
  <si>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</si>
  <si>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</si>
  <si>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</si>
  <si>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</si>
  <si>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</si>
  <si>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</si>
  <si>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</si>
  <si>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</si>
  <si>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</si>
  <si>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</si>
  <si>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</si>
  <si>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</si>
  <si>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</si>
  <si>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</si>
  <si>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</si>
  <si>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</si>
  <si>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</si>
  <si>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</si>
  <si>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</si>
  <si>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</si>
  <si>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</si>
  <si>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</si>
  <si>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</si>
  <si>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</si>
  <si>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</si>
  <si>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</si>
  <si>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</si>
  <si>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</si>
  <si>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</si>
  <si>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</si>
  <si>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</si>
  <si>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</si>
  <si>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</si>
  <si>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</si>
  <si>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</si>
  <si>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</si>
  <si>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</si>
  <si>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</si>
  <si>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</si>
  <si>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</si>
  <si>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</si>
  <si>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</si>
  <si>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</si>
  <si>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</si>
  <si>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</si>
  <si>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</si>
  <si>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</si>
  <si>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</si>
  <si>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</si>
  <si>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</si>
  <si>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</si>
  <si>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</si>
  <si>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</si>
  <si>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</si>
  <si>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</si>
  <si>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</si>
  <si>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</si>
  <si>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</si>
  <si>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</si>
  <si>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</si>
  <si>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</si>
  <si>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</si>
  <si>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</si>
  <si>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</si>
  <si>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</si>
  <si>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</si>
  <si>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</si>
  <si>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</si>
  <si>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</si>
  <si>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</si>
  <si>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</si>
  <si>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</si>
  <si>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</si>
  <si>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</si>
  <si>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</si>
  <si>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</si>
  <si>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</si>
  <si>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</si>
  <si>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</si>
  <si>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</si>
  <si>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</si>
  <si>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</si>
  <si>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</si>
  <si>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</si>
  <si>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</si>
  <si>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</si>
  <si>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</si>
  <si>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</si>
  <si>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</si>
  <si>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</si>
  <si>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</si>
  <si>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</si>
  <si>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</si>
  <si>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</si>
  <si>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</si>
  <si>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</si>
  <si>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</si>
  <si>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</si>
  <si>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</si>
  <si>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</si>
  <si>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</si>
  <si>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</si>
  <si>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</si>
  <si>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</si>
  <si>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</si>
  <si>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</si>
  <si>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</si>
  <si>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</si>
  <si>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</si>
  <si>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</si>
  <si>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</si>
  <si>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</si>
  <si>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</si>
  <si>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</si>
  <si>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</si>
  <si>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</si>
  <si>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</si>
  <si>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</si>
  <si>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</si>
  <si>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</si>
  <si>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</si>
  <si>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</si>
  <si>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</si>
  <si>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</si>
  <si>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</si>
  <si>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</si>
  <si>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</si>
  <si>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</si>
  <si>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</si>
  <si>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</si>
  <si>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</si>
  <si>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</si>
  <si>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</si>
  <si>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</si>
  <si>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</si>
  <si>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</si>
  <si>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</si>
  <si>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</si>
  <si>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</si>
  <si>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</si>
  <si>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</si>
  <si>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</si>
  <si>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</si>
  <si>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</si>
  <si>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</si>
  <si>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</si>
  <si>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</si>
  <si>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</si>
  <si>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</si>
  <si>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</si>
  <si>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</si>
  <si>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</si>
  <si>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</si>
  <si>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</si>
  <si>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</si>
  <si>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</si>
  <si>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</si>
  <si>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</si>
  <si>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</si>
  <si>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</si>
  <si>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</si>
  <si>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</si>
  <si>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</si>
  <si>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</si>
  <si>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</si>
  <si>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</si>
  <si>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</si>
  <si>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</si>
  <si>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</si>
  <si>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</si>
  <si>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</si>
  <si>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</si>
  <si>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</si>
  <si>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</si>
  <si>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</si>
  <si>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</si>
  <si>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</si>
  <si>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</si>
  <si>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</si>
  <si>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</si>
  <si>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</si>
  <si>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</si>
  <si>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</si>
  <si>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</si>
  <si>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</si>
  <si>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</si>
  <si>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</si>
  <si>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</si>
  <si>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</si>
  <si>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</si>
  <si>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</si>
  <si>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</si>
  <si>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</si>
  <si>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</si>
  <si>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</si>
  <si>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</si>
  <si>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</si>
  <si>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</si>
  <si>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</si>
  <si>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</si>
  <si>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</si>
  <si>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</si>
  <si>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</si>
  <si>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</si>
  <si>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</si>
  <si>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</si>
  <si>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</si>
  <si>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</si>
  <si>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</si>
  <si>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</si>
  <si>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</si>
  <si>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</si>
  <si>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</si>
  <si>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</si>
  <si>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</si>
  <si>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</si>
  <si>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</si>
  <si>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</si>
  <si>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</si>
  <si>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</si>
  <si>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</si>
  <si>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</si>
  <si>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</si>
  <si>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</si>
  <si>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</si>
  <si>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</si>
  <si>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</si>
  <si>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</si>
  <si>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</si>
  <si>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</si>
  <si>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</si>
  <si>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</si>
  <si>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</si>
  <si>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</si>
  <si>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</si>
  <si>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</si>
  <si>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</si>
  <si>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</si>
  <si>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</si>
  <si>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</si>
  <si>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</si>
  <si>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</si>
  <si>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</si>
  <si>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</si>
  <si>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</si>
  <si>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</si>
  <si>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</si>
  <si>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</si>
  <si>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</si>
  <si>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</si>
  <si>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</si>
  <si>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</si>
  <si>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</si>
  <si>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</si>
  <si>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</si>
  <si>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</si>
  <si>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</si>
  <si>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</si>
  <si>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</si>
  <si>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</si>
  <si>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</si>
  <si>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</si>
  <si>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</si>
  <si>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</si>
  <si>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</si>
  <si>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</si>
  <si>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</si>
  <si>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</si>
  <si>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</si>
  <si>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</si>
  <si>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</si>
  <si>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</si>
  <si>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</si>
  <si>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</si>
  <si>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</si>
  <si>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</si>
  <si>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</si>
  <si>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</si>
  <si>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</si>
  <si>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</si>
  <si>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</si>
  <si>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</si>
  <si>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</si>
  <si>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</si>
  <si>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</si>
  <si>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</si>
  <si>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</si>
  <si>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</si>
  <si>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</si>
  <si>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</si>
  <si>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</si>
  <si>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</si>
  <si>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</si>
  <si>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</si>
  <si>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</si>
  <si>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</si>
  <si>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</si>
  <si>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</si>
  <si>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</si>
  <si>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</si>
  <si>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</si>
  <si>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</si>
  <si>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</si>
  <si>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</si>
  <si>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</si>
  <si>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</si>
  <si>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</si>
  <si>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</si>
  <si>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</si>
  <si>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</si>
  <si>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</si>
  <si>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</si>
  <si>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</si>
  <si>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</si>
  <si>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</si>
  <si>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</si>
  <si>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</si>
  <si>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</si>
  <si>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</si>
  <si>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</si>
  <si>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</si>
  <si>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</si>
  <si>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</si>
  <si>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</si>
  <si>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</si>
  <si>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</si>
  <si>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</si>
  <si>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</si>
  <si>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</si>
  <si>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</si>
  <si>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</si>
  <si>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</si>
  <si>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</si>
  <si>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</si>
  <si>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</si>
  <si>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</si>
  <si>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</si>
  <si>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</si>
  <si>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</si>
  <si>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</si>
  <si>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</si>
  <si>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</si>
  <si>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</si>
  <si>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</si>
  <si>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</si>
  <si>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</si>
  <si>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</si>
  <si>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</si>
  <si>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</si>
  <si>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</si>
  <si>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</si>
  <si>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</si>
  <si>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</si>
  <si>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</si>
  <si>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</si>
  <si>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</si>
  <si>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</si>
  <si>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</si>
  <si>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</si>
  <si>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</si>
  <si>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</si>
  <si>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</si>
  <si>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</si>
  <si>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</si>
  <si>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</si>
  <si>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</si>
  <si>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</si>
  <si>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</si>
  <si>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</si>
  <si>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</si>
  <si>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</si>
  <si>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</si>
  <si>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</si>
  <si>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</si>
  <si>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</si>
  <si>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</si>
  <si>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</si>
  <si>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</si>
  <si>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</si>
  <si>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</si>
  <si>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</si>
  <si>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</si>
  <si>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</si>
  <si>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</si>
  <si>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</si>
  <si>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</si>
  <si>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</si>
  <si>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</si>
  <si>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</si>
  <si>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</si>
  <si>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</si>
  <si>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</si>
  <si>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</si>
  <si>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</si>
  <si>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</si>
  <si>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</si>
  <si>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</si>
  <si>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</si>
  <si>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</si>
  <si>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</si>
  <si>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</si>
  <si>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</si>
  <si>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</si>
  <si>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</si>
  <si>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</si>
  <si>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</si>
  <si>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</si>
  <si>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</si>
  <si>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</si>
  <si>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</si>
  <si>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</si>
  <si>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</si>
  <si>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</si>
  <si>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</si>
  <si>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</si>
  <si>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</si>
  <si>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</si>
  <si>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</si>
  <si>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</si>
  <si>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</si>
  <si>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</si>
  <si>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</si>
  <si>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</si>
  <si>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</si>
  <si>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</si>
  <si>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</si>
  <si>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</si>
  <si>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</si>
  <si>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</si>
  <si>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</si>
  <si>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</si>
  <si>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</si>
  <si>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</si>
  <si>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</si>
  <si>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</si>
  <si>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</si>
  <si>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</si>
  <si>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</si>
  <si>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</si>
  <si>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</si>
  <si>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</si>
  <si>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</si>
  <si>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</si>
  <si>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</si>
  <si>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</si>
  <si>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</si>
  <si>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</si>
  <si>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</si>
  <si>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</si>
  <si>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</si>
  <si>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</si>
  <si>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</si>
  <si>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</si>
  <si>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</si>
  <si>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</si>
  <si>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</si>
  <si>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</si>
  <si>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</si>
  <si>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</si>
  <si>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</si>
  <si>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</si>
  <si>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</si>
  <si>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</si>
  <si>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</si>
  <si>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</si>
  <si>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</si>
  <si>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</si>
  <si>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</si>
  <si>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</si>
  <si>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</si>
  <si>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</si>
  <si>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</si>
  <si>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</si>
  <si>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</si>
  <si>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</si>
  <si>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</si>
  <si>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</si>
  <si>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</si>
  <si>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</si>
  <si>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</si>
  <si>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</si>
  <si>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</si>
  <si>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</si>
  <si>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</si>
  <si>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</si>
  <si>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</si>
  <si>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</si>
  <si>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</si>
  <si>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</si>
  <si>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</si>
  <si>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</si>
  <si>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</si>
  <si>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</si>
  <si>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</si>
  <si>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</si>
  <si>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</si>
  <si>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</si>
  <si>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</si>
  <si>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</si>
  <si>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</si>
  <si>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</si>
  <si>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</si>
  <si>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</si>
  <si>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</si>
  <si>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</si>
  <si>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</si>
  <si>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</si>
  <si>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</si>
  <si>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</si>
  <si>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</si>
  <si>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</si>
  <si>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</si>
  <si>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</si>
  <si>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</si>
  <si>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</si>
  <si>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</si>
  <si>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</si>
  <si>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</si>
  <si>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</si>
  <si>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</si>
  <si>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</si>
  <si>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</si>
  <si>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</si>
  <si>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</si>
  <si>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</si>
  <si>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</si>
  <si>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</si>
  <si>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</si>
  <si>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</si>
  <si>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</si>
  <si>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</si>
  <si>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</si>
  <si>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</si>
  <si>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</si>
  <si>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</si>
  <si>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</si>
  <si>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</si>
  <si>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</si>
  <si>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</si>
  <si>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</si>
  <si>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</si>
  <si>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</si>
  <si>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</si>
  <si>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</si>
  <si>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</si>
  <si>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</si>
  <si>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</si>
  <si>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</si>
  <si>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</si>
  <si>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</si>
  <si>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</si>
  <si>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</si>
  <si>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</si>
  <si>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</si>
  <si>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</si>
  <si>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</si>
  <si>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</si>
  <si>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</si>
  <si>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</si>
  <si>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</si>
  <si>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</si>
  <si>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</si>
  <si>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</si>
  <si>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</si>
  <si>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</si>
  <si>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</si>
  <si>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</si>
  <si>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</si>
  <si>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</si>
  <si>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</si>
  <si>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</si>
  <si>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</si>
  <si>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</si>
  <si>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</si>
  <si>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</si>
  <si>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</si>
  <si>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</si>
  <si>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</si>
  <si>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</si>
  <si>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</si>
  <si>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</si>
  <si>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</si>
  <si>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</si>
  <si>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</si>
  <si>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</si>
  <si>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</si>
  <si>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</si>
  <si>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</si>
  <si>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</si>
  <si>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</si>
  <si>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</si>
  <si>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</si>
  <si>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</si>
  <si>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</si>
  <si>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</si>
  <si>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</si>
  <si>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</si>
  <si>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</si>
  <si>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</si>
  <si>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</si>
  <si>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</si>
  <si>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</si>
  <si>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</si>
  <si>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</si>
  <si>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</si>
  <si>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</si>
  <si>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</si>
  <si>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</si>
  <si>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</si>
  <si>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</si>
  <si>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</si>
  <si>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</si>
  <si>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</si>
  <si>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</si>
  <si>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</si>
  <si>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</si>
  <si>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</si>
  <si>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</si>
  <si>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</si>
  <si>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</si>
  <si>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</si>
  <si>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</si>
  <si>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</si>
  <si>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</si>
  <si>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</si>
  <si>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</si>
  <si>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</si>
  <si>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</si>
  <si>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</si>
  <si>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</si>
  <si>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</si>
  <si>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</si>
  <si>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</si>
  <si>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</si>
  <si>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</si>
  <si>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</si>
  <si>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</si>
  <si>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</si>
  <si>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</si>
  <si>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</si>
  <si>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</si>
  <si>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</si>
  <si>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</si>
  <si>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</si>
  <si>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</si>
  <si>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</si>
  <si>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</si>
  <si>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</si>
  <si>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</si>
  <si>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</si>
  <si>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</si>
  <si>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</si>
  <si>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</si>
  <si>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</si>
  <si>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</si>
  <si>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</si>
  <si>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</si>
  <si>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</si>
  <si>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</si>
  <si>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</si>
  <si>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</si>
  <si>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</si>
  <si>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</si>
  <si>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</si>
  <si>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</si>
  <si>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</si>
  <si>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</si>
  <si>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</si>
  <si>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</si>
  <si>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</si>
  <si>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</si>
  <si>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</si>
  <si>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</si>
  <si>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</si>
  <si>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</si>
  <si>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</si>
  <si>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</si>
  <si>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</si>
  <si>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</si>
  <si>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</si>
  <si>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</si>
  <si>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</si>
  <si>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</si>
  <si>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</si>
  <si>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</si>
  <si>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</si>
  <si>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</si>
  <si>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</si>
  <si>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</si>
  <si>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</si>
  <si>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</si>
  <si>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</si>
  <si>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</si>
  <si>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</si>
  <si>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</si>
  <si>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</si>
  <si>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</si>
  <si>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</si>
  <si>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</si>
  <si>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</si>
  <si>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</si>
  <si>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</si>
  <si>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</si>
  <si>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</si>
  <si>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</si>
  <si>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</si>
  <si>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</si>
  <si>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</si>
  <si>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</si>
  <si>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</si>
  <si>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</si>
  <si>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</si>
  <si>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</si>
  <si>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</si>
  <si>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</si>
  <si>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</si>
  <si>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</si>
  <si>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</si>
  <si>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</si>
  <si>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</si>
  <si>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</si>
  <si>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</si>
  <si>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</si>
  <si>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</si>
  <si>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</si>
  <si>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</si>
  <si>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</si>
  <si>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</si>
  <si>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</si>
  <si>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</si>
  <si>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</si>
  <si>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</si>
  <si>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</si>
  <si>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</si>
  <si>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</si>
  <si>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</si>
  <si>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</si>
  <si>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</si>
  <si>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</si>
  <si>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</si>
  <si>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</si>
  <si>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</si>
  <si>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</si>
  <si>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</si>
  <si>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</si>
  <si>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</si>
  <si>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</si>
  <si>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</si>
  <si>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</si>
  <si>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</si>
  <si>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</si>
  <si>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</si>
  <si>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</si>
  <si>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</si>
  <si>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</si>
  <si>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</si>
  <si>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</si>
  <si>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</si>
  <si>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</si>
  <si>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</si>
  <si>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</si>
  <si>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</si>
  <si>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</si>
  <si>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</si>
  <si>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</si>
  <si>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</si>
  <si>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</si>
  <si>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</si>
  <si>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</si>
  <si>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</si>
  <si>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</si>
  <si>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</si>
  <si>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</si>
  <si>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</si>
  <si>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</si>
  <si>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</si>
  <si>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</si>
  <si>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</si>
  <si>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</si>
  <si>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</si>
  <si>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</si>
  <si>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</si>
  <si>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</si>
  <si>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</si>
  <si>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</si>
  <si>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</si>
  <si>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</si>
  <si>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</si>
  <si>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</si>
  <si>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</si>
  <si>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</si>
  <si>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</si>
  <si>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</si>
  <si>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</si>
  <si>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</si>
  <si>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</si>
  <si>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</si>
  <si>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</si>
  <si>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</si>
  <si>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</si>
  <si>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</si>
  <si>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</si>
  <si>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</si>
  <si>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</si>
  <si>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</si>
  <si>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</si>
  <si>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</si>
  <si>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</si>
  <si>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</si>
  <si>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</si>
  <si>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</si>
  <si>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</si>
  <si>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</si>
  <si>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</si>
  <si>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</si>
  <si>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</si>
  <si>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</si>
  <si>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</si>
  <si>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</si>
  <si>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</si>
  <si>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</si>
  <si>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</si>
  <si>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</si>
  <si>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</si>
  <si>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</si>
  <si>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</si>
  <si>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</si>
  <si>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</si>
  <si>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</si>
  <si>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</si>
  <si>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</si>
  <si>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</si>
  <si>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</si>
  <si>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</si>
  <si>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</si>
  <si>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</si>
  <si>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</si>
  <si>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</si>
  <si>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</si>
  <si>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</si>
  <si>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</si>
  <si>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</si>
  <si>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</si>
  <si>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</si>
  <si>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</si>
  <si>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</si>
  <si>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</si>
  <si>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</si>
  <si>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</si>
  <si>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</si>
  <si>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</si>
  <si>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</si>
  <si>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</si>
  <si>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</si>
  <si>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</si>
  <si>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</si>
  <si>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</si>
  <si>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</si>
  <si>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</si>
  <si>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</si>
  <si>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</si>
  <si>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</si>
  <si>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</si>
  <si>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</si>
  <si>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</si>
  <si>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</si>
  <si>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</si>
  <si>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</si>
  <si>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</si>
  <si>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</si>
  <si>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</si>
  <si>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</si>
  <si>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</si>
  <si>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</si>
  <si>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</si>
  <si>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</si>
  <si>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</si>
  <si>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</si>
  <si>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</si>
  <si>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</si>
  <si>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</si>
  <si>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</si>
  <si>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</si>
  <si>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</si>
  <si>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</si>
  <si>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</si>
  <si>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</si>
  <si>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</si>
  <si>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</si>
  <si>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</si>
  <si>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</si>
  <si>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</si>
  <si>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</si>
  <si>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</si>
  <si>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</si>
  <si>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</si>
  <si>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</si>
  <si>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</si>
  <si>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</si>
  <si>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</si>
  <si>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</si>
  <si>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</si>
  <si>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</si>
  <si>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</si>
  <si>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</si>
  <si>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</si>
  <si>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</si>
  <si>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</si>
  <si>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</si>
  <si>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</si>
  <si>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</si>
  <si>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</si>
  <si>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</si>
  <si>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</si>
  <si>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</si>
  <si>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</si>
  <si>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</si>
  <si>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</si>
  <si>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</si>
  <si>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</si>
  <si>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</si>
  <si>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</si>
  <si>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</si>
  <si>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</si>
  <si>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</si>
  <si>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</si>
  <si>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</si>
  <si>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</si>
  <si>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</si>
  <si>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</si>
  <si>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</si>
  <si>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</si>
  <si>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</si>
  <si>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</si>
  <si>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</si>
  <si>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</si>
  <si>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</si>
  <si>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</si>
  <si>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</si>
  <si>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</si>
  <si>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</si>
  <si>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</si>
  <si>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</si>
  <si>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</si>
  <si>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</si>
  <si>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</si>
  <si>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</si>
  <si>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</si>
  <si>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</si>
  <si>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</si>
  <si>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</si>
  <si>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</si>
  <si>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</si>
  <si>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</si>
  <si>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</si>
  <si>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</si>
  <si>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</si>
  <si>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</si>
  <si>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</si>
  <si>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</si>
  <si>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</si>
  <si>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</si>
  <si>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</si>
  <si>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</si>
  <si>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</si>
  <si>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</si>
  <si>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</si>
  <si>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</si>
  <si>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</si>
  <si>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</si>
  <si>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</si>
  <si>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</si>
  <si>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</si>
  <si>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</si>
  <si>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</si>
  <si>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</si>
  <si>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</si>
  <si>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</si>
  <si>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</si>
  <si>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</si>
  <si>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</si>
  <si>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</si>
  <si>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</si>
  <si>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</si>
  <si>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</si>
  <si>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</si>
  <si>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</si>
  <si>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</si>
  <si>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</si>
  <si>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</si>
  <si>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</si>
  <si>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</si>
  <si>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</si>
  <si>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</si>
  <si>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</si>
  <si>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</si>
  <si>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</si>
  <si>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</si>
  <si>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</si>
  <si>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</si>
  <si>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</si>
  <si>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</si>
  <si>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</si>
  <si>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</si>
  <si>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</si>
  <si>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</si>
  <si>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</si>
  <si>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</si>
  <si>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</si>
  <si>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</si>
  <si>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</si>
  <si>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</si>
  <si>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</si>
  <si>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</si>
  <si>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</si>
  <si>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</si>
  <si>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</si>
  <si>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</si>
  <si>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</si>
  <si>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</si>
  <si>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</si>
  <si>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</si>
  <si>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</si>
  <si>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</si>
  <si>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</si>
  <si>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</si>
  <si>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</si>
  <si>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</si>
  <si>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</si>
  <si>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</si>
  <si>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</si>
  <si>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</si>
  <si>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</si>
  <si>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</si>
  <si>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</si>
  <si>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</si>
  <si>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</si>
  <si>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</si>
  <si>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</si>
  <si>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</si>
  <si>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</si>
  <si>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</si>
  <si>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</si>
  <si>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</si>
  <si>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</si>
  <si>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</si>
  <si>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</si>
  <si>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</si>
  <si>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</si>
  <si>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</si>
  <si>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</si>
  <si>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</si>
  <si>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</si>
  <si>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</si>
  <si>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</si>
  <si>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</si>
  <si>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</si>
  <si>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</si>
  <si>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</si>
  <si>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</si>
  <si>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</si>
  <si>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</si>
  <si>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</si>
  <si>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</si>
  <si>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</si>
  <si>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</si>
  <si>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</si>
  <si>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</si>
  <si>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</si>
  <si>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</si>
  <si>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</si>
  <si>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</si>
  <si>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</si>
  <si>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</si>
  <si>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</si>
  <si>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</si>
  <si>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</si>
  <si>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</si>
  <si>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</si>
  <si>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</si>
  <si>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</si>
  <si>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</si>
  <si>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</si>
  <si>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</si>
  <si>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</si>
  <si>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</si>
  <si>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</si>
  <si>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</si>
  <si>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</si>
  <si>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</si>
  <si>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</si>
  <si>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</si>
  <si>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</si>
  <si>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</si>
  <si>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</si>
  <si>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</si>
  <si>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</si>
  <si>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</si>
  <si>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</si>
  <si>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</si>
  <si>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</si>
  <si>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</si>
  <si>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</si>
  <si>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</si>
  <si>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</si>
  <si>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</si>
  <si>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</si>
  <si>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</si>
  <si>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</si>
  <si>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</si>
  <si>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</si>
  <si>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</si>
  <si>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</si>
  <si>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x</t>
  </si>
  <si>
    <t>47-098-0000-61</t>
  </si>
  <si>
    <t>Whiteside/Carroll</t>
  </si>
  <si>
    <t>Bi-County Special Education Cooperative</t>
  </si>
  <si>
    <t>2317 E Lincolnway, Ste. A</t>
  </si>
  <si>
    <t>Sterling</t>
  </si>
  <si>
    <t>lheston@bi-county.org</t>
  </si>
  <si>
    <t>Laurie A. Heston</t>
  </si>
  <si>
    <t>815-622-0858</t>
  </si>
  <si>
    <t>815-622-3182</t>
  </si>
  <si>
    <t>GORENZ AND ASSOCIATES, LTD.</t>
  </si>
  <si>
    <t>Jason Hohulin, CPA</t>
  </si>
  <si>
    <t>jhohulin@gorenzcpa.com</t>
  </si>
  <si>
    <t>NONE</t>
  </si>
  <si>
    <t>Rock Falls Elementary #13</t>
  </si>
  <si>
    <t>Less: Value of Commodities</t>
  </si>
  <si>
    <t>BI-COUNTY SPECIAL EDUCATION COOPERATIVE</t>
  </si>
  <si>
    <t xml:space="preserve">                            YEAR ENDED JUNE 30, 2019                            </t>
  </si>
  <si>
    <t>Restricted</t>
  </si>
  <si>
    <t>ISBE</t>
  </si>
  <si>
    <t xml:space="preserve">          Receipts/Revenues          </t>
  </si>
  <si>
    <t xml:space="preserve">  Expenditures/Disbursements  </t>
  </si>
  <si>
    <t>Major Program Determination</t>
  </si>
  <si>
    <t>Balance</t>
  </si>
  <si>
    <t>Project</t>
  </si>
  <si>
    <t>Prior to</t>
  </si>
  <si>
    <t>7/01/18 -</t>
  </si>
  <si>
    <t>7/01/18-6/30/19</t>
  </si>
  <si>
    <t>Final</t>
  </si>
  <si>
    <t>Federal Grantor/Pass-Through Grantor, Subrecipients,</t>
  </si>
  <si>
    <t>Number</t>
  </si>
  <si>
    <t>6/30/18</t>
  </si>
  <si>
    <t>6/30/19</t>
  </si>
  <si>
    <t xml:space="preserve">Pass through to </t>
  </si>
  <si>
    <t>Encumbrances</t>
  </si>
  <si>
    <t>Type A/B</t>
  </si>
  <si>
    <t>Risk</t>
  </si>
  <si>
    <t>Audited as a</t>
  </si>
  <si>
    <t>Program Title &amp; Major Program Designation</t>
  </si>
  <si>
    <t>Program</t>
  </si>
  <si>
    <t>Low / High</t>
  </si>
  <si>
    <t>Major Program</t>
  </si>
  <si>
    <t xml:space="preserve">U.S. Department of Agriculture - </t>
  </si>
  <si>
    <t xml:space="preserve">   Pass-through program from</t>
  </si>
  <si>
    <t xml:space="preserve">   Illinois State Board of Education</t>
  </si>
  <si>
    <t>National School Lunch Program (Acct #2200)</t>
  </si>
  <si>
    <t>18-4210-00</t>
  </si>
  <si>
    <t>(3)</t>
  </si>
  <si>
    <t>N/A</t>
  </si>
  <si>
    <t>B</t>
  </si>
  <si>
    <t>low</t>
  </si>
  <si>
    <t>no</t>
  </si>
  <si>
    <t>(2)</t>
  </si>
  <si>
    <t>Subrecipient - Rock Falls Elementary School District #13</t>
  </si>
  <si>
    <t>School Breakfast Program (Acct #2200)</t>
  </si>
  <si>
    <t>18-4220-00</t>
  </si>
  <si>
    <t>19-4220-00</t>
  </si>
  <si>
    <t>Department of Defense (3) Fruits &amp; Vegetables</t>
  </si>
  <si>
    <t>17-4299-00</t>
  </si>
  <si>
    <t>19-4299-00</t>
  </si>
  <si>
    <t>Food Donation (3)</t>
  </si>
  <si>
    <t>15-4299-00</t>
  </si>
  <si>
    <t>16-4299-00</t>
  </si>
  <si>
    <t>Total U.S. Department of Agriculture - Pass-through program</t>
  </si>
  <si>
    <t xml:space="preserve">US Department of Education - </t>
  </si>
  <si>
    <t>IDEA - Flow-Through</t>
  </si>
  <si>
    <t>84.027</t>
  </si>
  <si>
    <t>18-4620-00</t>
  </si>
  <si>
    <t>A-Cluster</t>
  </si>
  <si>
    <t>yes</t>
  </si>
  <si>
    <t xml:space="preserve">  Revenue - 2200</t>
  </si>
  <si>
    <t>(M)</t>
  </si>
  <si>
    <t>19-4620-00</t>
  </si>
  <si>
    <t>Subrecipient - River Bend CUSD #2</t>
  </si>
  <si>
    <t>Subrecipient - Sterling School District #5</t>
  </si>
  <si>
    <t>Fed-Special Education-Preschool Flow-Through</t>
  </si>
  <si>
    <t>84.173</t>
  </si>
  <si>
    <t>18-4600-00</t>
  </si>
  <si>
    <t>19-4600-00</t>
  </si>
  <si>
    <t>Total U.S. Department of Education - Pass-through programs</t>
  </si>
  <si>
    <t xml:space="preserve">   From Illinois State Board of Education</t>
  </si>
  <si>
    <t>U.S. Department of Education -</t>
  </si>
  <si>
    <t xml:space="preserve">   Illinois Department of Human Services</t>
  </si>
  <si>
    <t>S.T.E.P.    (Note #2)</t>
  </si>
  <si>
    <t>46CWF00114</t>
  </si>
  <si>
    <t>Total US Department of Education - Pass-through programs</t>
  </si>
  <si>
    <t>US Department of Health and Human Services:</t>
  </si>
  <si>
    <t xml:space="preserve">   Illinois Department of Healthcare and Family Services:</t>
  </si>
  <si>
    <t xml:space="preserve">   Northern Illinois Association</t>
  </si>
  <si>
    <t>Medicaid-Administrative Outreach</t>
  </si>
  <si>
    <t>18-4991-00</t>
  </si>
  <si>
    <t>19-4991-00</t>
  </si>
  <si>
    <t>Total U.S. Department of Health and Human Services - Pass-through programs</t>
  </si>
  <si>
    <t>Total Federal Awards</t>
  </si>
  <si>
    <t>Restricted Balance</t>
  </si>
  <si>
    <t>Total  Federal Awards Passed Through Illinois State Board of Education</t>
  </si>
  <si>
    <t>Coverage</t>
  </si>
  <si>
    <t>Total Federal Awards Passes Through Other Entities</t>
  </si>
  <si>
    <t>(M) Indicates Major Federal Financial Assistance Program.</t>
  </si>
  <si>
    <t>(1) Prepayment from ISBE</t>
  </si>
  <si>
    <t>Percent of</t>
  </si>
  <si>
    <t>(2)  Project Not Complete as of June 30, 2019</t>
  </si>
  <si>
    <t>(3) Revenue Flowed Through to Rock Falls Elementary School #13, Sterling CUSD # 5 and River Bend School District #2 Reported in Revenue Function 2200</t>
  </si>
  <si>
    <r>
      <t xml:space="preserve">1 </t>
    </r>
    <r>
      <rPr>
        <sz val="11"/>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</si>
  <si>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</si>
  <si>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11"/>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</si>
  <si>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</si>
  <si>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11"/>
        <rFont val="Arial"/>
        <family val="2"/>
      </rPr>
      <t xml:space="preserve">  When awards are received as a subrecipient, the identifying number assigned by the pass-through entity should be included in the schedule.</t>
    </r>
  </si>
  <si>
    <r>
      <t xml:space="preserve">4  </t>
    </r>
    <r>
      <rPr>
        <sz val="11"/>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</si>
  <si>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</si>
  <si>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</si>
  <si>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</si>
  <si>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School Lunch - Rock Falls Elementary #13</t>
  </si>
  <si>
    <t>School Breakfast - Rock Falls Elementary #13</t>
  </si>
  <si>
    <t>Unmodified</t>
  </si>
  <si>
    <t>84.027 &amp; 84.173</t>
  </si>
  <si>
    <t>IDEA Cluster</t>
  </si>
  <si>
    <t>2019-002</t>
  </si>
  <si>
    <t>2019-4620-00</t>
  </si>
  <si>
    <t>Illinois State Board of Education</t>
  </si>
  <si>
    <t>U.S. Dept. of Education</t>
  </si>
  <si>
    <t>None</t>
  </si>
  <si>
    <t>For ISBE Review</t>
  </si>
  <si>
    <t xml:space="preserve">Date:   </t>
  </si>
  <si>
    <t>Resolution Criteria Code Number</t>
  </si>
  <si>
    <t xml:space="preserve">Initials: </t>
  </si>
  <si>
    <t>Disposition of Questioned Costs Code Letter</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</si>
  <si>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</si>
  <si>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</si>
  <si>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</si>
  <si>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</si>
  <si>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</si>
  <si>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</si>
  <si>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</si>
  <si>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Plan:</t>
  </si>
  <si>
    <t xml:space="preserve">The Cooperative will continue to monitor their internal control system. Management oversight and other mitigating controls have lowered risks associated with inadequate segregation of duties. Assessment of internal controls will be performed annually. </t>
  </si>
  <si>
    <t>Anticipated Date of Completion:</t>
  </si>
  <si>
    <t>Name of Contact Person:</t>
  </si>
  <si>
    <t>Laurie Heston, Director</t>
  </si>
  <si>
    <t>Management Response:</t>
  </si>
  <si>
    <t xml:space="preserve">The Board of Control has determined that the current internal control system is </t>
  </si>
  <si>
    <t xml:space="preserve">acceptable, providing a tolerable amount of risk. </t>
  </si>
  <si>
    <r>
      <t>21</t>
    </r>
    <r>
      <rPr>
        <sz val="8"/>
        <rFont val="Arial"/>
        <family val="2"/>
      </rPr>
      <t xml:space="preserve">  Must address </t>
    </r>
    <r>
      <rPr>
        <b/>
        <sz val="8"/>
        <rFont val="Arial"/>
        <family val="2"/>
      </rPr>
      <t>each</t>
    </r>
    <r>
      <rPr>
        <sz val="8"/>
        <rFont val="Arial"/>
        <family val="2"/>
      </rPr>
      <t xml:space="preserve"> audit finding  - §200.511 ( c)</t>
    </r>
  </si>
  <si>
    <t>Page 10, Line 107 - Reimbursements and subpoena pay</t>
  </si>
  <si>
    <t>Page 15, Line 73 - Liability and Property Insurance</t>
  </si>
  <si>
    <t>Page 29, Line 80 - "PLEASE ENTER CONTRACTS PAID IN THE CURRENT YEAR"</t>
  </si>
  <si>
    <t>For the current fiscal year under audit, the joint agreement did not have any qualifying contract exceeding the $25,000 limit.</t>
  </si>
  <si>
    <t xml:space="preserve">S.T.E.P.    </t>
  </si>
  <si>
    <t>The accompanying Schedule of Expenditures of Federal Awards includes the federal grant activity of Bi-County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</si>
  <si>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Bi-County Special Education Cooperative provided federal awards to subrecipients as follows:</t>
  </si>
  <si>
    <t>The following amounts were expended in the form of non-cash assistance by Bi-County Special Education Cooperative and should be included in the Schedule of Expenditures of Federal Awards:</t>
  </si>
  <si>
    <t>Note 6:  Relationship to Basic Financial Reports and Programs Financial Reports</t>
  </si>
  <si>
    <t>IDEA - Flow Through - Sterling School District #5</t>
  </si>
  <si>
    <t>IDEA - Preschool - Sterling School District #5</t>
  </si>
  <si>
    <t>Federal awards received are reflected in the District's financial statement within the Educational Fund as receipts from Federal Sources. Amounts reported in the accompanying Schedule of Federal Awards agree with amounts reported in the Program Financial Reports for programs, which have filed final reports as of June 30, 2019.</t>
  </si>
  <si>
    <t xml:space="preserve">Most Cooperative accounting and financial records are maintained by a limited number of individuals. </t>
  </si>
  <si>
    <t xml:space="preserve">Inadequate segregation of duties increases the risk of misstatements in the financial statements. </t>
  </si>
  <si>
    <t xml:space="preserve">The Board of Control should perform an assessment of internal controls, at least annually. </t>
  </si>
  <si>
    <t xml:space="preserve">The Board of Control's most recent assessment has determined that the current internal control system is acceptable. The internal control system will continue to be monitored. </t>
  </si>
  <si>
    <t xml:space="preserve">Segregation of duties among accounting personnel is an integral part of an internal control structure. </t>
  </si>
  <si>
    <t>IDEA - Cluster 2019</t>
  </si>
  <si>
    <t xml:space="preserve">The Code of Federal Regulations (CFR) Title 2, part 180.220 states that non-Federal entities are prohibited from contracting with or making sub-awards under covered transactions to parties that are suspended or disbarred. </t>
  </si>
  <si>
    <t xml:space="preserve">The Co-op did not obtain debarment certification or check the System for Award Management website for vendors contracted in excess of $25,000 related to the grant program. Upon further review, it was determined that the vendors were not suspended or debarred. </t>
  </si>
  <si>
    <t xml:space="preserve">The Co-op did not verify that selected vendors were not suspended or debarred. </t>
  </si>
  <si>
    <t xml:space="preserve">Procedures need to be implemented to ensure that all vendors contracted with have not been suspended or debarred or otherwise excluded from doing business, prior to procuring their services. </t>
  </si>
  <si>
    <t xml:space="preserve">Procedures will be implemented to ensure all vendors contracted with have not been suspended or debarred or otherwise excluded from doing business, prior to procuring their services. </t>
  </si>
  <si>
    <t xml:space="preserve">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
  </si>
  <si>
    <t>Part C - 20 - See Finding 2019-001, and 2019-002.</t>
  </si>
  <si>
    <t xml:space="preserve">Procedures are not in place to verify if vendors contracted with in excess of $25,000 related to the IDEA Cluster program are not suspended, debarred, or otherwise excluded from doing business. </t>
  </si>
  <si>
    <t>19-4210-00</t>
  </si>
  <si>
    <t xml:space="preserve">Noncompliance with the federal award program's suspension and debarment compliance requirements could occur and not be detected and corrected timely. </t>
  </si>
  <si>
    <t>IDEA - Flow Through - River Bend School Distict #2</t>
  </si>
  <si>
    <t xml:space="preserve">A limited number of individuals have the primary responsibility for performing most of the accounting and financial duties including key functions of reconciling, and reporting cash transactions. This structures reduces certain aspects of the internal control system which rely on adequate segregation of duties. </t>
  </si>
  <si>
    <t xml:space="preserve">A limited number of individuals have the ability to complete and record accounting functions which ideally would be segregated. </t>
  </si>
  <si>
    <t>The Cooperative contracted with several different entities throughout the year who provided goods and services for the IDEA Program without checking whether or not the vendors were debarred.</t>
  </si>
  <si>
    <t>Adopt a policy to check for debarred vendors before entering into a contract.</t>
  </si>
  <si>
    <t>The Cooperative will take the auditor's recommendation under consideration.</t>
  </si>
  <si>
    <t>See PDF version</t>
  </si>
  <si>
    <t>Bi County Special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</si>
</sst>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0&quot;_);_(@_)"/>
    <numFmt numFmtId="182" formatCode="0.000_)"/>
    <numFmt numFmtId="183" formatCode="_(* #,##0_);_(* \(#,##0\);_(* &quot;-&quot;??_);_(@_)"/>
    <numFmt numFmtId="184" formatCode="_(* #,##0_);_(* \(#,##0\);_(* &quot; &quot;_);_(@_)"/>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1"/>
      <name val="Garamond"/>
      <family val="1"/>
    </font>
    <font>
      <sz val="11"/>
      <name val="Times New Roman"/>
      <family val="1"/>
    </font>
    <font>
      <sz val="11"/>
      <name val="Courier"/>
      <family val="3"/>
    </font>
    <font>
      <sz val="11"/>
      <name val="Garamond"/>
      <family val="1"/>
    </font>
    <font>
      <b/>
      <u/>
      <sz val="11"/>
      <name val="Garamond"/>
      <family val="1"/>
    </font>
    <font>
      <sz val="10"/>
      <name val="Courier"/>
    </font>
    <font>
      <b/>
      <sz val="11"/>
      <name val="Times New Roman"/>
      <family val="1"/>
    </font>
    <font>
      <u val="singleAccounting"/>
      <sz val="11"/>
      <name val="Garamond"/>
      <family val="1"/>
    </font>
    <font>
      <u val="singleAccounting"/>
      <sz val="11"/>
      <name val="Times New Roman"/>
      <family val="1"/>
    </font>
    <font>
      <b/>
      <u val="singleAccounting"/>
      <sz val="11"/>
      <name val="Times New Roman"/>
      <family val="1"/>
    </font>
    <font>
      <b/>
      <u val="singleAccounting"/>
      <sz val="11"/>
      <name val="Garamond"/>
      <family val="1"/>
    </font>
    <font>
      <u/>
      <sz val="11"/>
      <name val="Times New Roman"/>
      <family val="1"/>
    </font>
    <font>
      <u/>
      <sz val="11"/>
      <name val="Garamond"/>
      <family val="1"/>
    </font>
    <font>
      <b/>
      <u/>
      <sz val="11"/>
      <name val="Times New Roman"/>
      <family val="1"/>
    </font>
    <font>
      <sz val="11"/>
      <name val="Cambria"/>
      <family val="1"/>
    </font>
    <font>
      <sz val="11"/>
      <color theme="1"/>
      <name val="Times New Roman"/>
      <family val="1"/>
    </font>
    <font>
      <u val="doubleAccounting"/>
      <sz val="11"/>
      <name val="Garamond"/>
      <family val="1"/>
    </font>
    <font>
      <vertAlign val="superscript"/>
      <sz val="11"/>
      <name val="Arial"/>
      <family val="2"/>
    </font>
    <font>
      <sz val="11"/>
      <name val="Arial"/>
      <family val="2"/>
    </font>
    <font>
      <b/>
      <sz val="11"/>
      <name val="Arial"/>
      <family val="2"/>
    </font>
    <font>
      <b/>
      <vertAlign val="superscript"/>
      <sz val="9"/>
      <name val="Arial"/>
      <family val="2"/>
    </font>
    <font>
      <b/>
      <u/>
      <sz val="8"/>
      <name val="Arial"/>
      <family val="2"/>
    </font>
    <font>
      <b/>
      <i/>
      <sz val="10"/>
      <name val="Arial"/>
      <family val="2"/>
    </font>
    <font>
      <vertAlign val="superscript"/>
      <sz val="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indexed="2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thin">
        <color theme="0" tint="-0.499984740745262"/>
      </bottom>
      <diagonal/>
    </border>
  </borders>
  <cellStyleXfs count="2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7" fillId="0" borderId="0" applyProtection="0"/>
    <xf numFmtId="37" fontId="143" fillId="0" borderId="0"/>
    <xf numFmtId="43" fontId="44" fillId="0" borderId="0" applyFont="0" applyFill="0" applyBorder="0" applyAlignment="0" applyProtection="0"/>
    <xf numFmtId="37" fontId="137" fillId="0" borderId="0"/>
    <xf numFmtId="43" fontId="44" fillId="0" borderId="0" applyFont="0" applyFill="0" applyBorder="0" applyAlignment="0" applyProtection="0"/>
    <xf numFmtId="9" fontId="44" fillId="0" borderId="0" applyFont="0" applyFill="0" applyBorder="0" applyAlignment="0" applyProtection="0"/>
  </cellStyleXfs>
  <cellXfs count="273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37" fontId="139" fillId="0" borderId="0" xfId="20" applyFont="1" applyFill="1" applyBorder="1" applyAlignment="1">
      <alignment vertical="center"/>
    </xf>
    <xf numFmtId="37" fontId="139" fillId="0" borderId="0" xfId="19" applyFont="1" applyAlignment="1">
      <alignment vertical="center"/>
    </xf>
    <xf numFmtId="37" fontId="140" fillId="0" borderId="0" xfId="19" applyFont="1" applyAlignment="1">
      <alignment vertical="center"/>
    </xf>
    <xf numFmtId="37" fontId="138" fillId="0" borderId="0" xfId="19" applyFont="1" applyAlignment="1">
      <alignment horizontal="center"/>
    </xf>
    <xf numFmtId="37" fontId="141" fillId="0" borderId="0" xfId="19" applyFont="1"/>
    <xf numFmtId="37" fontId="139" fillId="0" borderId="0" xfId="19" applyFont="1" applyBorder="1" applyAlignment="1">
      <alignment vertical="center"/>
    </xf>
    <xf numFmtId="37" fontId="141" fillId="0" borderId="0" xfId="19" applyFont="1" applyBorder="1" applyAlignment="1">
      <alignment horizontal="centerContinuous"/>
    </xf>
    <xf numFmtId="37" fontId="141" fillId="0" borderId="0" xfId="19" applyFont="1" applyBorder="1" applyAlignment="1">
      <alignment horizontal="left"/>
    </xf>
    <xf numFmtId="37" fontId="141" fillId="0" borderId="0" xfId="19" applyFont="1" applyBorder="1"/>
    <xf numFmtId="37" fontId="141" fillId="0" borderId="0" xfId="19" applyFont="1" applyBorder="1" applyAlignment="1">
      <alignment horizontal="center"/>
    </xf>
    <xf numFmtId="37" fontId="140" fillId="0" borderId="0" xfId="20" applyFont="1" applyFill="1" applyAlignment="1">
      <alignment vertical="center"/>
    </xf>
    <xf numFmtId="37" fontId="139" fillId="0" borderId="0" xfId="21" applyFont="1" applyAlignment="1">
      <alignment vertical="center"/>
    </xf>
    <xf numFmtId="37" fontId="144" fillId="0" borderId="0" xfId="21" applyFont="1" applyAlignment="1">
      <alignment horizontal="center"/>
    </xf>
    <xf numFmtId="37" fontId="141" fillId="0" borderId="0" xfId="21" applyFont="1" applyBorder="1"/>
    <xf numFmtId="37" fontId="141" fillId="0" borderId="0" xfId="21" applyFont="1"/>
    <xf numFmtId="43" fontId="147" fillId="0" borderId="0" xfId="22" applyFont="1" applyAlignment="1">
      <alignment horizontal="center"/>
    </xf>
    <xf numFmtId="37" fontId="141" fillId="0" borderId="0" xfId="19" applyFont="1" applyAlignment="1">
      <alignment horizontal="center"/>
    </xf>
    <xf numFmtId="37" fontId="141" fillId="0" borderId="0" xfId="19" applyFont="1" applyAlignment="1">
      <alignment horizontal="left"/>
    </xf>
    <xf numFmtId="37" fontId="141" fillId="0" borderId="0" xfId="19" quotePrefix="1" applyFont="1" applyAlignment="1">
      <alignment horizontal="center"/>
    </xf>
    <xf numFmtId="14" fontId="142" fillId="0" borderId="0" xfId="21" applyNumberFormat="1" applyFont="1" applyAlignment="1">
      <alignment horizontal="center"/>
    </xf>
    <xf numFmtId="37" fontId="139" fillId="0" borderId="0" xfId="20" applyFont="1" applyFill="1" applyAlignment="1">
      <alignment horizontal="left" vertical="center"/>
    </xf>
    <xf numFmtId="37" fontId="141" fillId="0" borderId="0" xfId="21" applyFont="1" applyAlignment="1">
      <alignment horizontal="left"/>
    </xf>
    <xf numFmtId="14" fontId="141" fillId="0" borderId="0" xfId="19" quotePrefix="1" applyNumberFormat="1" applyFont="1" applyAlignment="1">
      <alignment horizontal="center"/>
    </xf>
    <xf numFmtId="14" fontId="141" fillId="0" borderId="0" xfId="19" applyNumberFormat="1" applyFont="1" applyAlignment="1">
      <alignment horizontal="center"/>
    </xf>
    <xf numFmtId="37" fontId="149" fillId="0" borderId="0" xfId="20" applyFont="1" applyFill="1" applyAlignment="1">
      <alignment horizontal="center" vertical="center"/>
    </xf>
    <xf numFmtId="37" fontId="144" fillId="0" borderId="0" xfId="20" applyFont="1" applyFill="1" applyAlignment="1">
      <alignment horizontal="center" vertical="center"/>
    </xf>
    <xf numFmtId="37" fontId="142" fillId="0" borderId="0" xfId="21" applyFont="1" applyAlignment="1">
      <alignment horizontal="center"/>
    </xf>
    <xf numFmtId="37" fontId="138" fillId="0" borderId="0" xfId="21" applyFont="1" applyAlignment="1">
      <alignment horizontal="center"/>
    </xf>
    <xf numFmtId="37" fontId="141" fillId="0" borderId="0" xfId="21" applyFont="1" applyAlignment="1">
      <alignment horizontal="center"/>
    </xf>
    <xf numFmtId="37" fontId="141" fillId="0" borderId="0" xfId="21" quotePrefix="1" applyFont="1" applyAlignment="1">
      <alignment horizontal="left"/>
    </xf>
    <xf numFmtId="37" fontId="139" fillId="0" borderId="0" xfId="20" applyFont="1" applyFill="1" applyAlignment="1">
      <alignment horizontal="center" vertical="center"/>
    </xf>
    <xf numFmtId="37" fontId="150" fillId="0" borderId="0" xfId="19" applyFont="1" applyAlignment="1">
      <alignment horizontal="left"/>
    </xf>
    <xf numFmtId="43" fontId="145" fillId="0" borderId="0" xfId="22" quotePrefix="1" applyFont="1" applyAlignment="1" applyProtection="1">
      <alignment horizontal="center"/>
    </xf>
    <xf numFmtId="43" fontId="141" fillId="0" borderId="0" xfId="22" quotePrefix="1" applyFont="1" applyAlignment="1" applyProtection="1">
      <alignment horizontal="center"/>
    </xf>
    <xf numFmtId="37" fontId="151" fillId="0" borderId="0" xfId="20" applyNumberFormat="1" applyFont="1" applyFill="1" applyAlignment="1" applyProtection="1">
      <alignment horizontal="center"/>
    </xf>
    <xf numFmtId="37" fontId="151" fillId="0" borderId="0" xfId="20" applyNumberFormat="1" applyFont="1" applyFill="1" applyBorder="1" applyAlignment="1" applyProtection="1">
      <alignment horizontal="center"/>
    </xf>
    <xf numFmtId="43" fontId="142" fillId="0" borderId="0" xfId="22" applyFont="1" applyAlignment="1">
      <alignment horizontal="center"/>
    </xf>
    <xf numFmtId="43" fontId="148" fillId="0" borderId="0" xfId="22" applyFont="1" applyAlignment="1">
      <alignment horizontal="center"/>
    </xf>
    <xf numFmtId="14" fontId="147" fillId="8" borderId="0" xfId="22" applyNumberFormat="1" applyFont="1" applyFill="1" applyAlignment="1">
      <alignment horizontal="center"/>
    </xf>
    <xf numFmtId="37" fontId="150" fillId="0" borderId="0" xfId="21" applyNumberFormat="1" applyFont="1" applyAlignment="1" applyProtection="1">
      <alignment horizontal="center"/>
    </xf>
    <xf numFmtId="37" fontId="149" fillId="0" borderId="0" xfId="20" applyNumberFormat="1" applyFont="1" applyFill="1" applyAlignment="1" applyProtection="1">
      <alignment horizontal="center" vertical="center"/>
    </xf>
    <xf numFmtId="37" fontId="150" fillId="0" borderId="0" xfId="19" applyFont="1" applyAlignment="1">
      <alignment horizontal="center"/>
    </xf>
    <xf numFmtId="37" fontId="150" fillId="0" borderId="0" xfId="19" applyNumberFormat="1" applyFont="1" applyAlignment="1" applyProtection="1">
      <alignment horizontal="center"/>
    </xf>
    <xf numFmtId="37" fontId="141" fillId="0" borderId="0" xfId="19" applyNumberFormat="1" applyFont="1" applyProtection="1"/>
    <xf numFmtId="37" fontId="141" fillId="0" borderId="0" xfId="19" applyNumberFormat="1" applyFont="1" applyAlignment="1" applyProtection="1">
      <alignment horizontal="center"/>
    </xf>
    <xf numFmtId="37" fontId="144" fillId="0" borderId="0" xfId="19" applyFont="1" applyAlignment="1">
      <alignment horizontal="left" vertical="center"/>
    </xf>
    <xf numFmtId="37" fontId="141" fillId="0" borderId="0" xfId="19" applyFont="1" applyAlignment="1">
      <alignment horizontal="center" vertical="center"/>
    </xf>
    <xf numFmtId="37" fontId="141" fillId="0" borderId="0" xfId="19" applyFont="1" applyAlignment="1">
      <alignment vertical="center"/>
    </xf>
    <xf numFmtId="37" fontId="141" fillId="0" borderId="0" xfId="19" applyNumberFormat="1" applyFont="1" applyAlignment="1" applyProtection="1">
      <alignment vertical="center"/>
    </xf>
    <xf numFmtId="37" fontId="141" fillId="0" borderId="0" xfId="19" applyNumberFormat="1" applyFont="1" applyAlignment="1" applyProtection="1">
      <alignment horizontal="center" vertical="center"/>
    </xf>
    <xf numFmtId="37" fontId="141" fillId="0" borderId="0" xfId="19" applyNumberFormat="1" applyFont="1" applyFill="1" applyAlignment="1" applyProtection="1">
      <alignment vertical="center"/>
    </xf>
    <xf numFmtId="37" fontId="139" fillId="0" borderId="0" xfId="21" applyFont="1" applyAlignment="1">
      <alignment horizontal="center" vertical="center"/>
    </xf>
    <xf numFmtId="37" fontId="141" fillId="0" borderId="0" xfId="21" applyNumberFormat="1" applyFont="1" applyProtection="1"/>
    <xf numFmtId="37" fontId="144" fillId="0" borderId="0" xfId="19" applyFont="1" applyAlignment="1">
      <alignment vertical="center"/>
    </xf>
    <xf numFmtId="37" fontId="139" fillId="0" borderId="0" xfId="20" applyFont="1" applyFill="1" applyAlignment="1">
      <alignment vertical="center"/>
    </xf>
    <xf numFmtId="181" fontId="141" fillId="0" borderId="0" xfId="22" applyNumberFormat="1" applyFont="1" applyAlignment="1" applyProtection="1">
      <alignment horizontal="right"/>
    </xf>
    <xf numFmtId="37" fontId="138" fillId="0" borderId="0" xfId="19" applyFont="1" applyAlignment="1">
      <alignment vertical="center"/>
    </xf>
    <xf numFmtId="182" fontId="139" fillId="0" borderId="0" xfId="23" applyNumberFormat="1" applyFont="1" applyAlignment="1" applyProtection="1">
      <alignment horizontal="center"/>
    </xf>
    <xf numFmtId="37" fontId="141" fillId="0" borderId="0" xfId="19" applyFont="1" applyFill="1" applyAlignment="1">
      <alignment horizontal="center" vertical="center"/>
    </xf>
    <xf numFmtId="37" fontId="141" fillId="27" borderId="0" xfId="19" applyNumberFormat="1" applyFont="1" applyFill="1" applyAlignment="1" applyProtection="1">
      <alignment horizontal="center" vertical="center"/>
    </xf>
    <xf numFmtId="181" fontId="141" fillId="0" borderId="0" xfId="24" quotePrefix="1" applyNumberFormat="1" applyFont="1" applyFill="1" applyAlignment="1">
      <alignment vertical="center"/>
    </xf>
    <xf numFmtId="37" fontId="141" fillId="27" borderId="0" xfId="19" applyNumberFormat="1" applyFont="1" applyFill="1" applyAlignment="1" applyProtection="1">
      <alignment vertical="center"/>
    </xf>
    <xf numFmtId="183" fontId="141" fillId="0" borderId="0" xfId="24" applyNumberFormat="1" applyFont="1" applyFill="1" applyAlignment="1">
      <alignment vertical="center"/>
    </xf>
    <xf numFmtId="184" fontId="141" fillId="0" borderId="0" xfId="19" applyNumberFormat="1" applyFont="1" applyFill="1" applyAlignment="1" applyProtection="1">
      <alignment horizontal="right" vertical="center"/>
    </xf>
    <xf numFmtId="184" fontId="139" fillId="0" borderId="0" xfId="20" applyNumberFormat="1" applyFont="1" applyFill="1" applyAlignment="1" applyProtection="1">
      <alignment horizontal="center" vertical="center"/>
    </xf>
    <xf numFmtId="37" fontId="152" fillId="0" borderId="0" xfId="19" applyFont="1" applyAlignment="1">
      <alignment horizontal="right" vertical="center"/>
    </xf>
    <xf numFmtId="181" fontId="141" fillId="0" borderId="0" xfId="24" applyNumberFormat="1" applyFont="1" applyFill="1" applyAlignment="1">
      <alignment vertical="center"/>
    </xf>
    <xf numFmtId="184" fontId="141" fillId="0" borderId="0" xfId="19" applyNumberFormat="1" applyFont="1" applyFill="1" applyAlignment="1">
      <alignment vertical="center"/>
    </xf>
    <xf numFmtId="37" fontId="141" fillId="0" borderId="0" xfId="19" applyFont="1" applyAlignment="1">
      <alignment horizontal="left" vertical="center" indent="1"/>
    </xf>
    <xf numFmtId="37" fontId="141" fillId="0" borderId="0" xfId="19" applyFont="1" applyAlignment="1">
      <alignment horizontal="left" vertical="center"/>
    </xf>
    <xf numFmtId="182" fontId="141" fillId="0" borderId="0" xfId="19" applyNumberFormat="1" applyFont="1" applyAlignment="1" applyProtection="1">
      <alignment horizontal="center" vertical="center"/>
    </xf>
    <xf numFmtId="181" fontId="145" fillId="0" borderId="0" xfId="24" applyNumberFormat="1" applyFont="1" applyFill="1" applyAlignment="1">
      <alignment vertical="center"/>
    </xf>
    <xf numFmtId="184" fontId="153" fillId="27" borderId="0" xfId="23" applyNumberFormat="1" applyFont="1" applyFill="1"/>
    <xf numFmtId="184" fontId="139" fillId="5" borderId="0" xfId="20" applyNumberFormat="1" applyFont="1" applyFill="1" applyAlignment="1">
      <alignment horizontal="center" vertical="center"/>
    </xf>
    <xf numFmtId="184" fontId="139" fillId="0" borderId="0" xfId="20" applyNumberFormat="1" applyFont="1" applyFill="1" applyAlignment="1">
      <alignment horizontal="center" vertical="center"/>
    </xf>
    <xf numFmtId="37" fontId="141" fillId="0" borderId="0" xfId="19" applyFont="1" applyFill="1" applyAlignment="1">
      <alignment horizontal="left" vertical="center"/>
    </xf>
    <xf numFmtId="182" fontId="141" fillId="0" borderId="0" xfId="19" applyNumberFormat="1" applyFont="1" applyFill="1" applyAlignment="1" applyProtection="1">
      <alignment horizontal="center" vertical="center"/>
    </xf>
    <xf numFmtId="184" fontId="153" fillId="0" borderId="0" xfId="23" applyNumberFormat="1" applyFont="1" applyFill="1"/>
    <xf numFmtId="184" fontId="139" fillId="0" borderId="0" xfId="23" applyNumberFormat="1" applyFont="1" applyFill="1" applyAlignment="1" applyProtection="1">
      <alignment horizontal="right"/>
    </xf>
    <xf numFmtId="184" fontId="139" fillId="0" borderId="0" xfId="23" applyNumberFormat="1" applyFont="1" applyFill="1" applyAlignment="1">
      <alignment vertical="center"/>
    </xf>
    <xf numFmtId="184" fontId="149" fillId="0" borderId="0" xfId="23" applyNumberFormat="1" applyFont="1" applyFill="1" applyAlignment="1">
      <alignment vertical="center"/>
    </xf>
    <xf numFmtId="37" fontId="139" fillId="0" borderId="0" xfId="23" applyFont="1" applyAlignment="1">
      <alignment horizontal="center"/>
    </xf>
    <xf numFmtId="184" fontId="139" fillId="27" borderId="0" xfId="23" applyNumberFormat="1" applyFont="1" applyFill="1"/>
    <xf numFmtId="184" fontId="139" fillId="27" borderId="0" xfId="23" applyNumberFormat="1" applyFont="1" applyFill="1" applyAlignment="1">
      <alignment horizontal="center"/>
    </xf>
    <xf numFmtId="184" fontId="139" fillId="0" borderId="0" xfId="23" applyNumberFormat="1" applyFont="1" applyFill="1"/>
    <xf numFmtId="184" fontId="139" fillId="5" borderId="0" xfId="20" applyNumberFormat="1" applyFont="1" applyFill="1" applyAlignment="1" applyProtection="1">
      <alignment horizontal="center" vertical="center"/>
    </xf>
    <xf numFmtId="184" fontId="149" fillId="27" borderId="0" xfId="23" applyNumberFormat="1" applyFont="1" applyFill="1" applyAlignment="1">
      <alignment vertical="center"/>
    </xf>
    <xf numFmtId="184" fontId="139" fillId="27" borderId="0" xfId="23" applyNumberFormat="1" applyFont="1" applyFill="1" applyAlignment="1">
      <alignment vertical="center"/>
    </xf>
    <xf numFmtId="184" fontId="146" fillId="27" borderId="0" xfId="23" applyNumberFormat="1" applyFont="1" applyFill="1" applyAlignment="1">
      <alignment vertical="center"/>
    </xf>
    <xf numFmtId="184" fontId="146" fillId="0" borderId="0" xfId="23" applyNumberFormat="1" applyFont="1" applyFill="1" applyAlignment="1">
      <alignment vertical="center"/>
    </xf>
    <xf numFmtId="184" fontId="139" fillId="0" borderId="0" xfId="23" applyNumberFormat="1" applyFont="1" applyFill="1" applyBorder="1" applyAlignment="1">
      <alignment vertical="center"/>
    </xf>
    <xf numFmtId="183" fontId="145" fillId="0" borderId="0" xfId="24" applyNumberFormat="1" applyFont="1" applyFill="1" applyAlignment="1">
      <alignment vertical="center"/>
    </xf>
    <xf numFmtId="37" fontId="139" fillId="0" borderId="0" xfId="23" applyFont="1" applyAlignment="1">
      <alignment horizontal="left"/>
    </xf>
    <xf numFmtId="37" fontId="139" fillId="0" borderId="0" xfId="23" applyFont="1"/>
    <xf numFmtId="181" fontId="145" fillId="27" borderId="0" xfId="24" applyNumberFormat="1" applyFont="1" applyFill="1" applyAlignment="1">
      <alignment vertical="center"/>
    </xf>
    <xf numFmtId="184" fontId="141" fillId="27" borderId="0" xfId="19" applyNumberFormat="1" applyFont="1" applyFill="1" applyAlignment="1">
      <alignment vertical="center"/>
    </xf>
    <xf numFmtId="184" fontId="141" fillId="27" borderId="0" xfId="19" applyNumberFormat="1" applyFont="1" applyFill="1" applyAlignment="1">
      <alignment horizontal="center" vertical="center"/>
    </xf>
    <xf numFmtId="184" fontId="145" fillId="0" borderId="0" xfId="24" applyNumberFormat="1" applyFont="1" applyFill="1" applyAlignment="1">
      <alignment vertical="center"/>
    </xf>
    <xf numFmtId="37" fontId="139" fillId="0" borderId="0" xfId="19" applyFont="1" applyAlignment="1">
      <alignment horizontal="left" vertical="center"/>
    </xf>
    <xf numFmtId="182" fontId="139" fillId="0" borderId="0" xfId="19" applyNumberFormat="1" applyFont="1" applyAlignment="1" applyProtection="1">
      <alignment horizontal="center" vertical="center"/>
    </xf>
    <xf numFmtId="37" fontId="152" fillId="0" borderId="0" xfId="19" applyFont="1" applyAlignment="1">
      <alignment vertical="center"/>
    </xf>
    <xf numFmtId="37" fontId="152" fillId="0" borderId="0" xfId="19" applyFont="1" applyAlignment="1">
      <alignment horizontal="center" vertical="center"/>
    </xf>
    <xf numFmtId="184" fontId="152" fillId="27" borderId="0" xfId="19" applyNumberFormat="1" applyFont="1" applyFill="1" applyAlignment="1">
      <alignment vertical="center"/>
    </xf>
    <xf numFmtId="184" fontId="152" fillId="0" borderId="0" xfId="19" applyNumberFormat="1" applyFont="1" applyFill="1" applyAlignment="1">
      <alignment vertical="center"/>
    </xf>
    <xf numFmtId="184" fontId="152" fillId="0" borderId="0" xfId="19" applyNumberFormat="1" applyFont="1" applyFill="1" applyAlignment="1" applyProtection="1">
      <alignment horizontal="right" vertical="center"/>
    </xf>
    <xf numFmtId="182" fontId="152" fillId="0" borderId="0" xfId="19" applyNumberFormat="1" applyFont="1" applyAlignment="1" applyProtection="1">
      <alignment horizontal="center" vertical="center"/>
    </xf>
    <xf numFmtId="184" fontId="152" fillId="27" borderId="0" xfId="19" applyNumberFormat="1" applyFont="1" applyFill="1" applyAlignment="1">
      <alignment horizontal="center" vertical="center"/>
    </xf>
    <xf numFmtId="184" fontId="145" fillId="27" borderId="0" xfId="24" applyNumberFormat="1" applyFont="1" applyFill="1" applyAlignment="1">
      <alignment vertical="center"/>
    </xf>
    <xf numFmtId="37" fontId="141" fillId="0" borderId="0" xfId="19" applyFont="1" applyAlignment="1">
      <alignment horizontal="right" vertical="center"/>
    </xf>
    <xf numFmtId="49" fontId="141" fillId="0" borderId="0" xfId="19" applyNumberFormat="1" applyFont="1" applyAlignment="1" applyProtection="1">
      <alignment horizontal="center" vertical="center"/>
    </xf>
    <xf numFmtId="37" fontId="141" fillId="27" borderId="0" xfId="19" applyFont="1" applyFill="1" applyAlignment="1">
      <alignment horizontal="center" vertical="center"/>
    </xf>
    <xf numFmtId="181" fontId="141" fillId="27" borderId="0" xfId="24" applyNumberFormat="1" applyFont="1" applyFill="1" applyAlignment="1">
      <alignment horizontal="center" vertical="center"/>
    </xf>
    <xf numFmtId="181" fontId="141" fillId="27" borderId="0" xfId="24" applyNumberFormat="1" applyFont="1" applyFill="1" applyAlignment="1">
      <alignment vertical="center"/>
    </xf>
    <xf numFmtId="181" fontId="141" fillId="0" borderId="0" xfId="24" applyNumberFormat="1" applyFont="1" applyFill="1" applyAlignment="1" applyProtection="1">
      <alignment horizontal="right" vertical="center"/>
    </xf>
    <xf numFmtId="37" fontId="140" fillId="0" borderId="0" xfId="21" applyFont="1" applyAlignment="1">
      <alignment vertical="center"/>
    </xf>
    <xf numFmtId="49" fontId="141" fillId="0" borderId="0" xfId="19" applyNumberFormat="1" applyFont="1" applyFill="1" applyAlignment="1" applyProtection="1">
      <alignment horizontal="center" vertical="center"/>
    </xf>
    <xf numFmtId="184" fontId="141" fillId="0" borderId="0" xfId="24" applyNumberFormat="1" applyFont="1" applyFill="1" applyAlignment="1">
      <alignment vertical="center"/>
    </xf>
    <xf numFmtId="181" fontId="141" fillId="0" borderId="0" xfId="24" applyNumberFormat="1" applyFont="1" applyFill="1" applyAlignment="1">
      <alignment horizontal="center" vertical="center"/>
    </xf>
    <xf numFmtId="181" fontId="145" fillId="0" borderId="0" xfId="24" applyNumberFormat="1" applyFont="1" applyFill="1" applyAlignment="1">
      <alignment horizontal="center" vertical="center"/>
    </xf>
    <xf numFmtId="37" fontId="141" fillId="0" borderId="0" xfId="19" applyFont="1" applyFill="1" applyAlignment="1">
      <alignment vertical="center"/>
    </xf>
    <xf numFmtId="41" fontId="150" fillId="0" borderId="0" xfId="24" applyNumberFormat="1" applyFont="1" applyFill="1" applyAlignment="1" applyProtection="1">
      <alignment vertical="center"/>
    </xf>
    <xf numFmtId="37" fontId="141" fillId="0" borderId="0" xfId="19" applyNumberFormat="1" applyFont="1" applyFill="1" applyAlignment="1" applyProtection="1">
      <alignment horizontal="center" vertical="center"/>
    </xf>
    <xf numFmtId="41" fontId="150" fillId="0" borderId="0" xfId="19" applyNumberFormat="1" applyFont="1" applyFill="1" applyAlignment="1">
      <alignment vertical="center"/>
    </xf>
    <xf numFmtId="41" fontId="150" fillId="27" borderId="0" xfId="19" applyNumberFormat="1" applyFont="1" applyFill="1" applyAlignment="1">
      <alignment vertical="center"/>
    </xf>
    <xf numFmtId="37" fontId="138" fillId="0" borderId="0" xfId="19" applyFont="1" applyAlignment="1">
      <alignment horizontal="left" vertical="center"/>
    </xf>
    <xf numFmtId="37" fontId="141" fillId="27" borderId="0" xfId="19" applyFont="1" applyFill="1" applyAlignment="1">
      <alignment vertical="center"/>
    </xf>
    <xf numFmtId="181" fontId="141" fillId="0" borderId="0" xfId="24" applyNumberFormat="1" applyFont="1" applyAlignment="1">
      <alignment horizontal="left" vertical="center"/>
    </xf>
    <xf numFmtId="181" fontId="141" fillId="0" borderId="0" xfId="24" applyNumberFormat="1" applyFont="1" applyAlignment="1">
      <alignment vertical="center"/>
    </xf>
    <xf numFmtId="181" fontId="141" fillId="0" borderId="0" xfId="22" applyNumberFormat="1" applyFont="1"/>
    <xf numFmtId="37" fontId="141" fillId="0" borderId="0" xfId="19" quotePrefix="1" applyFont="1" applyAlignment="1">
      <alignment horizontal="left" vertical="center"/>
    </xf>
    <xf numFmtId="181" fontId="141" fillId="0" borderId="0" xfId="24" applyNumberFormat="1" applyFont="1" applyFill="1" applyAlignment="1">
      <alignment horizontal="left" vertical="center"/>
    </xf>
    <xf numFmtId="41" fontId="141" fillId="0" borderId="0" xfId="24" applyNumberFormat="1" applyFont="1" applyFill="1" applyAlignment="1">
      <alignment horizontal="fill" vertical="center"/>
    </xf>
    <xf numFmtId="37" fontId="141" fillId="20" borderId="0" xfId="19" applyFont="1" applyFill="1" applyAlignment="1">
      <alignment horizontal="center" vertical="center"/>
    </xf>
    <xf numFmtId="37" fontId="141" fillId="20" borderId="0" xfId="19" applyFont="1" applyFill="1" applyAlignment="1">
      <alignment vertical="center"/>
    </xf>
    <xf numFmtId="181" fontId="145" fillId="0" borderId="0" xfId="24" applyNumberFormat="1" applyFont="1" applyFill="1" applyBorder="1" applyAlignment="1">
      <alignment vertical="center"/>
    </xf>
    <xf numFmtId="181" fontId="145" fillId="0" borderId="0" xfId="24" applyNumberFormat="1" applyFont="1" applyFill="1" applyAlignment="1">
      <alignment horizontal="fill" vertical="center"/>
    </xf>
    <xf numFmtId="37" fontId="141" fillId="0" borderId="0" xfId="19" quotePrefix="1" applyFont="1" applyAlignment="1">
      <alignment horizontal="center" vertical="center"/>
    </xf>
    <xf numFmtId="181" fontId="145" fillId="0" borderId="0" xfId="24" applyNumberFormat="1" applyFont="1" applyFill="1" applyAlignment="1" applyProtection="1">
      <alignment vertical="center"/>
    </xf>
    <xf numFmtId="181" fontId="141" fillId="0" borderId="0" xfId="24" applyNumberFormat="1" applyFont="1" applyAlignment="1" applyProtection="1">
      <alignment horizontal="right" vertical="center"/>
    </xf>
    <xf numFmtId="181" fontId="141" fillId="0" borderId="0" xfId="24" applyNumberFormat="1" applyFont="1" applyFill="1" applyBorder="1" applyAlignment="1">
      <alignment vertical="center"/>
    </xf>
    <xf numFmtId="37" fontId="144" fillId="0" borderId="0" xfId="19" quotePrefix="1" applyFont="1" applyAlignment="1">
      <alignment horizontal="left" vertical="center"/>
    </xf>
    <xf numFmtId="37" fontId="138" fillId="0" borderId="0" xfId="19" quotePrefix="1" applyFont="1" applyAlignment="1">
      <alignment horizontal="left" vertical="center"/>
    </xf>
    <xf numFmtId="182" fontId="141" fillId="0" borderId="0" xfId="19" applyNumberFormat="1" applyFont="1" applyAlignment="1" applyProtection="1">
      <alignment vertical="center"/>
    </xf>
    <xf numFmtId="184" fontId="145" fillId="0" borderId="0" xfId="24" applyNumberFormat="1" applyFont="1" applyAlignment="1">
      <alignment vertical="center"/>
    </xf>
    <xf numFmtId="181" fontId="141" fillId="0" borderId="0" xfId="24" applyNumberFormat="1" applyFont="1" applyBorder="1" applyAlignment="1">
      <alignment vertical="center"/>
    </xf>
    <xf numFmtId="183" fontId="145" fillId="0" borderId="0" xfId="24" applyNumberFormat="1" applyFont="1" applyAlignment="1">
      <alignment vertical="center"/>
    </xf>
    <xf numFmtId="181" fontId="145" fillId="0" borderId="0" xfId="24" applyNumberFormat="1" applyFont="1" applyBorder="1" applyAlignment="1">
      <alignment vertical="center"/>
    </xf>
    <xf numFmtId="183" fontId="154" fillId="0" borderId="0" xfId="24" applyNumberFormat="1" applyFont="1" applyAlignment="1">
      <alignment vertical="center"/>
    </xf>
    <xf numFmtId="37" fontId="139" fillId="0" borderId="76" xfId="21" applyFont="1" applyBorder="1" applyAlignment="1">
      <alignment vertical="center"/>
    </xf>
    <xf numFmtId="49" fontId="138" fillId="0" borderId="0" xfId="19" applyNumberFormat="1" applyFont="1" applyAlignment="1" applyProtection="1">
      <alignment horizontal="center" vertical="center"/>
    </xf>
    <xf numFmtId="37" fontId="138" fillId="0" borderId="0" xfId="19" applyFont="1" applyAlignment="1">
      <alignment horizontal="center" vertical="center"/>
    </xf>
    <xf numFmtId="183" fontId="141" fillId="0" borderId="0" xfId="24" applyNumberFormat="1" applyFont="1" applyAlignment="1">
      <alignment vertical="center"/>
    </xf>
    <xf numFmtId="181" fontId="138" fillId="0" borderId="0" xfId="24" applyNumberFormat="1" applyFont="1" applyAlignment="1">
      <alignment vertical="center"/>
    </xf>
    <xf numFmtId="181" fontId="138" fillId="0" borderId="0" xfId="24" applyNumberFormat="1" applyFont="1" applyAlignment="1" applyProtection="1">
      <alignment horizontal="right" vertical="center"/>
    </xf>
    <xf numFmtId="37" fontId="140" fillId="0" borderId="0" xfId="21" applyFont="1" applyAlignment="1">
      <alignment horizontal="center" vertical="center"/>
    </xf>
    <xf numFmtId="181" fontId="138" fillId="0" borderId="0" xfId="22" applyNumberFormat="1" applyFont="1" applyAlignment="1" applyProtection="1">
      <alignment horizontal="right"/>
    </xf>
    <xf numFmtId="37" fontId="138" fillId="0" borderId="0" xfId="21" applyFont="1"/>
    <xf numFmtId="181" fontId="141" fillId="0" borderId="0" xfId="19" applyNumberFormat="1" applyFont="1" applyAlignment="1">
      <alignment vertical="center"/>
    </xf>
    <xf numFmtId="181" fontId="141" fillId="0" borderId="0" xfId="19" applyNumberFormat="1" applyFont="1" applyAlignment="1">
      <alignment horizontal="center" vertical="center"/>
    </xf>
    <xf numFmtId="10" fontId="140" fillId="0" borderId="0" xfId="25" applyNumberFormat="1" applyFont="1" applyAlignment="1">
      <alignment vertical="center"/>
    </xf>
    <xf numFmtId="181" fontId="141" fillId="0" borderId="0" xfId="21" applyNumberFormat="1" applyFont="1"/>
    <xf numFmtId="37" fontId="150" fillId="0" borderId="0" xfId="21" applyFont="1"/>
    <xf numFmtId="184" fontId="140" fillId="5" borderId="0" xfId="20" applyNumberFormat="1" applyFont="1" applyFill="1" applyAlignment="1">
      <alignment horizontal="center" vertical="center"/>
    </xf>
    <xf numFmtId="9" fontId="139" fillId="0" borderId="0" xfId="25" applyFont="1" applyAlignment="1">
      <alignment vertical="center"/>
    </xf>
    <xf numFmtId="10" fontId="139" fillId="0" borderId="165" xfId="25" applyNumberFormat="1" applyFont="1" applyBorder="1" applyAlignment="1">
      <alignment vertical="center"/>
    </xf>
    <xf numFmtId="184" fontId="141" fillId="0" borderId="0" xfId="21" applyNumberFormat="1" applyFont="1"/>
    <xf numFmtId="37" fontId="139" fillId="0" borderId="0" xfId="19" applyFont="1" applyAlignment="1">
      <alignment horizontal="center" vertical="center"/>
    </xf>
    <xf numFmtId="181" fontId="141" fillId="0" borderId="0" xfId="21" applyNumberFormat="1" applyFont="1" applyAlignment="1">
      <alignment horizontal="left"/>
    </xf>
    <xf numFmtId="37" fontId="140" fillId="0" borderId="0" xfId="19" applyFont="1" applyAlignment="1">
      <alignment horizontal="center" vertical="center"/>
    </xf>
    <xf numFmtId="37" fontId="155" fillId="0" borderId="0" xfId="19" applyFont="1" applyAlignment="1" applyProtection="1">
      <alignment horizontal="left" wrapText="1"/>
    </xf>
    <xf numFmtId="37" fontId="140" fillId="0" borderId="0" xfId="19" applyFont="1" applyAlignment="1" applyProtection="1">
      <alignment horizontal="left"/>
    </xf>
    <xf numFmtId="184" fontId="140" fillId="5" borderId="0" xfId="21" applyNumberFormat="1" applyFont="1" applyFill="1" applyAlignment="1">
      <alignment horizontal="center" vertical="center"/>
    </xf>
    <xf numFmtId="37" fontId="156" fillId="0" borderId="0" xfId="19" applyFont="1" applyAlignment="1" applyProtection="1">
      <alignment horizontal="left" wrapText="1"/>
    </xf>
    <xf numFmtId="37" fontId="156" fillId="0" borderId="0" xfId="19" applyFont="1" applyAlignment="1" applyProtection="1"/>
    <xf numFmtId="37" fontId="155" fillId="0" borderId="0" xfId="19" applyFont="1" applyAlignment="1" applyProtection="1">
      <alignment horizontal="left"/>
    </xf>
    <xf numFmtId="169" fontId="156" fillId="0" borderId="0" xfId="19" applyNumberFormat="1" applyFont="1" applyAlignment="1" applyProtection="1">
      <alignment horizontal="left"/>
    </xf>
    <xf numFmtId="1" fontId="156" fillId="0" borderId="0" xfId="19" applyNumberFormat="1" applyFont="1" applyAlignment="1" applyProtection="1">
      <alignment horizontal="left"/>
    </xf>
    <xf numFmtId="37" fontId="156" fillId="0" borderId="0" xfId="19" applyFont="1" applyAlignment="1" applyProtection="1">
      <alignment horizontal="left"/>
    </xf>
    <xf numFmtId="169" fontId="140" fillId="0" borderId="0" xfId="19" applyNumberFormat="1" applyFont="1" applyAlignment="1" applyProtection="1">
      <alignment horizontal="left"/>
    </xf>
    <xf numFmtId="1" fontId="140" fillId="0" borderId="0" xfId="19" applyNumberFormat="1" applyFont="1" applyAlignment="1" applyProtection="1">
      <alignment horizontal="left"/>
    </xf>
    <xf numFmtId="37" fontId="140" fillId="0" borderId="0" xfId="19" applyFont="1" applyProtection="1">
      <protection locked="0"/>
    </xf>
    <xf numFmtId="169" fontId="140" fillId="0" borderId="0" xfId="19" applyNumberFormat="1" applyFont="1" applyProtection="1">
      <protection locked="0"/>
    </xf>
    <xf numFmtId="1" fontId="140" fillId="0" borderId="0" xfId="19" applyNumberFormat="1" applyFont="1" applyProtection="1">
      <protection locked="0"/>
    </xf>
    <xf numFmtId="37" fontId="140" fillId="0" borderId="0" xfId="19" applyFont="1" applyAlignment="1" applyProtection="1">
      <alignment horizontal="center"/>
      <protection locked="0"/>
    </xf>
    <xf numFmtId="37" fontId="157" fillId="0" borderId="0" xfId="19" applyFont="1" applyAlignment="1">
      <alignment vertical="center"/>
    </xf>
    <xf numFmtId="184" fontId="140" fillId="0" borderId="0" xfId="21" applyNumberFormat="1" applyFont="1" applyAlignment="1">
      <alignment vertical="center"/>
    </xf>
    <xf numFmtId="184" fontId="140" fillId="0" borderId="78" xfId="21" applyNumberFormat="1" applyFont="1" applyBorder="1" applyAlignment="1">
      <alignment vertical="center"/>
    </xf>
    <xf numFmtId="37" fontId="140" fillId="0" borderId="78" xfId="21" applyFont="1" applyBorder="1" applyAlignment="1">
      <alignment vertical="center"/>
    </xf>
    <xf numFmtId="37" fontId="140" fillId="0" borderId="0" xfId="21" applyFont="1" applyAlignment="1" applyProtection="1">
      <alignment horizontal="left"/>
    </xf>
    <xf numFmtId="37" fontId="140" fillId="0" borderId="0" xfId="21" applyFont="1" applyProtection="1">
      <protection locked="0"/>
    </xf>
    <xf numFmtId="0" fontId="63" fillId="28" borderId="143" xfId="3" applyFont="1" applyFill="1" applyBorder="1" applyProtection="1"/>
    <xf numFmtId="0" fontId="63" fillId="28" borderId="144" xfId="3" applyFont="1" applyFill="1" applyBorder="1" applyProtection="1"/>
    <xf numFmtId="0" fontId="56" fillId="28" borderId="144" xfId="3" applyFont="1" applyFill="1" applyBorder="1" applyProtection="1"/>
    <xf numFmtId="0" fontId="56" fillId="28" borderId="144" xfId="3" applyFont="1" applyFill="1" applyBorder="1" applyAlignment="1" applyProtection="1">
      <alignment horizontal="center"/>
    </xf>
    <xf numFmtId="0" fontId="56" fillId="28" borderId="145" xfId="3" applyFont="1" applyFill="1" applyBorder="1" applyProtection="1"/>
    <xf numFmtId="0" fontId="56" fillId="0" borderId="5" xfId="3" applyFont="1" applyFill="1" applyBorder="1" applyProtection="1"/>
    <xf numFmtId="0" fontId="61" fillId="28" borderId="5" xfId="3" applyFont="1" applyFill="1" applyBorder="1" applyProtection="1"/>
    <xf numFmtId="0" fontId="61" fillId="28" borderId="166" xfId="3" applyFont="1" applyFill="1" applyBorder="1" applyProtection="1"/>
    <xf numFmtId="14" fontId="56" fillId="28" borderId="74" xfId="3" applyNumberFormat="1" applyFont="1" applyFill="1" applyBorder="1" applyAlignment="1" applyProtection="1">
      <alignment horizontal="center"/>
    </xf>
    <xf numFmtId="14" fontId="56" fillId="28" borderId="0" xfId="3" applyNumberFormat="1" applyFont="1" applyFill="1" applyBorder="1" applyProtection="1"/>
    <xf numFmtId="0" fontId="61" fillId="28" borderId="0" xfId="3" applyFont="1" applyFill="1" applyBorder="1" applyProtection="1"/>
    <xf numFmtId="0" fontId="56" fillId="28" borderId="0" xfId="3" applyFont="1" applyFill="1" applyBorder="1" applyAlignment="1" applyProtection="1">
      <alignment horizontal="center"/>
    </xf>
    <xf numFmtId="0" fontId="56" fillId="28" borderId="0" xfId="3" applyFont="1" applyFill="1" applyBorder="1" applyProtection="1"/>
    <xf numFmtId="0" fontId="56" fillId="28" borderId="74" xfId="3" applyFont="1" applyFill="1" applyBorder="1" applyAlignment="1" applyProtection="1">
      <alignment horizontal="center"/>
    </xf>
    <xf numFmtId="0" fontId="56" fillId="28" borderId="40" xfId="3" applyFont="1" applyFill="1" applyBorder="1" applyProtection="1"/>
    <xf numFmtId="0" fontId="56" fillId="28" borderId="50" xfId="3" applyFont="1" applyFill="1" applyBorder="1" applyProtection="1"/>
    <xf numFmtId="0" fontId="56" fillId="28" borderId="9" xfId="3" applyFont="1" applyFill="1" applyBorder="1" applyProtection="1"/>
    <xf numFmtId="0" fontId="56" fillId="28" borderId="9" xfId="3" applyFont="1" applyFill="1" applyBorder="1" applyAlignment="1" applyProtection="1">
      <alignment horizontal="center"/>
    </xf>
    <xf numFmtId="0" fontId="56" fillId="28" borderId="59" xfId="3" applyFont="1" applyFill="1" applyBorder="1" applyProtection="1"/>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59"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60"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61" fillId="0" borderId="0" xfId="3" applyFont="1" applyAlignment="1">
      <alignment horizontal="left"/>
    </xf>
    <xf numFmtId="0" fontId="10" fillId="0" borderId="0" xfId="3" applyFont="1" applyAlignment="1">
      <alignment horizontal="left"/>
    </xf>
    <xf numFmtId="0" fontId="35" fillId="0" borderId="0" xfId="3" applyFont="1"/>
    <xf numFmtId="0" fontId="161" fillId="0" borderId="0" xfId="3" applyFont="1"/>
    <xf numFmtId="0" fontId="53" fillId="0" borderId="0" xfId="3" applyFont="1" applyAlignment="1" applyProtection="1">
      <alignment horizontal="center"/>
    </xf>
    <xf numFmtId="0" fontId="61" fillId="0" borderId="0" xfId="3" applyFont="1" applyBorder="1" applyAlignment="1" applyProtection="1">
      <alignment horizontal="left" vertical="top" wrapText="1"/>
    </xf>
    <xf numFmtId="181" fontId="141" fillId="0" borderId="0" xfId="24" applyNumberFormat="1" applyFont="1" applyAlignment="1">
      <alignment horizontal="right" vertical="center"/>
    </xf>
    <xf numFmtId="181" fontId="141" fillId="0" borderId="0" xfId="24" applyNumberFormat="1" applyFont="1" applyFill="1" applyAlignment="1">
      <alignment horizontal="right" vertical="center"/>
    </xf>
    <xf numFmtId="41" fontId="150" fillId="0" borderId="0" xfId="19" applyNumberFormat="1" applyFont="1" applyFill="1" applyAlignment="1">
      <alignment horizontal="center" vertical="center"/>
    </xf>
    <xf numFmtId="181" fontId="141" fillId="0" borderId="0" xfId="24" applyNumberFormat="1" applyFont="1" applyFill="1" applyAlignment="1">
      <alignment horizontal="fill" vertical="center"/>
    </xf>
    <xf numFmtId="183" fontId="154" fillId="0" borderId="0" xfId="24" applyNumberFormat="1" applyFont="1" applyFill="1" applyAlignment="1">
      <alignment vertical="center"/>
    </xf>
    <xf numFmtId="181" fontId="141" fillId="0" borderId="0" xfId="19" applyNumberFormat="1" applyFont="1" applyFill="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55" fillId="0" borderId="0" xfId="19" applyFont="1" applyAlignment="1" applyProtection="1">
      <alignment horizontal="left" wrapText="1"/>
    </xf>
    <xf numFmtId="41" fontId="146" fillId="0" borderId="0" xfId="20" applyNumberFormat="1" applyFont="1" applyFill="1" applyBorder="1" applyAlignment="1">
      <alignment horizontal="center" vertical="center"/>
    </xf>
    <xf numFmtId="14" fontId="148" fillId="0" borderId="0" xfId="21" applyNumberFormat="1" applyFont="1" applyAlignment="1">
      <alignment horizontal="center"/>
    </xf>
    <xf numFmtId="37" fontId="156" fillId="0" borderId="0" xfId="19" applyFont="1" applyAlignment="1" applyProtection="1">
      <alignment horizontal="left" wrapText="1"/>
    </xf>
    <xf numFmtId="37" fontId="138" fillId="0" borderId="0" xfId="19" applyFont="1" applyAlignment="1">
      <alignment horizontal="center"/>
    </xf>
    <xf numFmtId="0" fontId="142" fillId="0" borderId="0" xfId="19" applyNumberFormat="1" applyFont="1" applyAlignment="1">
      <alignment horizontal="center"/>
    </xf>
    <xf numFmtId="43" fontId="145" fillId="0" borderId="0" xfId="22" applyFont="1" applyBorder="1" applyAlignment="1">
      <alignment horizontal="center"/>
    </xf>
    <xf numFmtId="0" fontId="61" fillId="0" borderId="0" xfId="3" applyFont="1" applyBorder="1" applyAlignment="1" applyProtection="1">
      <alignment horizontal="left" vertical="top" wrapText="1"/>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54" fillId="0" borderId="0" xfId="3" applyFont="1" applyBorder="1" applyAlignment="1" applyProtection="1">
      <alignment horizontal="left" wrapText="1"/>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4" fillId="0" borderId="0" xfId="3" applyFont="1" applyAlignment="1" applyProtection="1">
      <alignment horizontal="left" vertical="center" wrapTex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178" fontId="64" fillId="0" borderId="74" xfId="3" applyNumberFormat="1" applyFont="1" applyBorder="1" applyAlignment="1" applyProtection="1">
      <alignment horizontal="center"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6">
    <cellStyle name="Comma" xfId="1" builtinId="3"/>
    <cellStyle name="Comma 14" xfId="24" xr:uid="{00000000-0005-0000-0000-000001000000}"/>
    <cellStyle name="Comma 2" xfId="22"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4 2" xfId="23" xr:uid="{00000000-0005-0000-0000-00000B000000}"/>
    <cellStyle name="Normal 5" xfId="17" xr:uid="{00000000-0005-0000-0000-00000C000000}"/>
    <cellStyle name="Normal 5 2" xfId="19" xr:uid="{00000000-0005-0000-0000-00000D000000}"/>
    <cellStyle name="Normal 6" xfId="21"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Federal" xfId="20" xr:uid="{00000000-0005-0000-0000-000017000000}"/>
    <cellStyle name="Normal_THRESHOLD CALCULATOR v3" xfId="13" xr:uid="{00000000-0005-0000-0000-000018000000}"/>
    <cellStyle name="Percent 2"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FCF6AC83-BABA-4097-BFA2-FB14778AE759}"/>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F5C59D9E-64A2-4EE3-BEE0-D7E9D0C1321E}"/>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363682</xdr:colOff>
          <xdr:row>1</xdr:row>
          <xdr:rowOff>112568</xdr:rowOff>
        </xdr:from>
        <xdr:to>
          <xdr:col>1</xdr:col>
          <xdr:colOff>1278082</xdr:colOff>
          <xdr:row>5</xdr:row>
          <xdr:rowOff>150668</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1498023</xdr:colOff>
          <xdr:row>1</xdr:row>
          <xdr:rowOff>112568</xdr:rowOff>
        </xdr:from>
        <xdr:to>
          <xdr:col>1</xdr:col>
          <xdr:colOff>2408959</xdr:colOff>
          <xdr:row>5</xdr:row>
          <xdr:rowOff>150668</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Bi-County%20Special%20Ed\01%20FY%2006-30-19\afr-19-form%20(ol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19"/>
      <sheetName val="zzSEFA NOTES"/>
      <sheetName val="SEFA NOTES"/>
      <sheetName val="zzSF&amp;QC Sec-1"/>
      <sheetName val="SF&amp;QC Sec-1"/>
      <sheetName val="Finding 2019-001"/>
      <sheetName val="Finding 2019-002"/>
      <sheetName val="Finding 2019-003"/>
      <sheetName val="SF&amp;QC Sec-3"/>
      <sheetName val="SSPAF"/>
      <sheetName val="CAP 2019-001"/>
      <sheetName val="CAP - 2019-002"/>
      <sheetName val="CAP - 2019-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2019</v>
          </cell>
        </row>
        <row r="7">
          <cell r="A7" t="str">
            <v>Bi-County Special Education Cooperative</v>
          </cell>
          <cell r="E7" t="str">
            <v>47-098-0000-61</v>
          </cell>
        </row>
      </sheetData>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214" t="s">
        <v>405</v>
      </c>
      <c r="J1" s="2215"/>
      <c r="K1" s="2215"/>
      <c r="L1" s="2215"/>
      <c r="M1" s="2215"/>
      <c r="N1" s="2215"/>
      <c r="O1" s="2215"/>
      <c r="P1" s="2215"/>
      <c r="Q1" s="2215"/>
      <c r="R1" s="2215"/>
      <c r="S1" s="2215"/>
    </row>
    <row r="2" spans="1:28" ht="12" customHeight="1" x14ac:dyDescent="0.2">
      <c r="A2" s="47" t="s">
        <v>1990</v>
      </c>
      <c r="D2" s="48"/>
      <c r="I2" s="2216" t="s">
        <v>979</v>
      </c>
      <c r="J2" s="2215"/>
      <c r="K2" s="2215"/>
      <c r="L2" s="2215"/>
      <c r="M2" s="2215"/>
      <c r="N2" s="2215"/>
      <c r="O2" s="2215"/>
      <c r="P2" s="2215"/>
      <c r="Q2" s="2215"/>
      <c r="R2" s="2215"/>
      <c r="S2" s="2215"/>
    </row>
    <row r="3" spans="1:28" ht="12" customHeight="1" x14ac:dyDescent="0.2">
      <c r="A3" s="155" t="s">
        <v>1942</v>
      </c>
      <c r="B3" s="156"/>
      <c r="C3" s="156"/>
      <c r="D3" s="157"/>
      <c r="I3" s="2216" t="s">
        <v>52</v>
      </c>
      <c r="J3" s="2215"/>
      <c r="K3" s="2215"/>
      <c r="L3" s="2215"/>
      <c r="M3" s="2215"/>
      <c r="N3" s="2215"/>
      <c r="O3" s="2215"/>
      <c r="P3" s="2215"/>
      <c r="Q3" s="2215"/>
      <c r="R3" s="2215"/>
      <c r="S3" s="2215"/>
    </row>
    <row r="4" spans="1:28" ht="12" customHeight="1" x14ac:dyDescent="0.2">
      <c r="A4" s="37"/>
      <c r="I4" s="2216" t="s">
        <v>524</v>
      </c>
      <c r="J4" s="2215"/>
      <c r="K4" s="2215"/>
      <c r="L4" s="2215"/>
      <c r="M4" s="2215"/>
      <c r="N4" s="2215"/>
      <c r="O4" s="2215"/>
      <c r="P4" s="2215"/>
      <c r="Q4" s="2215"/>
      <c r="R4" s="2215"/>
      <c r="S4" s="2215"/>
    </row>
    <row r="5" spans="1:28" ht="14.1" customHeight="1" x14ac:dyDescent="0.2">
      <c r="B5" s="104"/>
      <c r="C5" s="26" t="s">
        <v>910</v>
      </c>
      <c r="D5" s="84"/>
      <c r="E5" s="84"/>
      <c r="H5" s="38"/>
      <c r="I5" s="2224" t="s">
        <v>680</v>
      </c>
      <c r="J5" s="2223"/>
      <c r="K5" s="2223"/>
      <c r="L5" s="2223"/>
      <c r="M5" s="2223"/>
      <c r="N5" s="2223"/>
      <c r="O5" s="2223"/>
      <c r="P5" s="2223"/>
      <c r="Q5" s="2223"/>
      <c r="R5" s="2223"/>
      <c r="S5" s="2223"/>
    </row>
    <row r="6" spans="1:28" ht="14.1" customHeight="1" x14ac:dyDescent="0.2">
      <c r="B6" s="104" t="s">
        <v>2070</v>
      </c>
      <c r="C6" s="26" t="s">
        <v>911</v>
      </c>
      <c r="D6" s="84"/>
      <c r="E6" s="84"/>
      <c r="I6" s="2222" t="s">
        <v>883</v>
      </c>
      <c r="J6" s="2223"/>
      <c r="K6" s="2223"/>
      <c r="L6" s="2223"/>
      <c r="M6" s="2223"/>
      <c r="N6" s="2223"/>
      <c r="O6" s="2223"/>
      <c r="P6" s="2223"/>
      <c r="Q6" s="2223"/>
      <c r="R6" s="2223"/>
      <c r="S6" s="2223"/>
    </row>
    <row r="7" spans="1:28" ht="12.2" customHeight="1" x14ac:dyDescent="0.2">
      <c r="I7" s="2217">
        <v>43646</v>
      </c>
      <c r="J7" s="2218"/>
      <c r="K7" s="2218"/>
      <c r="L7" s="2218"/>
      <c r="M7" s="2218"/>
      <c r="N7" s="2218"/>
      <c r="O7" s="2218"/>
      <c r="P7" s="2218"/>
      <c r="Q7" s="2218"/>
      <c r="R7" s="2218"/>
      <c r="S7" s="22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19" t="s">
        <v>674</v>
      </c>
      <c r="J9" s="2220"/>
      <c r="K9" s="2220"/>
      <c r="L9" s="2220"/>
      <c r="M9" s="2220"/>
      <c r="N9" s="2220"/>
      <c r="O9" s="2220"/>
      <c r="P9" s="2220"/>
      <c r="Q9" s="2220"/>
      <c r="R9" s="2220"/>
      <c r="S9" s="2221"/>
      <c r="T9" s="2235" t="s">
        <v>533</v>
      </c>
      <c r="U9" s="2236"/>
      <c r="V9" s="2236"/>
      <c r="W9" s="2236"/>
      <c r="X9" s="2236"/>
      <c r="Y9" s="2236"/>
      <c r="Z9" s="2236"/>
      <c r="AA9" s="2237"/>
    </row>
    <row r="10" spans="1:28" ht="13.5" customHeight="1" x14ac:dyDescent="0.2">
      <c r="A10" s="2242" t="s">
        <v>675</v>
      </c>
      <c r="B10" s="2243"/>
      <c r="C10" s="2243"/>
      <c r="D10" s="2243"/>
      <c r="E10" s="2243"/>
      <c r="F10" s="2243"/>
      <c r="G10" s="2243"/>
      <c r="H10" s="2244"/>
      <c r="I10" s="29"/>
      <c r="J10" s="30"/>
      <c r="K10" s="28"/>
      <c r="R10" s="30"/>
      <c r="S10" s="30"/>
      <c r="T10" s="2238"/>
      <c r="U10" s="2223"/>
      <c r="V10" s="2223"/>
      <c r="W10" s="2223"/>
      <c r="X10" s="2223"/>
      <c r="Y10" s="2223"/>
      <c r="Z10" s="2223"/>
      <c r="AA10" s="2229"/>
    </row>
    <row r="11" spans="1:28" ht="14.25" customHeight="1" x14ac:dyDescent="0.2">
      <c r="A11" s="2245" t="s">
        <v>955</v>
      </c>
      <c r="B11" s="2246"/>
      <c r="C11" s="2246"/>
      <c r="D11" s="2246"/>
      <c r="E11" s="2246"/>
      <c r="F11" s="2246"/>
      <c r="G11" s="2246"/>
      <c r="H11" s="2247"/>
      <c r="I11" s="27"/>
      <c r="J11" s="74"/>
      <c r="K11" s="27"/>
      <c r="O11" s="148" t="s">
        <v>2067</v>
      </c>
      <c r="P11" s="100" t="s">
        <v>201</v>
      </c>
      <c r="Q11" s="30"/>
      <c r="R11" s="28"/>
      <c r="S11" s="27"/>
      <c r="T11" s="2239"/>
      <c r="U11" s="2240"/>
      <c r="V11" s="2240"/>
      <c r="W11" s="2240"/>
      <c r="X11" s="2240"/>
      <c r="Y11" s="2240"/>
      <c r="Z11" s="2240"/>
      <c r="AA11" s="224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249">
        <v>47098000061</v>
      </c>
      <c r="B13" s="2250"/>
      <c r="C13" s="2250"/>
      <c r="D13" s="2250"/>
      <c r="E13" s="2250"/>
      <c r="F13" s="2250"/>
      <c r="G13" s="2250"/>
      <c r="H13" s="2251"/>
      <c r="I13" s="31"/>
      <c r="J13" s="30"/>
      <c r="K13" s="28"/>
      <c r="L13" s="30"/>
      <c r="M13" s="30"/>
      <c r="N13" s="30"/>
      <c r="O13" s="30"/>
      <c r="P13" s="30"/>
      <c r="Q13" s="30"/>
      <c r="R13" s="30"/>
      <c r="S13" s="30"/>
      <c r="T13" s="2254" t="s">
        <v>2069</v>
      </c>
      <c r="U13" s="2255"/>
      <c r="V13" s="2255"/>
      <c r="W13" s="2255"/>
      <c r="X13" s="2255"/>
      <c r="Y13" s="2256"/>
      <c r="Z13" s="2256"/>
      <c r="AA13" s="225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248" t="s">
        <v>2072</v>
      </c>
      <c r="B15" s="2252"/>
      <c r="C15" s="2252"/>
      <c r="D15" s="2252"/>
      <c r="E15" s="2252"/>
      <c r="F15" s="2252"/>
      <c r="G15" s="2252"/>
      <c r="H15" s="2253"/>
      <c r="T15" s="2258" t="s">
        <v>2081</v>
      </c>
      <c r="U15" s="2202"/>
      <c r="V15" s="2202"/>
      <c r="W15" s="2202"/>
      <c r="X15" s="2202"/>
      <c r="Y15" s="2259"/>
      <c r="Z15" s="2259"/>
      <c r="AA15" s="226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208" t="s">
        <v>2248</v>
      </c>
      <c r="B17" s="2209"/>
      <c r="C17" s="2209"/>
      <c r="D17" s="2209"/>
      <c r="E17" s="2209"/>
      <c r="F17" s="2209"/>
      <c r="G17" s="2209"/>
      <c r="H17" s="2234"/>
      <c r="T17" s="2265" t="s">
        <v>2061</v>
      </c>
      <c r="U17" s="2266"/>
      <c r="V17" s="2266"/>
      <c r="W17" s="2266"/>
      <c r="X17" s="2266"/>
      <c r="Y17" s="2266"/>
      <c r="Z17" s="2266"/>
      <c r="AA17" s="2267"/>
    </row>
    <row r="18" spans="1:27" ht="13.5" customHeight="1" x14ac:dyDescent="0.2">
      <c r="A18" s="85" t="s">
        <v>530</v>
      </c>
      <c r="B18" s="76"/>
      <c r="C18" s="72"/>
      <c r="D18" s="76"/>
      <c r="E18" s="76"/>
      <c r="F18" s="76"/>
      <c r="G18" s="76"/>
      <c r="H18" s="56"/>
      <c r="I18" s="2233" t="s">
        <v>676</v>
      </c>
      <c r="J18" s="2184"/>
      <c r="K18" s="2184"/>
      <c r="L18" s="2184"/>
      <c r="M18" s="2184"/>
      <c r="N18" s="2184"/>
      <c r="O18" s="2184"/>
      <c r="P18" s="2184"/>
      <c r="Q18" s="2184"/>
      <c r="R18" s="2184"/>
      <c r="S18" s="2185"/>
      <c r="T18" s="85" t="s">
        <v>711</v>
      </c>
      <c r="U18" s="51"/>
      <c r="V18" s="72"/>
      <c r="W18" s="50"/>
      <c r="X18" s="85" t="s">
        <v>266</v>
      </c>
      <c r="Y18" s="81"/>
      <c r="Z18" s="159" t="s">
        <v>677</v>
      </c>
      <c r="AA18" s="46"/>
    </row>
    <row r="19" spans="1:27" ht="13.5" customHeight="1" x14ac:dyDescent="0.2">
      <c r="A19" s="2248" t="s">
        <v>2074</v>
      </c>
      <c r="B19" s="2194"/>
      <c r="C19" s="2194"/>
      <c r="D19" s="2194"/>
      <c r="E19" s="2194"/>
      <c r="F19" s="2194"/>
      <c r="G19" s="2194"/>
      <c r="H19" s="2174"/>
      <c r="I19" s="30"/>
      <c r="J19" s="99"/>
      <c r="K19" s="40"/>
      <c r="L19" s="38"/>
      <c r="M19" s="112" t="s">
        <v>315</v>
      </c>
      <c r="P19" s="27"/>
      <c r="Q19" s="27"/>
      <c r="R19" s="27"/>
      <c r="S19" s="31"/>
      <c r="T19" s="2248" t="s">
        <v>2062</v>
      </c>
      <c r="U19" s="2173"/>
      <c r="V19" s="2173"/>
      <c r="W19" s="2174"/>
      <c r="X19" s="2263" t="s">
        <v>2063</v>
      </c>
      <c r="Y19" s="2264"/>
      <c r="Z19" s="2261">
        <v>61614</v>
      </c>
      <c r="AA19" s="226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72" t="s">
        <v>2075</v>
      </c>
      <c r="B21" s="2173"/>
      <c r="C21" s="2173"/>
      <c r="D21" s="2173"/>
      <c r="E21" s="2173"/>
      <c r="F21" s="2173"/>
      <c r="G21" s="2173"/>
      <c r="H21" s="2174"/>
      <c r="I21" s="2228" t="s">
        <v>678</v>
      </c>
      <c r="J21" s="2223"/>
      <c r="K21" s="2223"/>
      <c r="L21" s="2223"/>
      <c r="M21" s="2223"/>
      <c r="N21" s="2223"/>
      <c r="O21" s="2223"/>
      <c r="P21" s="2223"/>
      <c r="Q21" s="2223"/>
      <c r="R21" s="2223"/>
      <c r="S21" s="2229"/>
      <c r="T21" s="2272" t="s">
        <v>2064</v>
      </c>
      <c r="U21" s="2273"/>
      <c r="V21" s="2273"/>
      <c r="W21" s="2273"/>
      <c r="X21" s="2278" t="s">
        <v>2065</v>
      </c>
      <c r="Y21" s="2279"/>
      <c r="Z21" s="2279"/>
      <c r="AA21" s="2280"/>
    </row>
    <row r="22" spans="1:27" ht="13.5" customHeight="1" x14ac:dyDescent="0.2">
      <c r="A22" s="87" t="s">
        <v>531</v>
      </c>
      <c r="B22" s="59"/>
      <c r="C22" s="59"/>
      <c r="D22" s="59"/>
      <c r="E22" s="59"/>
      <c r="F22" s="59"/>
      <c r="G22" s="59"/>
      <c r="H22" s="60"/>
      <c r="I22" s="2230" t="s">
        <v>1429</v>
      </c>
      <c r="J22" s="2231"/>
      <c r="K22" s="2231"/>
      <c r="L22" s="2231"/>
      <c r="M22" s="2231"/>
      <c r="N22" s="2231"/>
      <c r="O22" s="2231"/>
      <c r="P22" s="2231"/>
      <c r="Q22" s="2231"/>
      <c r="R22" s="2231"/>
      <c r="S22" s="2232"/>
      <c r="T22" s="85" t="s">
        <v>1516</v>
      </c>
      <c r="U22" s="51"/>
      <c r="V22" s="72"/>
      <c r="W22" s="51"/>
      <c r="X22" s="160" t="s">
        <v>1318</v>
      </c>
      <c r="Z22" s="45"/>
      <c r="AA22" s="46"/>
    </row>
    <row r="23" spans="1:27" ht="13.5" customHeight="1" x14ac:dyDescent="0.2">
      <c r="A23" s="2225" t="s">
        <v>2076</v>
      </c>
      <c r="B23" s="2226"/>
      <c r="C23" s="2226"/>
      <c r="D23" s="2226"/>
      <c r="E23" s="2226"/>
      <c r="F23" s="2226"/>
      <c r="G23" s="2226"/>
      <c r="H23" s="2227"/>
      <c r="T23" s="2208" t="s">
        <v>2066</v>
      </c>
      <c r="U23" s="2271"/>
      <c r="V23" s="2271"/>
      <c r="W23" s="2271"/>
      <c r="X23" s="2275">
        <v>44501</v>
      </c>
      <c r="Y23" s="2276"/>
      <c r="Z23" s="2276"/>
      <c r="AA23" s="2277"/>
    </row>
    <row r="24" spans="1:27" ht="14.1" customHeight="1" x14ac:dyDescent="0.2">
      <c r="A24" s="88" t="s">
        <v>677</v>
      </c>
      <c r="B24" s="49"/>
      <c r="C24" s="49"/>
      <c r="D24" s="49"/>
      <c r="E24" s="49"/>
      <c r="F24" s="49"/>
      <c r="G24" s="49"/>
      <c r="H24" s="61"/>
      <c r="J24" s="2195" t="str">
        <f>IF(B5="x",IF(AUDITCHECK!D29="AFR form Incomplete.","",IF(AUDITCHECK!D29="Deficit reduction plan is required.","School District must complete a deficit reduction plan in the 2019-2020 Budget",)),"")</f>
        <v/>
      </c>
      <c r="K24" s="2195"/>
      <c r="L24" s="2195"/>
      <c r="M24" s="2195"/>
      <c r="N24" s="2195"/>
      <c r="O24" s="2195"/>
      <c r="P24" s="2195"/>
      <c r="Q24" s="2195"/>
      <c r="R24" s="2195"/>
      <c r="S24" s="2196"/>
      <c r="T24" s="105" t="s">
        <v>531</v>
      </c>
      <c r="U24" s="106"/>
      <c r="V24" s="106"/>
      <c r="W24" s="106"/>
      <c r="X24" s="107"/>
      <c r="Y24" s="107"/>
      <c r="Z24" s="107"/>
      <c r="AA24" s="108"/>
    </row>
    <row r="25" spans="1:27" ht="14.1" customHeight="1" x14ac:dyDescent="0.2">
      <c r="A25" s="2172">
        <v>61081</v>
      </c>
      <c r="B25" s="2173"/>
      <c r="C25" s="2173"/>
      <c r="D25" s="2173"/>
      <c r="E25" s="2173"/>
      <c r="F25" s="2173"/>
      <c r="G25" s="2173"/>
      <c r="H25" s="2174"/>
      <c r="I25" s="113"/>
      <c r="J25" s="2197"/>
      <c r="K25" s="2197"/>
      <c r="L25" s="2197"/>
      <c r="M25" s="2197"/>
      <c r="N25" s="2197"/>
      <c r="O25" s="2197"/>
      <c r="P25" s="2197"/>
      <c r="Q25" s="2197"/>
      <c r="R25" s="2197"/>
      <c r="S25" s="2198"/>
      <c r="T25" s="2268" t="s">
        <v>2082</v>
      </c>
      <c r="U25" s="2269"/>
      <c r="V25" s="2269"/>
      <c r="W25" s="2269"/>
      <c r="X25" s="2269"/>
      <c r="Y25" s="2269"/>
      <c r="Z25" s="2269"/>
      <c r="AA25" s="22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83" t="s">
        <v>1511</v>
      </c>
      <c r="J27" s="2184"/>
      <c r="K27" s="2184"/>
      <c r="L27" s="2184"/>
      <c r="M27" s="2184"/>
      <c r="N27" s="2184"/>
      <c r="O27" s="2184"/>
      <c r="P27" s="2184"/>
      <c r="Q27" s="2184"/>
      <c r="R27" s="2184"/>
      <c r="S27" s="218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94"/>
      <c r="Q35" s="2173"/>
      <c r="R35" s="217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208" t="s">
        <v>2077</v>
      </c>
      <c r="B38" s="2209"/>
      <c r="C38" s="2209"/>
      <c r="D38" s="2209"/>
      <c r="E38" s="2209"/>
      <c r="F38" s="2173"/>
      <c r="G38" s="2173"/>
      <c r="H38" s="2174"/>
      <c r="I38" s="2201"/>
      <c r="J38" s="2202"/>
      <c r="K38" s="2202"/>
      <c r="L38" s="2202"/>
      <c r="M38" s="2202"/>
      <c r="N38" s="2202"/>
      <c r="O38" s="2202"/>
      <c r="P38" s="2203"/>
      <c r="Q38" s="2203"/>
      <c r="R38" s="2203"/>
      <c r="S38" s="2204"/>
      <c r="T38" s="2258"/>
      <c r="U38" s="2202"/>
      <c r="V38" s="2202"/>
      <c r="W38" s="2202"/>
      <c r="X38" s="2203"/>
      <c r="Y38" s="2203"/>
      <c r="Z38" s="2203"/>
      <c r="AA38" s="2204"/>
    </row>
    <row r="39" spans="1:27" ht="12" customHeight="1" x14ac:dyDescent="0.2">
      <c r="A39" s="2178" t="s">
        <v>531</v>
      </c>
      <c r="B39" s="2179"/>
      <c r="C39" s="72"/>
      <c r="D39" s="69"/>
      <c r="E39" s="69"/>
      <c r="F39" s="79"/>
      <c r="G39" s="69"/>
      <c r="H39" s="56"/>
      <c r="I39" s="2178" t="s">
        <v>531</v>
      </c>
      <c r="J39" s="2179"/>
      <c r="K39" s="2179"/>
      <c r="L39" s="2179"/>
      <c r="M39" s="2179"/>
      <c r="N39" s="67"/>
      <c r="O39" s="72"/>
      <c r="P39" s="72"/>
      <c r="Q39" s="78"/>
      <c r="R39" s="72"/>
      <c r="S39" s="56"/>
      <c r="T39" s="72" t="s">
        <v>531</v>
      </c>
      <c r="U39" s="51"/>
      <c r="V39" s="72"/>
      <c r="W39" s="50"/>
      <c r="X39" s="78"/>
      <c r="Y39" s="45"/>
      <c r="Z39" s="45"/>
      <c r="AA39" s="46"/>
    </row>
    <row r="40" spans="1:27" ht="13.5" customHeight="1" x14ac:dyDescent="0.2">
      <c r="A40" s="2186" t="s">
        <v>2076</v>
      </c>
      <c r="B40" s="2187"/>
      <c r="C40" s="2188"/>
      <c r="D40" s="2188"/>
      <c r="E40" s="2188"/>
      <c r="F40" s="2189"/>
      <c r="G40" s="2189"/>
      <c r="H40" s="2190"/>
      <c r="I40" s="2211"/>
      <c r="J40" s="2212"/>
      <c r="K40" s="2212"/>
      <c r="L40" s="2212"/>
      <c r="M40" s="2212"/>
      <c r="N40" s="2212"/>
      <c r="O40" s="2212"/>
      <c r="P40" s="2212"/>
      <c r="Q40" s="2212"/>
      <c r="R40" s="2212"/>
      <c r="S40" s="2213"/>
      <c r="T40" s="2211"/>
      <c r="U40" s="2274"/>
      <c r="V40" s="2212"/>
      <c r="W40" s="2212"/>
      <c r="X40" s="2212"/>
      <c r="Y40" s="2212"/>
      <c r="Z40" s="2212"/>
      <c r="AA40" s="221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200" t="s">
        <v>2078</v>
      </c>
      <c r="B42" s="2192"/>
      <c r="C42" s="2193"/>
      <c r="D42" s="2191" t="s">
        <v>2079</v>
      </c>
      <c r="E42" s="2192"/>
      <c r="F42" s="2192"/>
      <c r="G42" s="2192"/>
      <c r="H42" s="2193"/>
      <c r="I42" s="2175"/>
      <c r="J42" s="2176"/>
      <c r="K42" s="2176"/>
      <c r="L42" s="2176"/>
      <c r="M42" s="2176"/>
      <c r="N42" s="2176"/>
      <c r="O42" s="2177"/>
      <c r="P42" s="2210"/>
      <c r="Q42" s="2176"/>
      <c r="R42" s="2176"/>
      <c r="S42" s="2177"/>
      <c r="T42" s="2175"/>
      <c r="U42" s="2176"/>
      <c r="V42" s="2176"/>
      <c r="W42" s="2177"/>
      <c r="X42" s="2210"/>
      <c r="Y42" s="2176"/>
      <c r="Z42" s="2176"/>
      <c r="AA42" s="217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205"/>
      <c r="B44" s="2206"/>
      <c r="C44" s="2206"/>
      <c r="D44" s="2206"/>
      <c r="E44" s="2206"/>
      <c r="F44" s="2206"/>
      <c r="G44" s="2206"/>
      <c r="H44" s="2207"/>
      <c r="I44" s="2180"/>
      <c r="J44" s="2181"/>
      <c r="K44" s="2181"/>
      <c r="L44" s="2181"/>
      <c r="M44" s="2181"/>
      <c r="N44" s="2181"/>
      <c r="O44" s="2181"/>
      <c r="P44" s="2181"/>
      <c r="Q44" s="2181"/>
      <c r="R44" s="2181"/>
      <c r="S44" s="2182"/>
      <c r="T44" s="2180"/>
      <c r="U44" s="2199"/>
      <c r="V44" s="2199"/>
      <c r="W44" s="2199"/>
      <c r="X44" s="2199"/>
      <c r="Y44" s="2199"/>
      <c r="Z44" s="2181"/>
      <c r="AA44" s="218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414" t="s">
        <v>1799</v>
      </c>
      <c r="B2" s="1524" t="s">
        <v>1948</v>
      </c>
      <c r="C2" s="711" t="s">
        <v>1949</v>
      </c>
      <c r="D2" s="711" t="s">
        <v>1950</v>
      </c>
      <c r="E2" s="711" t="s">
        <v>1951</v>
      </c>
      <c r="F2" s="711" t="s">
        <v>1952</v>
      </c>
    </row>
    <row r="3" spans="1:6" ht="12" customHeight="1" x14ac:dyDescent="0.2">
      <c r="A3" s="2415"/>
      <c r="B3" s="1521"/>
      <c r="C3" s="1522"/>
      <c r="D3" s="1523" t="s">
        <v>256</v>
      </c>
      <c r="E3" s="1522"/>
      <c r="F3" s="1523" t="s">
        <v>257</v>
      </c>
    </row>
    <row r="4" spans="1:6" ht="13.7" customHeight="1" x14ac:dyDescent="0.2">
      <c r="A4" s="712" t="s">
        <v>1155</v>
      </c>
      <c r="B4" s="1745">
        <f>'Revenues 9-14'!C5</f>
        <v>0</v>
      </c>
      <c r="C4" s="1520"/>
      <c r="D4" s="1748">
        <f>B4-C4</f>
        <v>0</v>
      </c>
      <c r="E4" s="1520"/>
      <c r="F4" s="1748">
        <f>E4-C4</f>
        <v>0</v>
      </c>
    </row>
    <row r="5" spans="1:6" ht="13.7" customHeight="1" x14ac:dyDescent="0.2">
      <c r="A5" s="712" t="s">
        <v>870</v>
      </c>
      <c r="B5" s="1746">
        <f>'Revenues 9-14'!D5</f>
        <v>0</v>
      </c>
      <c r="C5" s="582"/>
      <c r="D5" s="1749">
        <f t="shared" ref="D5:D18" si="0">B5-C5</f>
        <v>0</v>
      </c>
      <c r="E5" s="582"/>
      <c r="F5" s="1749">
        <f>E5-C5</f>
        <v>0</v>
      </c>
    </row>
    <row r="6" spans="1:6" ht="13.7" customHeight="1" x14ac:dyDescent="0.2">
      <c r="A6" s="712" t="s">
        <v>411</v>
      </c>
      <c r="B6" s="1746">
        <f>'Revenues 9-14'!E5</f>
        <v>0</v>
      </c>
      <c r="C6" s="582"/>
      <c r="D6" s="1749">
        <f t="shared" si="0"/>
        <v>0</v>
      </c>
      <c r="E6" s="582"/>
      <c r="F6" s="1749">
        <f t="shared" ref="F6:F18" si="1">E6-C6</f>
        <v>0</v>
      </c>
    </row>
    <row r="7" spans="1:6" ht="13.7" customHeight="1" x14ac:dyDescent="0.2">
      <c r="A7" s="712" t="s">
        <v>155</v>
      </c>
      <c r="B7" s="1746">
        <f>'Revenues 9-14'!F5</f>
        <v>0</v>
      </c>
      <c r="C7" s="582"/>
      <c r="D7" s="1749">
        <f t="shared" si="0"/>
        <v>0</v>
      </c>
      <c r="E7" s="582"/>
      <c r="F7" s="1749">
        <f t="shared" si="1"/>
        <v>0</v>
      </c>
    </row>
    <row r="8" spans="1:6" ht="13.7" customHeight="1" x14ac:dyDescent="0.2">
      <c r="A8" s="712" t="s">
        <v>1179</v>
      </c>
      <c r="B8" s="1746">
        <f>'Revenues 9-14'!G5</f>
        <v>0</v>
      </c>
      <c r="C8" s="582"/>
      <c r="D8" s="1749">
        <f t="shared" si="0"/>
        <v>0</v>
      </c>
      <c r="E8" s="582"/>
      <c r="F8" s="1749">
        <f t="shared" si="1"/>
        <v>0</v>
      </c>
    </row>
    <row r="9" spans="1:6" ht="13.7" customHeight="1" x14ac:dyDescent="0.2">
      <c r="A9" s="712" t="s">
        <v>408</v>
      </c>
      <c r="B9" s="1746">
        <f>'Revenues 9-14'!H5</f>
        <v>0</v>
      </c>
      <c r="C9" s="582"/>
      <c r="D9" s="1749">
        <f t="shared" si="0"/>
        <v>0</v>
      </c>
      <c r="E9" s="582"/>
      <c r="F9" s="1749">
        <f t="shared" si="1"/>
        <v>0</v>
      </c>
    </row>
    <row r="10" spans="1:6" ht="13.7" customHeight="1" x14ac:dyDescent="0.2">
      <c r="A10" s="712" t="s">
        <v>407</v>
      </c>
      <c r="B10" s="1746">
        <f>'Revenues 9-14'!I5</f>
        <v>0</v>
      </c>
      <c r="C10" s="582"/>
      <c r="D10" s="1749">
        <f t="shared" si="0"/>
        <v>0</v>
      </c>
      <c r="E10" s="582"/>
      <c r="F10" s="1749">
        <f t="shared" si="1"/>
        <v>0</v>
      </c>
    </row>
    <row r="11" spans="1:6" x14ac:dyDescent="0.2">
      <c r="A11" s="712" t="s">
        <v>409</v>
      </c>
      <c r="B11" s="1746">
        <f>'Revenues 9-14'!J5</f>
        <v>0</v>
      </c>
      <c r="C11" s="582"/>
      <c r="D11" s="1749">
        <f t="shared" si="0"/>
        <v>0</v>
      </c>
      <c r="E11" s="582"/>
      <c r="F11" s="1749">
        <f t="shared" si="1"/>
        <v>0</v>
      </c>
    </row>
    <row r="12" spans="1:6" ht="13.7" customHeight="1" x14ac:dyDescent="0.2">
      <c r="A12" s="712" t="s">
        <v>157</v>
      </c>
      <c r="B12" s="1746">
        <f>'Revenues 9-14'!K5</f>
        <v>0</v>
      </c>
      <c r="C12" s="582"/>
      <c r="D12" s="1749">
        <f t="shared" si="0"/>
        <v>0</v>
      </c>
      <c r="E12" s="582"/>
      <c r="F12" s="1749">
        <f t="shared" si="1"/>
        <v>0</v>
      </c>
    </row>
    <row r="13" spans="1:6" ht="13.7" customHeight="1" x14ac:dyDescent="0.2">
      <c r="A13" s="712" t="s">
        <v>936</v>
      </c>
      <c r="B13" s="1746">
        <f>SUM('Revenues 9-14'!C6:D6)</f>
        <v>0</v>
      </c>
      <c r="C13" s="582"/>
      <c r="D13" s="1749">
        <f t="shared" si="0"/>
        <v>0</v>
      </c>
      <c r="E13" s="582"/>
      <c r="F13" s="1749">
        <f t="shared" si="1"/>
        <v>0</v>
      </c>
    </row>
    <row r="14" spans="1:6" ht="13.7" customHeight="1" x14ac:dyDescent="0.2">
      <c r="A14" s="712" t="s">
        <v>410</v>
      </c>
      <c r="B14" s="1746">
        <f>SUM('Revenues 9-14'!C7:D7,'Revenues 9-14'!F7:H7)</f>
        <v>0</v>
      </c>
      <c r="C14" s="582"/>
      <c r="D14" s="1749">
        <f t="shared" si="0"/>
        <v>0</v>
      </c>
      <c r="E14" s="582"/>
      <c r="F14" s="1749">
        <f t="shared" si="1"/>
        <v>0</v>
      </c>
    </row>
    <row r="15" spans="1:6" ht="13.7" customHeight="1" x14ac:dyDescent="0.2">
      <c r="A15" s="712" t="s">
        <v>1158</v>
      </c>
      <c r="B15" s="1746">
        <f>SUM('Revenues 9-14'!D9:E9,'Revenues 9-14'!H9)</f>
        <v>0</v>
      </c>
      <c r="C15" s="582"/>
      <c r="D15" s="1749">
        <f t="shared" si="0"/>
        <v>0</v>
      </c>
      <c r="E15" s="582"/>
      <c r="F15" s="1749">
        <f t="shared" si="1"/>
        <v>0</v>
      </c>
    </row>
    <row r="16" spans="1:6" ht="13.7" customHeight="1" x14ac:dyDescent="0.2">
      <c r="A16" s="712" t="s">
        <v>1159</v>
      </c>
      <c r="B16" s="1746">
        <f>'Revenues 9-14'!G8</f>
        <v>0</v>
      </c>
      <c r="C16" s="582"/>
      <c r="D16" s="1749">
        <f t="shared" si="0"/>
        <v>0</v>
      </c>
      <c r="E16" s="582"/>
      <c r="F16" s="1749">
        <f t="shared" si="1"/>
        <v>0</v>
      </c>
    </row>
    <row r="17" spans="1:6" ht="13.7" customHeight="1" x14ac:dyDescent="0.2">
      <c r="A17" s="712" t="s">
        <v>1160</v>
      </c>
      <c r="B17" s="1746">
        <f>'Revenues 9-14'!C10</f>
        <v>0</v>
      </c>
      <c r="C17" s="582"/>
      <c r="D17" s="1749">
        <f t="shared" si="0"/>
        <v>0</v>
      </c>
      <c r="E17" s="582"/>
      <c r="F17" s="1749">
        <f t="shared" si="1"/>
        <v>0</v>
      </c>
    </row>
    <row r="18" spans="1:6" ht="13.7" customHeight="1" x14ac:dyDescent="0.2">
      <c r="A18" s="712" t="s">
        <v>762</v>
      </c>
      <c r="B18" s="1746">
        <f>SUM('Revenues 9-14'!C11:K11)</f>
        <v>0</v>
      </c>
      <c r="C18" s="582"/>
      <c r="D18" s="1749">
        <f t="shared" si="0"/>
        <v>0</v>
      </c>
      <c r="E18" s="582"/>
      <c r="F18" s="1749">
        <f t="shared" si="1"/>
        <v>0</v>
      </c>
    </row>
    <row r="19" spans="1:6" ht="13.7" customHeight="1" thickBot="1" x14ac:dyDescent="0.25">
      <c r="A19" s="1750" t="s">
        <v>1161</v>
      </c>
      <c r="B19" s="1747">
        <f>SUM(B4:B18)</f>
        <v>0</v>
      </c>
      <c r="C19" s="1747">
        <f>SUM(C4:C18)</f>
        <v>0</v>
      </c>
      <c r="D19" s="1747">
        <f>SUM(D4:D18)</f>
        <v>0</v>
      </c>
      <c r="E19" s="1747">
        <f>SUM(E4:E18)</f>
        <v>0</v>
      </c>
      <c r="F19" s="1747">
        <f>SUM(F4:F18)</f>
        <v>0</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36" t="s">
        <v>629</v>
      </c>
      <c r="B1" s="2434"/>
      <c r="C1" s="718"/>
    </row>
    <row r="2" spans="1:7" ht="33.75" x14ac:dyDescent="0.2">
      <c r="A2" s="2441" t="s">
        <v>1799</v>
      </c>
      <c r="B2" s="2442"/>
      <c r="C2" s="1878" t="s">
        <v>1953</v>
      </c>
      <c r="D2" s="720" t="s">
        <v>1954</v>
      </c>
      <c r="E2" s="720" t="s">
        <v>1955</v>
      </c>
      <c r="F2" s="1878" t="s">
        <v>1956</v>
      </c>
    </row>
    <row r="3" spans="1:7" ht="15.75" customHeight="1" x14ac:dyDescent="0.2">
      <c r="A3" s="2443" t="s">
        <v>1114</v>
      </c>
      <c r="B3" s="2444"/>
      <c r="C3" s="2437"/>
      <c r="D3" s="2438"/>
      <c r="E3" s="2438"/>
      <c r="F3" s="2439"/>
    </row>
    <row r="4" spans="1:7" ht="12.75" customHeight="1" thickBot="1" x14ac:dyDescent="0.25">
      <c r="A4" s="2431" t="s">
        <v>630</v>
      </c>
      <c r="B4" s="2432"/>
      <c r="C4" s="578"/>
      <c r="D4" s="578"/>
      <c r="E4" s="578"/>
      <c r="F4" s="1751">
        <f>SUM(C4+D4)-E4</f>
        <v>0</v>
      </c>
    </row>
    <row r="5" spans="1:7" ht="15.75" customHeight="1" thickTop="1" x14ac:dyDescent="0.2">
      <c r="A5" s="2435" t="s">
        <v>1110</v>
      </c>
      <c r="B5" s="2430"/>
      <c r="C5" s="2424"/>
      <c r="D5" s="2425"/>
      <c r="E5" s="2425"/>
      <c r="F5" s="2426"/>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427" t="s">
        <v>631</v>
      </c>
      <c r="B15" s="2428"/>
      <c r="C15" s="1751">
        <f>SUM(C6:C14)</f>
        <v>0</v>
      </c>
      <c r="D15" s="1751">
        <f>SUM(D6:D14)</f>
        <v>0</v>
      </c>
      <c r="E15" s="1751">
        <f>SUM(E6:E14)</f>
        <v>0</v>
      </c>
      <c r="F15" s="1751">
        <f>SUM(F6:F14)</f>
        <v>0</v>
      </c>
      <c r="G15" s="549"/>
    </row>
    <row r="16" spans="1:7" s="202" customFormat="1" ht="15.75" customHeight="1" thickTop="1" x14ac:dyDescent="0.2">
      <c r="A16" s="2440" t="s">
        <v>1111</v>
      </c>
      <c r="B16" s="2430"/>
      <c r="C16" s="2424"/>
      <c r="D16" s="2425"/>
      <c r="E16" s="2425"/>
      <c r="F16" s="2426"/>
    </row>
    <row r="17" spans="1:11" ht="12.75" customHeight="1" thickBot="1" x14ac:dyDescent="0.25">
      <c r="A17" s="2422" t="s">
        <v>64</v>
      </c>
      <c r="B17" s="2423"/>
      <c r="C17" s="723"/>
      <c r="D17" s="582"/>
      <c r="E17" s="723"/>
      <c r="F17" s="1751">
        <f>SUM(C17+D17)-E17</f>
        <v>0</v>
      </c>
    </row>
    <row r="18" spans="1:11" ht="12.75" customHeight="1" thickTop="1" thickBot="1" x14ac:dyDescent="0.25">
      <c r="A18" s="2422" t="s">
        <v>6</v>
      </c>
      <c r="B18" s="2423"/>
      <c r="C18" s="723"/>
      <c r="D18" s="582"/>
      <c r="E18" s="723"/>
      <c r="F18" s="1751">
        <f>SUM(C18+D18)-E18</f>
        <v>0</v>
      </c>
    </row>
    <row r="19" spans="1:11" ht="12.75" customHeight="1" thickTop="1" thickBot="1" x14ac:dyDescent="0.25">
      <c r="A19" s="2422" t="s">
        <v>388</v>
      </c>
      <c r="B19" s="2423"/>
      <c r="C19" s="723"/>
      <c r="D19" s="582"/>
      <c r="E19" s="723"/>
      <c r="F19" s="1751">
        <f>SUM(C19+D19)-E19</f>
        <v>0</v>
      </c>
    </row>
    <row r="20" spans="1:11" ht="12.75" customHeight="1" thickTop="1" thickBot="1" x14ac:dyDescent="0.25">
      <c r="A20" s="2422" t="s">
        <v>448</v>
      </c>
      <c r="B20" s="2423"/>
      <c r="C20" s="723"/>
      <c r="D20" s="582"/>
      <c r="E20" s="723"/>
      <c r="F20" s="1751">
        <f>SUM(C20+D20)-E20</f>
        <v>0</v>
      </c>
    </row>
    <row r="21" spans="1:11" ht="14.25" thickTop="1" thickBot="1" x14ac:dyDescent="0.25">
      <c r="A21" s="2427" t="s">
        <v>632</v>
      </c>
      <c r="B21" s="2428"/>
      <c r="C21" s="1751">
        <f>SUM(C17:C20)</f>
        <v>0</v>
      </c>
      <c r="D21" s="1751">
        <f>SUM(D17:D20)</f>
        <v>0</v>
      </c>
      <c r="E21" s="1751">
        <f>SUM(E17:E20)</f>
        <v>0</v>
      </c>
      <c r="F21" s="1751">
        <f>SUM(F17:F20)</f>
        <v>0</v>
      </c>
      <c r="G21" s="549"/>
    </row>
    <row r="22" spans="1:11" ht="15.75" customHeight="1" thickTop="1" x14ac:dyDescent="0.2">
      <c r="A22" s="2429" t="s">
        <v>1112</v>
      </c>
      <c r="B22" s="2430"/>
      <c r="C22" s="2424"/>
      <c r="D22" s="2425"/>
      <c r="E22" s="2425"/>
      <c r="F22" s="2426"/>
    </row>
    <row r="23" spans="1:11" ht="13.5" thickBot="1" x14ac:dyDescent="0.25">
      <c r="A23" s="2431" t="s">
        <v>633</v>
      </c>
      <c r="B23" s="2432"/>
      <c r="C23" s="578"/>
      <c r="D23" s="578"/>
      <c r="E23" s="578"/>
      <c r="F23" s="1751">
        <f>SUM(C23+D23)-E23</f>
        <v>0</v>
      </c>
      <c r="G23" s="549"/>
    </row>
    <row r="24" spans="1:11" ht="15.75" customHeight="1" thickTop="1" x14ac:dyDescent="0.2">
      <c r="A24" s="2429" t="s">
        <v>1113</v>
      </c>
      <c r="B24" s="2430"/>
      <c r="C24" s="2424"/>
      <c r="D24" s="2425"/>
      <c r="E24" s="2425"/>
      <c r="F24" s="2426"/>
    </row>
    <row r="25" spans="1:11" ht="13.5" thickBot="1" x14ac:dyDescent="0.25">
      <c r="A25" s="2431" t="s">
        <v>634</v>
      </c>
      <c r="B25" s="2432"/>
      <c r="C25" s="578"/>
      <c r="D25" s="578"/>
      <c r="E25" s="578"/>
      <c r="F25" s="1751">
        <f>SUM(C25+D25)-E25</f>
        <v>0</v>
      </c>
      <c r="G25" s="549"/>
    </row>
    <row r="26" spans="1:11" ht="15.75" customHeight="1" thickTop="1" x14ac:dyDescent="0.2">
      <c r="A26" s="2435" t="s">
        <v>657</v>
      </c>
      <c r="B26" s="2430"/>
      <c r="C26" s="724"/>
      <c r="D26" s="724"/>
      <c r="E26" s="724"/>
      <c r="F26" s="725"/>
    </row>
    <row r="27" spans="1:11" ht="13.5" thickBot="1" x14ac:dyDescent="0.25">
      <c r="A27" s="2427" t="s">
        <v>1070</v>
      </c>
      <c r="B27" s="2428"/>
      <c r="C27" s="582"/>
      <c r="D27" s="582"/>
      <c r="E27" s="582"/>
      <c r="F27" s="1751">
        <f>SUM(C27+D27)-E27</f>
        <v>0</v>
      </c>
      <c r="G27" s="549"/>
    </row>
    <row r="28" spans="1:11" ht="7.5" customHeight="1" thickTop="1" x14ac:dyDescent="0.2">
      <c r="A28" s="590"/>
    </row>
    <row r="29" spans="1:11" ht="23.25" customHeight="1" x14ac:dyDescent="0.2">
      <c r="A29" s="2433" t="s">
        <v>582</v>
      </c>
      <c r="B29" s="2434"/>
      <c r="C29" s="726"/>
      <c r="D29" s="726"/>
      <c r="E29" s="726"/>
      <c r="F29" s="726"/>
      <c r="G29" s="726"/>
      <c r="H29" s="726"/>
      <c r="I29" s="726"/>
      <c r="J29" s="726"/>
    </row>
    <row r="30" spans="1:11" ht="33.75" x14ac:dyDescent="0.2">
      <c r="A30" s="1525" t="s">
        <v>1071</v>
      </c>
      <c r="B30" s="727" t="s">
        <v>1124</v>
      </c>
      <c r="C30" s="1879" t="s">
        <v>583</v>
      </c>
      <c r="D30" s="1879" t="s">
        <v>1673</v>
      </c>
      <c r="E30" s="1879" t="s">
        <v>1957</v>
      </c>
      <c r="F30" s="1879" t="s">
        <v>1958</v>
      </c>
      <c r="G30" s="1879" t="s">
        <v>1908</v>
      </c>
      <c r="H30" s="1879" t="s">
        <v>1959</v>
      </c>
      <c r="I30" s="1879" t="s">
        <v>1960</v>
      </c>
      <c r="J30" s="1880" t="s">
        <v>2</v>
      </c>
      <c r="K30" s="728"/>
    </row>
    <row r="31" spans="1:11" ht="12" customHeight="1" x14ac:dyDescent="0.2">
      <c r="A31" s="729"/>
      <c r="B31" s="730"/>
      <c r="C31" s="731"/>
      <c r="D31" s="732"/>
      <c r="E31" s="731"/>
      <c r="F31" s="731"/>
      <c r="G31" s="731"/>
      <c r="H31" s="731"/>
      <c r="I31" s="1752">
        <f>((E31+F31)-H31)+G31</f>
        <v>0</v>
      </c>
      <c r="J31" s="731"/>
      <c r="K31" s="733"/>
    </row>
    <row r="32" spans="1:11" ht="12" customHeight="1" x14ac:dyDescent="0.2">
      <c r="A32" s="729"/>
      <c r="B32" s="730"/>
      <c r="C32" s="731"/>
      <c r="D32" s="732"/>
      <c r="E32" s="731"/>
      <c r="F32" s="731"/>
      <c r="G32" s="731"/>
      <c r="H32" s="731"/>
      <c r="I32" s="1752">
        <f>((E32+F32)-H32)+G32</f>
        <v>0</v>
      </c>
      <c r="J32" s="731"/>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0</v>
      </c>
      <c r="D49" s="742"/>
      <c r="E49" s="1752">
        <f t="shared" ref="E49:J49" si="2">SUM(E31:E48)</f>
        <v>0</v>
      </c>
      <c r="F49" s="1752">
        <f t="shared" si="2"/>
        <v>0</v>
      </c>
      <c r="G49" s="1752">
        <f t="shared" si="2"/>
        <v>0</v>
      </c>
      <c r="H49" s="1752">
        <f t="shared" si="2"/>
        <v>0</v>
      </c>
      <c r="I49" s="1752">
        <f t="shared" si="2"/>
        <v>0</v>
      </c>
      <c r="J49" s="1752">
        <f t="shared" si="2"/>
        <v>0</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416" t="s">
        <v>584</v>
      </c>
      <c r="C52" s="2417"/>
      <c r="D52" s="2417"/>
      <c r="E52" s="746" t="s">
        <v>845</v>
      </c>
      <c r="F52" s="2418"/>
      <c r="G52" s="2419"/>
      <c r="H52" s="733"/>
      <c r="I52" s="733"/>
      <c r="J52" s="743"/>
    </row>
    <row r="53" spans="1:11" ht="11.25" customHeight="1" x14ac:dyDescent="0.2">
      <c r="A53" s="747" t="s">
        <v>913</v>
      </c>
      <c r="B53" s="748" t="s">
        <v>951</v>
      </c>
      <c r="C53" s="743"/>
      <c r="D53" s="734"/>
      <c r="E53" s="746" t="s">
        <v>497</v>
      </c>
      <c r="F53" s="2420"/>
      <c r="G53" s="2421"/>
      <c r="H53" s="733"/>
      <c r="I53" s="733"/>
      <c r="J53" s="743"/>
    </row>
    <row r="54" spans="1:11" ht="11.25" customHeight="1" x14ac:dyDescent="0.2">
      <c r="A54" s="749" t="s">
        <v>914</v>
      </c>
      <c r="B54" s="744" t="s">
        <v>952</v>
      </c>
      <c r="C54" s="743"/>
      <c r="D54" s="734"/>
      <c r="E54" s="746" t="s">
        <v>498</v>
      </c>
      <c r="F54" s="2420"/>
      <c r="G54" s="242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45" t="s">
        <v>856</v>
      </c>
      <c r="B1" s="2446"/>
      <c r="C1" s="2446"/>
      <c r="D1" s="2446"/>
      <c r="E1" s="2446"/>
      <c r="F1" s="2446"/>
      <c r="G1" s="2447"/>
      <c r="H1" s="1526"/>
      <c r="I1" s="757"/>
      <c r="J1" s="433"/>
    </row>
    <row r="2" spans="1:11" ht="26.25" x14ac:dyDescent="0.2">
      <c r="A2" s="2464" t="s">
        <v>1677</v>
      </c>
      <c r="B2" s="2465"/>
      <c r="C2" s="2465"/>
      <c r="D2" s="2465"/>
      <c r="E2" s="2466"/>
      <c r="F2" s="758" t="s">
        <v>904</v>
      </c>
      <c r="G2" s="759" t="s">
        <v>1674</v>
      </c>
      <c r="H2" s="759" t="s">
        <v>410</v>
      </c>
      <c r="I2" s="759" t="s">
        <v>1158</v>
      </c>
      <c r="J2" s="759" t="s">
        <v>1809</v>
      </c>
      <c r="K2" s="759" t="s">
        <v>138</v>
      </c>
    </row>
    <row r="3" spans="1:11" x14ac:dyDescent="0.2">
      <c r="A3" s="2467" t="s">
        <v>1961</v>
      </c>
      <c r="B3" s="2468"/>
      <c r="C3" s="2468"/>
      <c r="D3" s="2468"/>
      <c r="E3" s="2469"/>
      <c r="F3" s="760"/>
      <c r="G3" s="761"/>
      <c r="H3" s="761"/>
      <c r="I3" s="761"/>
      <c r="J3" s="762"/>
      <c r="K3" s="762"/>
    </row>
    <row r="4" spans="1:11" x14ac:dyDescent="0.2">
      <c r="A4" s="2470" t="s">
        <v>369</v>
      </c>
      <c r="B4" s="2471"/>
      <c r="C4" s="2471"/>
      <c r="D4" s="2471"/>
      <c r="E4" s="2417"/>
      <c r="F4" s="763"/>
      <c r="G4" s="764"/>
      <c r="H4" s="765"/>
      <c r="I4" s="764"/>
      <c r="J4" s="766"/>
      <c r="K4" s="766"/>
    </row>
    <row r="5" spans="1:11" x14ac:dyDescent="0.2">
      <c r="A5" s="2448" t="s">
        <v>1069</v>
      </c>
      <c r="B5" s="2449"/>
      <c r="C5" s="2449"/>
      <c r="D5" s="2449"/>
      <c r="E5" s="2450"/>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448" t="s">
        <v>1810</v>
      </c>
      <c r="B10" s="2449"/>
      <c r="C10" s="2449"/>
      <c r="D10" s="2449"/>
      <c r="E10" s="2451"/>
      <c r="F10" s="780" t="s">
        <v>862</v>
      </c>
      <c r="G10" s="779"/>
      <c r="H10" s="781"/>
      <c r="I10" s="761"/>
      <c r="J10" s="762"/>
      <c r="K10" s="762"/>
    </row>
    <row r="11" spans="1:11" x14ac:dyDescent="0.2">
      <c r="A11" s="2448" t="s">
        <v>160</v>
      </c>
      <c r="B11" s="2449"/>
      <c r="C11" s="2449"/>
      <c r="D11" s="2449"/>
      <c r="E11" s="2450"/>
      <c r="F11" s="767" t="s">
        <v>852</v>
      </c>
      <c r="G11" s="768"/>
      <c r="H11" s="761"/>
      <c r="I11" s="761"/>
      <c r="J11" s="762"/>
      <c r="K11" s="770"/>
    </row>
    <row r="12" spans="1:11" ht="13.5" thickBot="1" x14ac:dyDescent="0.25">
      <c r="A12" s="2475" t="s">
        <v>905</v>
      </c>
      <c r="B12" s="2476"/>
      <c r="C12" s="2476"/>
      <c r="D12" s="2476"/>
      <c r="E12" s="2477"/>
      <c r="F12" s="1753"/>
      <c r="G12" s="1754">
        <f>SUM(G5:G11)</f>
        <v>0</v>
      </c>
      <c r="H12" s="1754">
        <f>SUM(H5:H11)</f>
        <v>0</v>
      </c>
      <c r="I12" s="1754">
        <f>SUM(I5:I11)</f>
        <v>0</v>
      </c>
      <c r="J12" s="1754">
        <f>SUM(J5:J11)</f>
        <v>0</v>
      </c>
      <c r="K12" s="1754">
        <f>SUM(K5:K11)</f>
        <v>0</v>
      </c>
    </row>
    <row r="13" spans="1:11" ht="13.5" thickTop="1" x14ac:dyDescent="0.2">
      <c r="A13" s="2472" t="s">
        <v>370</v>
      </c>
      <c r="B13" s="2473"/>
      <c r="C13" s="2473"/>
      <c r="D13" s="2473"/>
      <c r="E13" s="2474"/>
      <c r="F13" s="782"/>
      <c r="G13" s="783"/>
      <c r="H13" s="784"/>
      <c r="I13" s="785"/>
      <c r="J13" s="785"/>
      <c r="K13" s="785"/>
    </row>
    <row r="14" spans="1:11" x14ac:dyDescent="0.2">
      <c r="A14" s="2455" t="s">
        <v>456</v>
      </c>
      <c r="B14" s="2455"/>
      <c r="C14" s="2455"/>
      <c r="D14" s="2455"/>
      <c r="E14" s="2456"/>
      <c r="F14" s="786" t="s">
        <v>854</v>
      </c>
      <c r="G14" s="779"/>
      <c r="H14" s="761"/>
      <c r="I14" s="768"/>
      <c r="J14" s="770"/>
      <c r="K14" s="762"/>
    </row>
    <row r="15" spans="1:11" x14ac:dyDescent="0.2">
      <c r="A15" s="2449" t="s">
        <v>4</v>
      </c>
      <c r="B15" s="2449"/>
      <c r="C15" s="2449"/>
      <c r="D15" s="2449"/>
      <c r="E15" s="2450"/>
      <c r="F15" s="786" t="s">
        <v>855</v>
      </c>
      <c r="G15" s="768"/>
      <c r="H15" s="761"/>
      <c r="I15" s="761"/>
      <c r="J15" s="762"/>
      <c r="K15" s="762"/>
    </row>
    <row r="16" spans="1:11" x14ac:dyDescent="0.2">
      <c r="A16" s="2449" t="s">
        <v>298</v>
      </c>
      <c r="B16" s="2449"/>
      <c r="C16" s="2449"/>
      <c r="D16" s="2449"/>
      <c r="E16" s="2450"/>
      <c r="F16" s="786" t="s">
        <v>923</v>
      </c>
      <c r="G16" s="769"/>
      <c r="H16" s="764"/>
      <c r="I16" s="764"/>
      <c r="J16" s="766"/>
      <c r="K16" s="766"/>
    </row>
    <row r="17" spans="1:11" x14ac:dyDescent="0.2">
      <c r="A17" s="2480" t="s">
        <v>935</v>
      </c>
      <c r="B17" s="2480"/>
      <c r="C17" s="2480"/>
      <c r="D17" s="2480"/>
      <c r="E17" s="2481"/>
      <c r="F17" s="787"/>
      <c r="G17" s="788"/>
      <c r="H17" s="789"/>
      <c r="I17" s="789"/>
      <c r="J17" s="790"/>
      <c r="K17" s="791"/>
    </row>
    <row r="18" spans="1:11" x14ac:dyDescent="0.2">
      <c r="A18" s="2459" t="s">
        <v>368</v>
      </c>
      <c r="B18" s="2460"/>
      <c r="C18" s="2460"/>
      <c r="D18" s="2460"/>
      <c r="E18" s="2461"/>
      <c r="F18" s="786" t="s">
        <v>932</v>
      </c>
      <c r="G18" s="779"/>
      <c r="H18" s="779"/>
      <c r="I18" s="779"/>
      <c r="J18" s="762"/>
      <c r="K18" s="792"/>
    </row>
    <row r="19" spans="1:11" ht="21.75" customHeight="1" x14ac:dyDescent="0.2">
      <c r="A19" s="2457" t="s">
        <v>1806</v>
      </c>
      <c r="B19" s="2457"/>
      <c r="C19" s="2457"/>
      <c r="D19" s="2457"/>
      <c r="E19" s="2458"/>
      <c r="F19" s="786" t="s">
        <v>933</v>
      </c>
      <c r="G19" s="779"/>
      <c r="H19" s="779"/>
      <c r="I19" s="779"/>
      <c r="J19" s="762"/>
      <c r="K19" s="792"/>
    </row>
    <row r="20" spans="1:11" x14ac:dyDescent="0.2">
      <c r="A20" s="2459" t="s">
        <v>1811</v>
      </c>
      <c r="B20" s="2460"/>
      <c r="C20" s="2460"/>
      <c r="D20" s="2460"/>
      <c r="E20" s="2461"/>
      <c r="F20" s="786" t="s">
        <v>934</v>
      </c>
      <c r="G20" s="779"/>
      <c r="H20" s="779"/>
      <c r="I20" s="779"/>
      <c r="J20" s="762"/>
      <c r="K20" s="792"/>
    </row>
    <row r="21" spans="1:11" ht="13.5" thickBot="1" x14ac:dyDescent="0.25">
      <c r="A21" s="2478" t="s">
        <v>638</v>
      </c>
      <c r="B21" s="2478"/>
      <c r="C21" s="2478"/>
      <c r="D21" s="2478"/>
      <c r="E21" s="2478"/>
      <c r="F21" s="1755"/>
      <c r="G21" s="789"/>
      <c r="H21" s="793"/>
      <c r="I21" s="793"/>
      <c r="J21" s="1756">
        <f>SUM(J18:J20)</f>
        <v>0</v>
      </c>
      <c r="K21" s="790"/>
    </row>
    <row r="22" spans="1:11" ht="13.5" thickTop="1" x14ac:dyDescent="0.2">
      <c r="A22" s="2449" t="s">
        <v>1812</v>
      </c>
      <c r="B22" s="2449"/>
      <c r="C22" s="2449"/>
      <c r="D22" s="2449"/>
      <c r="E22" s="2450"/>
      <c r="F22" s="786" t="s">
        <v>862</v>
      </c>
      <c r="G22" s="779"/>
      <c r="H22" s="761"/>
      <c r="I22" s="761"/>
      <c r="J22" s="794"/>
      <c r="K22" s="762"/>
    </row>
    <row r="23" spans="1:11" ht="13.5" thickBot="1" x14ac:dyDescent="0.25">
      <c r="A23" s="2479" t="s">
        <v>906</v>
      </c>
      <c r="B23" s="2478"/>
      <c r="C23" s="2478"/>
      <c r="D23" s="2478"/>
      <c r="E23" s="2478"/>
      <c r="F23" s="1757"/>
      <c r="G23" s="1754">
        <f>SUM(G14:G16,G21,G22)</f>
        <v>0</v>
      </c>
      <c r="H23" s="1754">
        <f>SUM(H14:H16,H21,H22)</f>
        <v>0</v>
      </c>
      <c r="I23" s="1754">
        <f>SUM(I14:I16,I21,I22)</f>
        <v>0</v>
      </c>
      <c r="J23" s="1754">
        <f>SUM(J14:J16,J21,J22)</f>
        <v>0</v>
      </c>
      <c r="K23" s="1754">
        <f>SUM(K14:K16,K21,K22)</f>
        <v>0</v>
      </c>
    </row>
    <row r="24" spans="1:11" ht="14.25" thickTop="1" thickBot="1" x14ac:dyDescent="0.25">
      <c r="A24" s="2479" t="s">
        <v>1962</v>
      </c>
      <c r="B24" s="2478"/>
      <c r="C24" s="2478"/>
      <c r="D24" s="2478"/>
      <c r="E24" s="2478"/>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4" t="s">
        <v>1907</v>
      </c>
      <c r="B28" s="1875"/>
      <c r="C28" s="1875"/>
      <c r="D28" s="1875"/>
      <c r="E28" s="1876"/>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452"/>
      <c r="I31" s="2453"/>
      <c r="J31" s="2453"/>
      <c r="K31" s="2453"/>
    </row>
    <row r="32" spans="1:11" x14ac:dyDescent="0.2">
      <c r="A32" s="806"/>
      <c r="B32" s="237"/>
      <c r="C32" s="237"/>
      <c r="D32" s="237"/>
      <c r="E32" s="802"/>
      <c r="F32" s="808" t="s">
        <v>540</v>
      </c>
      <c r="G32" s="761"/>
      <c r="H32" s="2454"/>
      <c r="I32" s="2453"/>
      <c r="J32" s="2453"/>
      <c r="K32" s="2453"/>
    </row>
    <row r="33" spans="1:11" ht="1.5" customHeight="1" x14ac:dyDescent="0.2">
      <c r="A33" s="809" t="s">
        <v>1169</v>
      </c>
      <c r="B33" s="364"/>
      <c r="C33" s="364"/>
      <c r="D33" s="364"/>
      <c r="E33" s="364"/>
      <c r="F33" s="364"/>
      <c r="G33" s="810"/>
      <c r="H33" s="2454"/>
      <c r="I33" s="2453"/>
      <c r="J33" s="2453"/>
      <c r="K33" s="2453"/>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449" t="s">
        <v>541</v>
      </c>
      <c r="B41" s="2462"/>
      <c r="C41" s="2462"/>
      <c r="D41" s="2462"/>
      <c r="E41" s="2462"/>
      <c r="F41" s="246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1807</v>
      </c>
      <c r="B46" s="408" t="s">
        <v>1675</v>
      </c>
    </row>
    <row r="47" spans="1:11" s="820" customFormat="1" ht="12.75" customHeight="1" x14ac:dyDescent="0.2">
      <c r="A47" s="818"/>
      <c r="B47" s="819" t="s">
        <v>1676</v>
      </c>
      <c r="E47" s="819"/>
      <c r="K47" s="821"/>
    </row>
    <row r="48" spans="1:11" ht="12.75" customHeight="1" x14ac:dyDescent="0.2">
      <c r="A48" s="1528"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84" t="s">
        <v>1906</v>
      </c>
      <c r="B1" s="2485"/>
      <c r="C1" s="2486"/>
      <c r="D1" s="823"/>
      <c r="E1" s="824"/>
      <c r="F1" s="824"/>
      <c r="G1" s="825"/>
      <c r="H1" s="826"/>
      <c r="I1" s="827"/>
      <c r="J1" s="2482"/>
      <c r="K1" s="2483"/>
      <c r="L1" s="2483"/>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5" t="s">
        <v>892</v>
      </c>
      <c r="B3" s="1626">
        <v>210</v>
      </c>
      <c r="C3" s="832"/>
      <c r="D3" s="832"/>
      <c r="E3" s="832"/>
      <c r="F3" s="1756">
        <f>(C3+D3)-E3</f>
        <v>0</v>
      </c>
      <c r="G3" s="833"/>
      <c r="H3" s="832"/>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c r="D5" s="838"/>
      <c r="E5" s="838"/>
      <c r="F5" s="1756">
        <f>(C5+D5)-E5</f>
        <v>0</v>
      </c>
      <c r="G5" s="834"/>
      <c r="H5" s="839"/>
      <c r="I5" s="839"/>
      <c r="J5" s="839"/>
      <c r="K5" s="790"/>
      <c r="L5" s="1765">
        <f>F5-K5</f>
        <v>0</v>
      </c>
    </row>
    <row r="6" spans="1:14" ht="14.25" thickTop="1" thickBot="1" x14ac:dyDescent="0.25">
      <c r="A6" s="775" t="s">
        <v>1117</v>
      </c>
      <c r="B6" s="837">
        <v>222</v>
      </c>
      <c r="C6" s="762"/>
      <c r="D6" s="762"/>
      <c r="E6" s="762"/>
      <c r="F6" s="1756">
        <f>(C6+D6)-E6</f>
        <v>0</v>
      </c>
      <c r="G6" s="834">
        <v>50</v>
      </c>
      <c r="H6" s="762"/>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c r="D8" s="841"/>
      <c r="E8" s="841"/>
      <c r="F8" s="1756">
        <f>(C8+D8)-E8</f>
        <v>0</v>
      </c>
      <c r="G8" s="840">
        <v>50</v>
      </c>
      <c r="H8" s="762"/>
      <c r="I8" s="762"/>
      <c r="J8" s="762"/>
      <c r="K8" s="1765">
        <f>(H8+I8)-J8</f>
        <v>0</v>
      </c>
      <c r="L8" s="1765">
        <f>F8-K8</f>
        <v>0</v>
      </c>
    </row>
    <row r="9" spans="1:14" ht="14.25" thickTop="1" thickBot="1" x14ac:dyDescent="0.25">
      <c r="A9" s="775" t="s">
        <v>1119</v>
      </c>
      <c r="B9" s="837">
        <v>232</v>
      </c>
      <c r="C9" s="762"/>
      <c r="D9" s="762"/>
      <c r="E9" s="762"/>
      <c r="F9" s="1756">
        <f>(C9+D9)-E9</f>
        <v>0</v>
      </c>
      <c r="G9" s="840">
        <v>20</v>
      </c>
      <c r="H9" s="762"/>
      <c r="I9" s="762"/>
      <c r="J9" s="762"/>
      <c r="K9" s="1765">
        <f>(H9+I9)-J9</f>
        <v>0</v>
      </c>
      <c r="L9" s="1765">
        <f>F9-K9</f>
        <v>0</v>
      </c>
    </row>
    <row r="10" spans="1:14" ht="24" thickTop="1" thickBot="1" x14ac:dyDescent="0.25">
      <c r="A10" s="842" t="s">
        <v>1120</v>
      </c>
      <c r="B10" s="837">
        <v>240</v>
      </c>
      <c r="C10" s="843"/>
      <c r="D10" s="843"/>
      <c r="E10" s="843"/>
      <c r="F10" s="1760">
        <f>(C10+D10)-E10</f>
        <v>0</v>
      </c>
      <c r="G10" s="840">
        <v>20</v>
      </c>
      <c r="H10" s="844"/>
      <c r="I10" s="844"/>
      <c r="J10" s="844"/>
      <c r="K10" s="1765">
        <f>(H10+I10)-J10</f>
        <v>0</v>
      </c>
      <c r="L10" s="1765">
        <f>F10-K10</f>
        <v>0</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989563</v>
      </c>
      <c r="D12" s="841">
        <v>74211</v>
      </c>
      <c r="E12" s="841"/>
      <c r="F12" s="1756">
        <f>(C12+D12)-E12</f>
        <v>1063774</v>
      </c>
      <c r="G12" s="840">
        <v>10</v>
      </c>
      <c r="H12" s="762">
        <v>833818</v>
      </c>
      <c r="I12" s="762">
        <v>36479</v>
      </c>
      <c r="J12" s="762"/>
      <c r="K12" s="1765">
        <f>(H12+I12)-J12</f>
        <v>870297</v>
      </c>
      <c r="L12" s="1765">
        <f>F12-K12</f>
        <v>193477</v>
      </c>
    </row>
    <row r="13" spans="1:14" ht="14.25" thickTop="1" thickBot="1" x14ac:dyDescent="0.25">
      <c r="A13" s="845" t="s">
        <v>1122</v>
      </c>
      <c r="B13" s="837">
        <v>252</v>
      </c>
      <c r="C13" s="841"/>
      <c r="D13" s="841"/>
      <c r="E13" s="841"/>
      <c r="F13" s="1756">
        <f>(C13+D13)-E13</f>
        <v>0</v>
      </c>
      <c r="G13" s="840">
        <v>5</v>
      </c>
      <c r="H13" s="762"/>
      <c r="I13" s="762"/>
      <c r="J13" s="762"/>
      <c r="K13" s="1765">
        <f>(H13+I13)-J13</f>
        <v>0</v>
      </c>
      <c r="L13" s="1765">
        <f>F13-K13</f>
        <v>0</v>
      </c>
    </row>
    <row r="14" spans="1:14" ht="14.25" thickTop="1" thickBot="1" x14ac:dyDescent="0.25">
      <c r="A14" s="845" t="s">
        <v>1123</v>
      </c>
      <c r="B14" s="837">
        <v>253</v>
      </c>
      <c r="C14" s="762"/>
      <c r="D14" s="762"/>
      <c r="E14" s="762"/>
      <c r="F14" s="1756">
        <f>(C14+D14)-E14</f>
        <v>0</v>
      </c>
      <c r="G14" s="840">
        <v>3</v>
      </c>
      <c r="H14" s="762"/>
      <c r="I14" s="762"/>
      <c r="J14" s="762"/>
      <c r="K14" s="1765">
        <f>(H14+I14)-J14</f>
        <v>0</v>
      </c>
      <c r="L14" s="1765">
        <f>F14-K14</f>
        <v>0</v>
      </c>
    </row>
    <row r="15" spans="1:14" ht="15" customHeight="1" thickTop="1" thickBot="1" x14ac:dyDescent="0.25">
      <c r="A15" s="1627" t="s">
        <v>528</v>
      </c>
      <c r="B15" s="1626">
        <v>260</v>
      </c>
      <c r="C15" s="841"/>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989563</v>
      </c>
      <c r="D16" s="1756">
        <f>SUM(D3,D5:D6,D8:D10,D12:D15)</f>
        <v>74211</v>
      </c>
      <c r="E16" s="1756">
        <f>SUM(E3,E5:E6,E8:E10,E12:E15)</f>
        <v>0</v>
      </c>
      <c r="F16" s="1756">
        <f>SUM(F3,F5:F6,F8:F10,F12:F15)</f>
        <v>1063774</v>
      </c>
      <c r="G16" s="840"/>
      <c r="H16" s="1756">
        <f>SUM(H3,H6,H8:H10,H12:H14,)</f>
        <v>833818</v>
      </c>
      <c r="I16" s="1756">
        <f>SUM(I3,I6,I8:I10,I12:I14,)</f>
        <v>36479</v>
      </c>
      <c r="J16" s="1756">
        <f>SUM(J3,J6,J8:J10,J12:J14,)</f>
        <v>0</v>
      </c>
      <c r="K16" s="1756">
        <f>(H16+I16)-J16</f>
        <v>870297</v>
      </c>
      <c r="L16" s="1756">
        <f>F16-K16</f>
        <v>193477</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36479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16" sqref="F1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90" t="s">
        <v>1972</v>
      </c>
      <c r="B1" s="2491"/>
      <c r="C1" s="2491"/>
      <c r="D1" s="2491"/>
      <c r="E1" s="2491"/>
      <c r="F1" s="2492"/>
      <c r="G1" s="852"/>
    </row>
    <row r="2" spans="1:7" ht="15" customHeight="1" thickBot="1" x14ac:dyDescent="0.25">
      <c r="A2" s="2493" t="s">
        <v>477</v>
      </c>
      <c r="B2" s="2494"/>
      <c r="C2" s="2494"/>
      <c r="D2" s="2494"/>
      <c r="E2" s="2494"/>
      <c r="F2" s="2495"/>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96"/>
      <c r="B5" s="2497"/>
      <c r="C5" s="2497"/>
      <c r="D5" s="2497"/>
      <c r="E5" s="2497"/>
      <c r="F5" s="2497"/>
    </row>
    <row r="6" spans="1:7" ht="13.5" customHeight="1" thickBot="1" x14ac:dyDescent="0.25">
      <c r="A6" s="2487" t="s">
        <v>1104</v>
      </c>
      <c r="B6" s="2488"/>
      <c r="C6" s="2488"/>
      <c r="D6" s="2488"/>
      <c r="E6" s="2488"/>
      <c r="F6" s="2489"/>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2">
        <f>'Expenditures 15-22'!K114</f>
        <v>6070646</v>
      </c>
      <c r="G8" s="862"/>
    </row>
    <row r="9" spans="1:7" x14ac:dyDescent="0.2">
      <c r="A9" s="866" t="s">
        <v>460</v>
      </c>
      <c r="B9" s="867" t="s">
        <v>1874</v>
      </c>
      <c r="C9" s="868"/>
      <c r="D9" s="866" t="s">
        <v>501</v>
      </c>
      <c r="E9" s="865"/>
      <c r="F9" s="1903">
        <f>'Expenditures 15-22'!K151</f>
        <v>0</v>
      </c>
      <c r="G9" s="869"/>
    </row>
    <row r="10" spans="1:7" x14ac:dyDescent="0.2">
      <c r="A10" s="866" t="s">
        <v>499</v>
      </c>
      <c r="B10" s="867" t="s">
        <v>1875</v>
      </c>
      <c r="C10" s="868"/>
      <c r="D10" s="866" t="s">
        <v>501</v>
      </c>
      <c r="E10" s="865"/>
      <c r="F10" s="1903">
        <f>'Expenditures 15-22'!K174</f>
        <v>0</v>
      </c>
      <c r="G10" s="869"/>
    </row>
    <row r="11" spans="1:7" x14ac:dyDescent="0.2">
      <c r="A11" s="866" t="s">
        <v>461</v>
      </c>
      <c r="B11" s="867" t="s">
        <v>1876</v>
      </c>
      <c r="C11" s="868"/>
      <c r="D11" s="866" t="s">
        <v>501</v>
      </c>
      <c r="E11" s="865"/>
      <c r="F11" s="1903">
        <f>'Expenditures 15-22'!K210</f>
        <v>0</v>
      </c>
      <c r="G11" s="869"/>
    </row>
    <row r="12" spans="1:7" x14ac:dyDescent="0.2">
      <c r="A12" s="866" t="s">
        <v>462</v>
      </c>
      <c r="B12" s="867" t="s">
        <v>1877</v>
      </c>
      <c r="C12" s="868"/>
      <c r="D12" s="866" t="s">
        <v>501</v>
      </c>
      <c r="E12" s="865"/>
      <c r="F12" s="1903">
        <f>'Expenditures 15-22'!K295</f>
        <v>0</v>
      </c>
      <c r="G12" s="869"/>
    </row>
    <row r="13" spans="1:7" x14ac:dyDescent="0.2">
      <c r="A13" s="866" t="s">
        <v>106</v>
      </c>
      <c r="B13" s="867" t="s">
        <v>1878</v>
      </c>
      <c r="C13" s="868"/>
      <c r="D13" s="866" t="s">
        <v>501</v>
      </c>
      <c r="E13" s="865"/>
      <c r="F13" s="1903">
        <f>'Expenditures 15-22'!K342</f>
        <v>0</v>
      </c>
      <c r="G13" s="870"/>
    </row>
    <row r="14" spans="1:7" ht="12" customHeight="1" thickBot="1" x14ac:dyDescent="0.25">
      <c r="A14" s="1766"/>
      <c r="B14" s="1767"/>
      <c r="C14" s="1768"/>
      <c r="D14" s="1769" t="s">
        <v>501</v>
      </c>
      <c r="E14" s="1770" t="s">
        <v>958</v>
      </c>
      <c r="F14" s="1771">
        <f>SUM(F8:F13)</f>
        <v>6070646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4">
        <f>'Revenues 9-14'!F43</f>
        <v>0</v>
      </c>
      <c r="G18" s="862"/>
    </row>
    <row r="19" spans="1:7" x14ac:dyDescent="0.2">
      <c r="A19" s="866" t="s">
        <v>461</v>
      </c>
      <c r="B19" s="867" t="s">
        <v>1011</v>
      </c>
      <c r="C19" s="874">
        <f>'Revenues 9-14'!B47</f>
        <v>1421</v>
      </c>
      <c r="D19" s="875" t="str">
        <f>'Revenues 9-14'!A47</f>
        <v>Summer Sch - Transp. Fees from Pupils or Parents (In State)</v>
      </c>
      <c r="E19" s="876"/>
      <c r="F19" s="1905">
        <f>'Revenues 9-14'!F47</f>
        <v>0</v>
      </c>
      <c r="G19" s="862"/>
    </row>
    <row r="20" spans="1:7" x14ac:dyDescent="0.2">
      <c r="A20" s="866" t="s">
        <v>461</v>
      </c>
      <c r="B20" s="867" t="s">
        <v>1012</v>
      </c>
      <c r="C20" s="872">
        <f>'Revenues 9-14'!B48</f>
        <v>1422</v>
      </c>
      <c r="D20" s="873" t="str">
        <f>'Revenues 9-14'!A48</f>
        <v>Summer Sch - Transp. Fees from Other Districts (In State)</v>
      </c>
      <c r="E20" s="865"/>
      <c r="F20" s="1906">
        <f>'Revenues 9-14'!F48</f>
        <v>0</v>
      </c>
      <c r="G20" s="862"/>
    </row>
    <row r="21" spans="1:7" x14ac:dyDescent="0.2">
      <c r="A21" s="866" t="s">
        <v>461</v>
      </c>
      <c r="B21" s="867" t="s">
        <v>1013</v>
      </c>
      <c r="C21" s="874">
        <f>'Revenues 9-14'!B49</f>
        <v>1423</v>
      </c>
      <c r="D21" s="873" t="str">
        <f>'Revenues 9-14'!A49</f>
        <v>Summer Sch - Transp. Fees from Other Sources (In State)</v>
      </c>
      <c r="E21" s="865"/>
      <c r="F21" s="1907">
        <f>'Revenues 9-14'!F49</f>
        <v>0</v>
      </c>
      <c r="G21" s="862"/>
    </row>
    <row r="22" spans="1:7" x14ac:dyDescent="0.2">
      <c r="A22" s="866" t="s">
        <v>461</v>
      </c>
      <c r="B22" s="867" t="s">
        <v>1014</v>
      </c>
      <c r="C22" s="874">
        <f>'Revenues 9-14'!B50</f>
        <v>1424</v>
      </c>
      <c r="D22" s="873" t="str">
        <f>'Revenues 9-14'!A50</f>
        <v>Summer Sch - Transp. Fees from Other Sources (Out of State)</v>
      </c>
      <c r="E22" s="865"/>
      <c r="F22" s="1907">
        <f>'Revenues 9-14'!F50</f>
        <v>0</v>
      </c>
      <c r="G22" s="862"/>
    </row>
    <row r="23" spans="1:7" x14ac:dyDescent="0.2">
      <c r="A23" s="866" t="s">
        <v>461</v>
      </c>
      <c r="B23" s="867" t="s">
        <v>1015</v>
      </c>
      <c r="C23" s="872">
        <f>'Revenues 9-14'!B52</f>
        <v>1432</v>
      </c>
      <c r="D23" s="873" t="str">
        <f>'Revenues 9-14'!A52</f>
        <v>CTE - Transp Fees from Other Districts (In State)</v>
      </c>
      <c r="E23" s="865"/>
      <c r="F23" s="1907">
        <f>'Revenues 9-14'!F52</f>
        <v>0</v>
      </c>
      <c r="G23" s="862"/>
    </row>
    <row r="24" spans="1:7" x14ac:dyDescent="0.2">
      <c r="A24" s="866" t="s">
        <v>461</v>
      </c>
      <c r="B24" s="867" t="s">
        <v>1016</v>
      </c>
      <c r="C24" s="872">
        <f>'Revenues 9-14'!B56</f>
        <v>1442</v>
      </c>
      <c r="D24" s="873" t="str">
        <f>'Revenues 9-14'!A56</f>
        <v>Special Ed - Transp Fees from Other Districts (In State)</v>
      </c>
      <c r="E24" s="865"/>
      <c r="F24" s="1907">
        <f>'Revenues 9-14'!F56</f>
        <v>0</v>
      </c>
      <c r="G24" s="862"/>
    </row>
    <row r="25" spans="1:7" x14ac:dyDescent="0.2">
      <c r="A25" s="866" t="s">
        <v>461</v>
      </c>
      <c r="B25" s="867" t="s">
        <v>1017</v>
      </c>
      <c r="C25" s="872">
        <f>'Revenues 9-14'!B59</f>
        <v>1451</v>
      </c>
      <c r="D25" s="873" t="str">
        <f>'Revenues 9-14'!A59</f>
        <v>Adult - Transp Fees from Pupils or Parents (In State)</v>
      </c>
      <c r="E25" s="865"/>
      <c r="F25" s="1907">
        <f>'Revenues 9-14'!F59</f>
        <v>0</v>
      </c>
      <c r="G25" s="862"/>
    </row>
    <row r="26" spans="1:7" x14ac:dyDescent="0.2">
      <c r="A26" s="866" t="s">
        <v>461</v>
      </c>
      <c r="B26" s="867" t="s">
        <v>1018</v>
      </c>
      <c r="C26" s="872">
        <f>'Revenues 9-14'!B60</f>
        <v>1452</v>
      </c>
      <c r="D26" s="873" t="str">
        <f>'Revenues 9-14'!A60</f>
        <v>Adult - Transp Fees from Other Districts (In State)</v>
      </c>
      <c r="E26" s="865"/>
      <c r="F26" s="1907">
        <f>'Revenues 9-14'!F60</f>
        <v>0</v>
      </c>
      <c r="G26" s="862"/>
    </row>
    <row r="27" spans="1:7" x14ac:dyDescent="0.2">
      <c r="A27" s="866" t="s">
        <v>461</v>
      </c>
      <c r="B27" s="867" t="s">
        <v>1019</v>
      </c>
      <c r="C27" s="872">
        <f>'Revenues 9-14'!B61</f>
        <v>1453</v>
      </c>
      <c r="D27" s="873" t="str">
        <f>'Revenues 9-14'!A61</f>
        <v>Adult - Transp Fees from Other Sources (In State)</v>
      </c>
      <c r="E27" s="865"/>
      <c r="F27" s="1907">
        <f>'Revenues 9-14'!F61</f>
        <v>0</v>
      </c>
      <c r="G27" s="862"/>
    </row>
    <row r="28" spans="1:7" x14ac:dyDescent="0.2">
      <c r="A28" s="866" t="s">
        <v>461</v>
      </c>
      <c r="B28" s="867" t="s">
        <v>1020</v>
      </c>
      <c r="C28" s="872">
        <f>'Revenues 9-14'!B62</f>
        <v>1454</v>
      </c>
      <c r="D28" s="873" t="str">
        <f>'Revenues 9-14'!A62</f>
        <v>Adult - Transp Fees from Other Sources (Out of State)</v>
      </c>
      <c r="E28" s="865"/>
      <c r="F28" s="1907">
        <f>'Revenues 9-14'!F62</f>
        <v>0</v>
      </c>
      <c r="G28" s="862"/>
    </row>
    <row r="29" spans="1:7" x14ac:dyDescent="0.2">
      <c r="A29" s="866" t="s">
        <v>1097</v>
      </c>
      <c r="B29" s="867" t="s">
        <v>810</v>
      </c>
      <c r="C29" s="877">
        <f>'Revenues 9-14'!B149</f>
        <v>3410</v>
      </c>
      <c r="D29" s="878" t="str">
        <f>'Revenues 9-14'!A149</f>
        <v>Adult Ed (from ICCB)</v>
      </c>
      <c r="E29" s="865"/>
      <c r="F29" s="1907">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08">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07">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07">
        <f>SUM('Revenues 9-14'!D212,'Revenues 9-14'!F212)</f>
        <v>0</v>
      </c>
      <c r="G32" s="862"/>
    </row>
    <row r="33" spans="1:7" x14ac:dyDescent="0.2">
      <c r="A33" s="866" t="s">
        <v>460</v>
      </c>
      <c r="B33" s="867" t="s">
        <v>1999</v>
      </c>
      <c r="C33" s="872">
        <f>'Revenues 9-14'!B222</f>
        <v>4810</v>
      </c>
      <c r="D33" s="880" t="str">
        <f>'Revenues 9-14'!A222</f>
        <v>Federal - Adult Education</v>
      </c>
      <c r="E33" s="865"/>
      <c r="F33" s="1907">
        <f>'Revenues 9-14'!D222</f>
        <v>0</v>
      </c>
      <c r="G33" s="862"/>
    </row>
    <row r="34" spans="1:7" x14ac:dyDescent="0.2">
      <c r="A34" s="866" t="s">
        <v>459</v>
      </c>
      <c r="B34" s="866" t="s">
        <v>1469</v>
      </c>
      <c r="C34" s="883" t="str">
        <f>'Expenditures 15-22'!B7</f>
        <v>1125</v>
      </c>
      <c r="D34" s="884" t="str">
        <f>'Expenditures 15-22'!A7</f>
        <v>Pre-K Programs</v>
      </c>
      <c r="E34" s="865"/>
      <c r="F34" s="1907">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7">
        <f>'Expenditures 15-22'!K9-SUM('Expenditures 15-22'!G9+'Expenditures 15-22'!I9)</f>
        <v>293706</v>
      </c>
      <c r="G35" s="862"/>
    </row>
    <row r="36" spans="1:7" x14ac:dyDescent="0.2">
      <c r="A36" s="866" t="s">
        <v>459</v>
      </c>
      <c r="B36" s="866" t="s">
        <v>116</v>
      </c>
      <c r="C36" s="883" t="str">
        <f>'Expenditures 15-22'!B11</f>
        <v>1275</v>
      </c>
      <c r="D36" s="884" t="str">
        <f>'Expenditures 15-22'!A11</f>
        <v>Remedial and Supplemental Programs Pre-K</v>
      </c>
      <c r="E36" s="865"/>
      <c r="F36" s="1907">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7">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7">
        <f>'Expenditures 15-22'!K15-SUM('Expenditures 15-22'!G15,'Expenditures 15-22'!I15)</f>
        <v>4228</v>
      </c>
      <c r="G38" s="862"/>
    </row>
    <row r="39" spans="1:7" x14ac:dyDescent="0.2">
      <c r="A39" s="866" t="s">
        <v>459</v>
      </c>
      <c r="B39" s="866" t="s">
        <v>117</v>
      </c>
      <c r="C39" s="883" t="str">
        <f>'Expenditures 15-22'!B20</f>
        <v>1910</v>
      </c>
      <c r="D39" s="885" t="str">
        <f>'Expenditures 15-22'!A20</f>
        <v>Pre-K Programs - Private Tuition</v>
      </c>
      <c r="E39" s="865"/>
      <c r="F39" s="1907">
        <f>'Expenditures 15-22'!K20</f>
        <v>0</v>
      </c>
      <c r="G39" s="862"/>
    </row>
    <row r="40" spans="1:7" x14ac:dyDescent="0.2">
      <c r="A40" s="866" t="s">
        <v>459</v>
      </c>
      <c r="B40" s="866" t="s">
        <v>118</v>
      </c>
      <c r="C40" s="883" t="str">
        <f>'Expenditures 15-22'!B21</f>
        <v>1911</v>
      </c>
      <c r="D40" s="885" t="str">
        <f>'Expenditures 15-22'!A21</f>
        <v>Regular K-12 Programs - Private Tuition</v>
      </c>
      <c r="E40" s="865"/>
      <c r="F40" s="1907">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7">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7">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7">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7">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7">
        <f>'Expenditures 15-22'!K26</f>
        <v>0</v>
      </c>
      <c r="G45" s="862"/>
    </row>
    <row r="46" spans="1:7" x14ac:dyDescent="0.2">
      <c r="A46" s="866" t="s">
        <v>459</v>
      </c>
      <c r="B46" s="866" t="s">
        <v>124</v>
      </c>
      <c r="C46" s="883" t="str">
        <f>'Expenditures 15-22'!B27</f>
        <v>1917</v>
      </c>
      <c r="D46" s="885" t="str">
        <f>'Expenditures 15-22'!A27</f>
        <v>CTE Programs - Private Tuition</v>
      </c>
      <c r="E46" s="865"/>
      <c r="F46" s="1907">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7">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7">
        <f>'Expenditures 15-22'!K29</f>
        <v>0</v>
      </c>
      <c r="G48" s="862"/>
    </row>
    <row r="49" spans="1:7" x14ac:dyDescent="0.2">
      <c r="A49" s="866" t="s">
        <v>459</v>
      </c>
      <c r="B49" s="866" t="s">
        <v>127</v>
      </c>
      <c r="C49" s="883" t="str">
        <f>'Expenditures 15-22'!B30</f>
        <v>1920</v>
      </c>
      <c r="D49" s="885" t="str">
        <f>'Expenditures 15-22'!A30</f>
        <v>Gifted Programs - Private Tuition</v>
      </c>
      <c r="E49" s="865"/>
      <c r="F49" s="1907">
        <f>'Expenditures 15-22'!K30</f>
        <v>0</v>
      </c>
      <c r="G49" s="862"/>
    </row>
    <row r="50" spans="1:7" x14ac:dyDescent="0.2">
      <c r="A50" s="866" t="s">
        <v>459</v>
      </c>
      <c r="B50" s="866" t="s">
        <v>128</v>
      </c>
      <c r="C50" s="883" t="str">
        <f>'Expenditures 15-22'!B31</f>
        <v>1921</v>
      </c>
      <c r="D50" s="885" t="str">
        <f>'Expenditures 15-22'!A31</f>
        <v>Bilingual Programs - Private Tuition</v>
      </c>
      <c r="E50" s="865"/>
      <c r="F50" s="1907">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7">
        <f>'Expenditures 15-22'!K32</f>
        <v>0</v>
      </c>
      <c r="G51" s="862"/>
    </row>
    <row r="52" spans="1:7" x14ac:dyDescent="0.2">
      <c r="A52" s="866" t="s">
        <v>459</v>
      </c>
      <c r="B52" s="866" t="s">
        <v>1474</v>
      </c>
      <c r="C52" s="886" t="str">
        <f>'Expenditures 15-22'!B75</f>
        <v>3000</v>
      </c>
      <c r="D52" s="885" t="s">
        <v>449</v>
      </c>
      <c r="E52" s="865"/>
      <c r="F52" s="1907">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07">
        <f>'Expenditures 15-22'!K102</f>
        <v>442158</v>
      </c>
      <c r="G53" s="862"/>
    </row>
    <row r="54" spans="1:7" x14ac:dyDescent="0.2">
      <c r="A54" s="866" t="s">
        <v>459</v>
      </c>
      <c r="B54" s="866" t="s">
        <v>1476</v>
      </c>
      <c r="C54" s="886" t="s">
        <v>982</v>
      </c>
      <c r="D54" s="882" t="s">
        <v>1095</v>
      </c>
      <c r="E54" s="865"/>
      <c r="F54" s="1907">
        <f>'Expenditures 15-22'!G114</f>
        <v>74211</v>
      </c>
      <c r="G54" s="862"/>
    </row>
    <row r="55" spans="1:7" x14ac:dyDescent="0.2">
      <c r="A55" s="866" t="s">
        <v>459</v>
      </c>
      <c r="B55" s="866" t="s">
        <v>1477</v>
      </c>
      <c r="C55" s="886" t="s">
        <v>982</v>
      </c>
      <c r="D55" s="882" t="s">
        <v>291</v>
      </c>
      <c r="E55" s="865"/>
      <c r="F55" s="1907">
        <f>'Expenditures 15-22'!I114</f>
        <v>0</v>
      </c>
      <c r="G55" s="862"/>
    </row>
    <row r="56" spans="1:7" x14ac:dyDescent="0.2">
      <c r="A56" s="866" t="s">
        <v>460</v>
      </c>
      <c r="B56" s="866" t="s">
        <v>1478</v>
      </c>
      <c r="C56" s="883" t="str">
        <f>'Expenditures 15-22'!B130</f>
        <v>3000</v>
      </c>
      <c r="D56" s="889" t="s">
        <v>449</v>
      </c>
      <c r="E56" s="865"/>
      <c r="F56" s="1907">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07">
        <f>'Expenditures 15-22'!K139</f>
        <v>0</v>
      </c>
      <c r="G57" s="862"/>
    </row>
    <row r="58" spans="1:7" x14ac:dyDescent="0.2">
      <c r="A58" s="866" t="s">
        <v>460</v>
      </c>
      <c r="B58" s="866" t="s">
        <v>1880</v>
      </c>
      <c r="C58" s="883" t="s">
        <v>982</v>
      </c>
      <c r="D58" s="882" t="s">
        <v>1095</v>
      </c>
      <c r="E58" s="865"/>
      <c r="F58" s="1909">
        <f>'Expenditures 15-22'!G151</f>
        <v>0</v>
      </c>
      <c r="G58" s="862"/>
    </row>
    <row r="59" spans="1:7" x14ac:dyDescent="0.2">
      <c r="A59" s="890" t="s">
        <v>460</v>
      </c>
      <c r="B59" s="853" t="s">
        <v>1881</v>
      </c>
      <c r="C59" s="891" t="s">
        <v>982</v>
      </c>
      <c r="D59" s="853" t="s">
        <v>291</v>
      </c>
      <c r="F59" s="1910">
        <f>'Expenditures 15-22'!I151</f>
        <v>0</v>
      </c>
      <c r="G59" s="862"/>
    </row>
    <row r="60" spans="1:7" x14ac:dyDescent="0.2">
      <c r="A60" s="890" t="s">
        <v>499</v>
      </c>
      <c r="B60" s="853" t="s">
        <v>1882</v>
      </c>
      <c r="C60" s="891">
        <v>4000</v>
      </c>
      <c r="D60" s="853" t="s">
        <v>312</v>
      </c>
      <c r="F60" s="1908">
        <f>'Expenditures 15-22'!K160</f>
        <v>0</v>
      </c>
      <c r="G60" s="862"/>
    </row>
    <row r="61" spans="1:7" x14ac:dyDescent="0.2">
      <c r="A61" s="892" t="s">
        <v>499</v>
      </c>
      <c r="B61" s="892" t="s">
        <v>1883</v>
      </c>
      <c r="C61" s="893" t="str">
        <f>'Expenditures 15-22'!B170</f>
        <v>5300</v>
      </c>
      <c r="D61" s="894" t="s">
        <v>311</v>
      </c>
      <c r="E61" s="876"/>
      <c r="F61" s="1907">
        <f>'Expenditures 15-22'!K170</f>
        <v>0</v>
      </c>
      <c r="G61" s="862"/>
    </row>
    <row r="62" spans="1:7" x14ac:dyDescent="0.2">
      <c r="A62" s="866" t="s">
        <v>461</v>
      </c>
      <c r="B62" s="866" t="s">
        <v>1884</v>
      </c>
      <c r="C62" s="883">
        <f>'Expenditures 15-22'!B185</f>
        <v>3000</v>
      </c>
      <c r="D62" s="873" t="s">
        <v>449</v>
      </c>
      <c r="E62" s="865"/>
      <c r="F62" s="1907">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07">
        <f>'Expenditures 15-22'!K196</f>
        <v>0</v>
      </c>
      <c r="G63" s="862"/>
    </row>
    <row r="64" spans="1:7" x14ac:dyDescent="0.2">
      <c r="A64" s="892" t="s">
        <v>461</v>
      </c>
      <c r="B64" s="892" t="s">
        <v>1886</v>
      </c>
      <c r="C64" s="893" t="str">
        <f>'Expenditures 15-22'!B206</f>
        <v>5300</v>
      </c>
      <c r="D64" s="889" t="s">
        <v>311</v>
      </c>
      <c r="E64" s="865"/>
      <c r="F64" s="1907">
        <f>'Expenditures 15-22'!K206</f>
        <v>0</v>
      </c>
      <c r="G64" s="862"/>
    </row>
    <row r="65" spans="1:8" x14ac:dyDescent="0.2">
      <c r="A65" s="866" t="s">
        <v>461</v>
      </c>
      <c r="B65" s="866" t="s">
        <v>1887</v>
      </c>
      <c r="C65" s="883" t="s">
        <v>982</v>
      </c>
      <c r="D65" s="882" t="s">
        <v>1095</v>
      </c>
      <c r="E65" s="865"/>
      <c r="F65" s="1907">
        <f>'Expenditures 15-22'!G210</f>
        <v>0</v>
      </c>
      <c r="G65" s="862"/>
    </row>
    <row r="66" spans="1:8" x14ac:dyDescent="0.2">
      <c r="A66" s="866" t="s">
        <v>461</v>
      </c>
      <c r="B66" s="866" t="s">
        <v>1888</v>
      </c>
      <c r="C66" s="883" t="s">
        <v>982</v>
      </c>
      <c r="D66" s="882" t="s">
        <v>291</v>
      </c>
      <c r="E66" s="865"/>
      <c r="F66" s="1907">
        <f>'Expenditures 15-22'!I210</f>
        <v>0</v>
      </c>
      <c r="G66" s="862"/>
    </row>
    <row r="67" spans="1:8" x14ac:dyDescent="0.2">
      <c r="A67" s="866" t="s">
        <v>462</v>
      </c>
      <c r="B67" s="866" t="s">
        <v>1889</v>
      </c>
      <c r="C67" s="883" t="str">
        <f>'Expenditures 15-22'!B216</f>
        <v>1125</v>
      </c>
      <c r="D67" s="889" t="str">
        <f>'Expenditures 15-22'!A216</f>
        <v>Pre-K Programs</v>
      </c>
      <c r="E67" s="865"/>
      <c r="F67" s="1907">
        <f>'Expenditures 15-22'!K216</f>
        <v>0</v>
      </c>
      <c r="G67" s="862"/>
    </row>
    <row r="68" spans="1:8" x14ac:dyDescent="0.2">
      <c r="A68" s="866" t="s">
        <v>462</v>
      </c>
      <c r="B68" s="866" t="s">
        <v>1479</v>
      </c>
      <c r="C68" s="883" t="str">
        <f>'Expenditures 15-22'!B218</f>
        <v>1225</v>
      </c>
      <c r="D68" s="889" t="str">
        <f>'Expenditures 15-22'!A218</f>
        <v>Special Education Programs - Pre-K</v>
      </c>
      <c r="E68" s="865"/>
      <c r="F68" s="1907">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07">
        <f>'Expenditures 15-22'!K220</f>
        <v>0</v>
      </c>
      <c r="G69" s="862"/>
    </row>
    <row r="70" spans="1:8" x14ac:dyDescent="0.2">
      <c r="A70" s="866" t="s">
        <v>462</v>
      </c>
      <c r="B70" s="866" t="s">
        <v>1891</v>
      </c>
      <c r="C70" s="883">
        <f>'Expenditures 15-22'!B221</f>
        <v>1300</v>
      </c>
      <c r="D70" s="884" t="str">
        <f>'Expenditures 15-22'!A221</f>
        <v>Adult/Continuing Education Programs</v>
      </c>
      <c r="E70" s="865"/>
      <c r="F70" s="1907">
        <f>'Expenditures 15-22'!K221</f>
        <v>0</v>
      </c>
      <c r="G70" s="862"/>
    </row>
    <row r="71" spans="1:8" x14ac:dyDescent="0.2">
      <c r="A71" s="866" t="s">
        <v>462</v>
      </c>
      <c r="B71" s="866" t="s">
        <v>1892</v>
      </c>
      <c r="C71" s="883">
        <f>'Expenditures 15-22'!B224</f>
        <v>1600</v>
      </c>
      <c r="D71" s="884" t="str">
        <f>'Expenditures 15-22'!A224</f>
        <v>Summer School Programs</v>
      </c>
      <c r="E71" s="865"/>
      <c r="F71" s="1907">
        <f>'Expenditures 15-22'!K224</f>
        <v>0</v>
      </c>
      <c r="G71" s="862"/>
    </row>
    <row r="72" spans="1:8" x14ac:dyDescent="0.2">
      <c r="A72" s="866" t="s">
        <v>462</v>
      </c>
      <c r="B72" s="866" t="s">
        <v>1893</v>
      </c>
      <c r="C72" s="883">
        <f>'Expenditures 15-22'!B280</f>
        <v>3000</v>
      </c>
      <c r="D72" s="873" t="s">
        <v>449</v>
      </c>
      <c r="E72" s="865"/>
      <c r="F72" s="1907">
        <f>'Expenditures 15-22'!K280</f>
        <v>0</v>
      </c>
      <c r="G72" s="862"/>
    </row>
    <row r="73" spans="1:8" x14ac:dyDescent="0.2">
      <c r="A73" s="866" t="s">
        <v>462</v>
      </c>
      <c r="B73" s="866" t="s">
        <v>1894</v>
      </c>
      <c r="C73" s="883" t="str">
        <f>'Expenditures 15-22'!B285</f>
        <v>4000</v>
      </c>
      <c r="D73" s="884" t="str">
        <f>'Expenditures 15-22'!A285</f>
        <v>Total Payments to Other Govt Units</v>
      </c>
      <c r="E73" s="865"/>
      <c r="F73" s="1907">
        <f>'Expenditures 15-22'!K285</f>
        <v>0</v>
      </c>
      <c r="G73" s="862"/>
    </row>
    <row r="74" spans="1:8" x14ac:dyDescent="0.2">
      <c r="A74" s="866" t="s">
        <v>436</v>
      </c>
      <c r="B74" s="866" t="s">
        <v>1895</v>
      </c>
      <c r="C74" s="883" t="s">
        <v>860</v>
      </c>
      <c r="D74" s="884" t="s">
        <v>1487</v>
      </c>
      <c r="E74" s="865"/>
      <c r="F74" s="1911">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1896</v>
      </c>
      <c r="E76" s="1770" t="s">
        <v>958</v>
      </c>
      <c r="F76" s="1774">
        <f>SUM(F18:F74)</f>
        <v>814303</v>
      </c>
      <c r="G76" s="862"/>
    </row>
    <row r="77" spans="1:8" s="890" customFormat="1" ht="12" customHeight="1" thickTop="1" thickBot="1" x14ac:dyDescent="0.25">
      <c r="A77" s="1775"/>
      <c r="B77" s="1772"/>
      <c r="C77" s="1768"/>
      <c r="D77" s="1773" t="s">
        <v>1897</v>
      </c>
      <c r="E77" s="1770"/>
      <c r="F77" s="1776">
        <f>(F14-F76)</f>
        <v>5256343</v>
      </c>
      <c r="G77" s="866"/>
    </row>
    <row r="78" spans="1:8" s="890" customFormat="1" ht="12" customHeight="1" thickTop="1" x14ac:dyDescent="0.2">
      <c r="A78" s="1777"/>
      <c r="B78" s="1772"/>
      <c r="C78" s="1768"/>
      <c r="D78" s="1773" t="s">
        <v>2059</v>
      </c>
      <c r="E78" s="1770"/>
      <c r="F78" s="895">
        <v>0</v>
      </c>
      <c r="G78" s="896"/>
      <c r="H78" s="866"/>
    </row>
    <row r="79" spans="1:8" s="890" customFormat="1" ht="12" customHeight="1" thickBot="1" x14ac:dyDescent="0.25">
      <c r="A79" s="1778"/>
      <c r="B79" s="1772"/>
      <c r="C79" s="1768"/>
      <c r="D79" s="1773" t="s">
        <v>1898</v>
      </c>
      <c r="E79" s="1770" t="s">
        <v>958</v>
      </c>
      <c r="F79" s="1779"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487" t="s">
        <v>1105</v>
      </c>
      <c r="B81" s="2488"/>
      <c r="C81" s="2488"/>
      <c r="D81" s="2488"/>
      <c r="E81" s="2488"/>
      <c r="F81" s="2489"/>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1">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0</v>
      </c>
      <c r="G94" s="909"/>
    </row>
    <row r="95" spans="1:7" x14ac:dyDescent="0.2">
      <c r="A95" s="905" t="s">
        <v>140</v>
      </c>
      <c r="B95" s="905" t="s">
        <v>175</v>
      </c>
      <c r="C95" s="907">
        <v>1700</v>
      </c>
      <c r="D95" s="915" t="str">
        <f>'Revenues 9-14'!A82</f>
        <v>Total District/School Activity Income</v>
      </c>
      <c r="E95" s="903"/>
      <c r="F95" s="1785">
        <f>SUM('Revenues 9-14'!C82,'Revenues 9-14'!D82)</f>
        <v>0</v>
      </c>
      <c r="G95" s="909"/>
    </row>
    <row r="96" spans="1:7" x14ac:dyDescent="0.2">
      <c r="A96" s="905" t="s">
        <v>459</v>
      </c>
      <c r="B96" s="905" t="s">
        <v>176</v>
      </c>
      <c r="C96" s="907">
        <f>'Revenues 9-14'!B84</f>
        <v>1811</v>
      </c>
      <c r="D96" s="908" t="str">
        <f>'Revenues 9-14'!A84</f>
        <v>Rentals - Regular Textbooks</v>
      </c>
      <c r="E96" s="903"/>
      <c r="F96" s="1785">
        <f>'Revenues 9-14'!C84</f>
        <v>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2000</v>
      </c>
      <c r="C105" s="910">
        <v>3100</v>
      </c>
      <c r="D105" s="916" t="str">
        <f>'Revenues 9-14'!A132</f>
        <v>Total Special Education</v>
      </c>
      <c r="E105" s="903"/>
      <c r="F105" s="1785">
        <f>SUM('Revenues 9-14'!C132:D132,'Revenues 9-14'!F132)</f>
        <v>0</v>
      </c>
      <c r="G105" s="909"/>
    </row>
    <row r="106" spans="1:7" x14ac:dyDescent="0.2">
      <c r="A106" s="905" t="s">
        <v>673</v>
      </c>
      <c r="B106" s="905" t="s">
        <v>2001</v>
      </c>
      <c r="C106" s="917">
        <v>3200</v>
      </c>
      <c r="D106" s="908" t="str">
        <f>'Revenues 9-14'!A141</f>
        <v>Total Career and Technical Education</v>
      </c>
      <c r="E106" s="903"/>
      <c r="F106" s="1785">
        <f>SUM('Revenues 9-14'!C141,'Revenues 9-14'!D141,'Revenues 9-14'!G141)</f>
        <v>0</v>
      </c>
      <c r="G106" s="909"/>
    </row>
    <row r="107" spans="1:7" x14ac:dyDescent="0.2">
      <c r="A107" s="918" t="s">
        <v>664</v>
      </c>
      <c r="B107" s="905" t="s">
        <v>2002</v>
      </c>
      <c r="C107" s="917">
        <v>3300</v>
      </c>
      <c r="D107" s="908" t="str">
        <f>'Revenues 9-14'!A145</f>
        <v>Total Bilingual Ed</v>
      </c>
      <c r="E107" s="903"/>
      <c r="F107" s="1785">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5">
        <f>'Revenues 9-14'!C146</f>
        <v>0</v>
      </c>
      <c r="G108" s="909"/>
    </row>
    <row r="109" spans="1:7" x14ac:dyDescent="0.2">
      <c r="A109" s="905" t="s">
        <v>673</v>
      </c>
      <c r="B109" s="905" t="s">
        <v>2004</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5">
        <f>SUM('Revenues 9-14'!C148,'Revenues 9-14'!D148)</f>
        <v>0</v>
      </c>
      <c r="G110" s="909"/>
    </row>
    <row r="111" spans="1:7" x14ac:dyDescent="0.2">
      <c r="A111" s="905" t="s">
        <v>668</v>
      </c>
      <c r="B111" s="905" t="s">
        <v>2006</v>
      </c>
      <c r="C111" s="919">
        <v>3500</v>
      </c>
      <c r="D111" s="908" t="str">
        <f>'Revenues 9-14'!A155</f>
        <v>Total Transportation</v>
      </c>
      <c r="E111" s="903"/>
      <c r="F111" s="1785">
        <f>SUM('Revenues 9-14'!C155,'Revenues 9-14'!D155,'Revenues 9-14'!F155,'Revenues 9-14'!G155)</f>
        <v>0</v>
      </c>
      <c r="G111" s="909"/>
    </row>
    <row r="112" spans="1:7" x14ac:dyDescent="0.2">
      <c r="A112" s="905" t="s">
        <v>459</v>
      </c>
      <c r="B112" s="905" t="s">
        <v>2007</v>
      </c>
      <c r="C112" s="917">
        <f>'Revenues 9-14'!B156</f>
        <v>3610</v>
      </c>
      <c r="D112" s="908" t="str">
        <f>'Revenues 9-14'!A156</f>
        <v>Learning Improvement - Change Grants</v>
      </c>
      <c r="E112" s="903"/>
      <c r="F112" s="1785">
        <f>'Revenues 9-14'!C156</f>
        <v>0</v>
      </c>
      <c r="G112" s="909"/>
    </row>
    <row r="113" spans="1:7" x14ac:dyDescent="0.2">
      <c r="A113" s="905" t="s">
        <v>668</v>
      </c>
      <c r="B113" s="905" t="s">
        <v>2008</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1">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1">
        <f>SUM('Revenues 9-14'!C163:G163)</f>
        <v>0</v>
      </c>
      <c r="G118" s="909"/>
    </row>
    <row r="119" spans="1:7" x14ac:dyDescent="0.2">
      <c r="A119" s="920" t="s">
        <v>504</v>
      </c>
      <c r="B119" s="920" t="s">
        <v>2014</v>
      </c>
      <c r="C119" s="921">
        <f>'Revenues 9-14'!B164</f>
        <v>3815</v>
      </c>
      <c r="D119" s="922" t="str">
        <f>'Revenues 9-14'!A164</f>
        <v>State Charter Schools</v>
      </c>
      <c r="E119" s="903"/>
      <c r="F119" s="1901">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5">
        <f>'Revenues 9-14'!D167</f>
        <v>0</v>
      </c>
      <c r="G120" s="927"/>
    </row>
    <row r="121" spans="1:7" x14ac:dyDescent="0.2">
      <c r="A121" s="924" t="s">
        <v>500</v>
      </c>
      <c r="B121" s="924" t="s">
        <v>2016</v>
      </c>
      <c r="C121" s="925">
        <f>'Revenues 9-14'!B168</f>
        <v>3999</v>
      </c>
      <c r="D121" s="926" t="s">
        <v>543</v>
      </c>
      <c r="E121" s="928"/>
      <c r="F121" s="1785">
        <f>SUM('Revenues 9-14'!C168:G168,'Revenues 9-14'!J168)</f>
        <v>0</v>
      </c>
      <c r="G121" s="927"/>
    </row>
    <row r="122" spans="1:7" x14ac:dyDescent="0.2">
      <c r="A122" s="924" t="s">
        <v>459</v>
      </c>
      <c r="B122" s="924" t="s">
        <v>2017</v>
      </c>
      <c r="C122" s="929">
        <f>'Revenues 9-14'!B177</f>
        <v>4045</v>
      </c>
      <c r="D122" s="926" t="str">
        <f>'Revenues 9-14'!A177 &amp; " (Subtract)"</f>
        <v>Head Start (Subtract)</v>
      </c>
      <c r="E122" s="903"/>
      <c r="F122" s="1785">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5">
        <f>SUM('Revenues 9-14'!C181,'Revenues 9-14'!D181,'Revenues 9-14'!F181,'Revenues 9-14'!G181)</f>
        <v>0</v>
      </c>
      <c r="G123" s="927"/>
    </row>
    <row r="124" spans="1:7" x14ac:dyDescent="0.2">
      <c r="A124" s="924" t="s">
        <v>668</v>
      </c>
      <c r="B124" s="924" t="s">
        <v>2019</v>
      </c>
      <c r="C124" s="929">
        <v>4100</v>
      </c>
      <c r="D124" s="930" t="str">
        <f>'Revenues 9-14'!A188</f>
        <v>Total Title V</v>
      </c>
      <c r="E124" s="903"/>
      <c r="F124" s="1785">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5">
        <f>SUM('Revenues 9-14'!C198,'Revenues 9-14'!G198)</f>
        <v>0</v>
      </c>
      <c r="G125" s="927"/>
    </row>
    <row r="126" spans="1:7" x14ac:dyDescent="0.2">
      <c r="A126" s="924" t="s">
        <v>668</v>
      </c>
      <c r="B126" s="924" t="s">
        <v>2021</v>
      </c>
      <c r="C126" s="929">
        <v>4300</v>
      </c>
      <c r="D126" s="930" t="str">
        <f>'Revenues 9-14'!A204</f>
        <v>Total Title I</v>
      </c>
      <c r="E126" s="903"/>
      <c r="F126" s="1785">
        <f>SUM('Revenues 9-14'!C204,'Revenues 9-14'!D204,'Revenues 9-14'!F204,'Revenues 9-14'!G204)</f>
        <v>0</v>
      </c>
      <c r="G126" s="927"/>
    </row>
    <row r="127" spans="1:7" x14ac:dyDescent="0.2">
      <c r="A127" s="924" t="s">
        <v>668</v>
      </c>
      <c r="B127" s="924" t="s">
        <v>2022</v>
      </c>
      <c r="C127" s="929">
        <v>4400</v>
      </c>
      <c r="D127" s="930" t="str">
        <f>'Revenues 9-14'!A209</f>
        <v>Total Title IV</v>
      </c>
      <c r="E127" s="903"/>
      <c r="F127" s="1785">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5">
        <f>SUM('Revenues 9-14'!C213:D213,'Revenues 9-14'!F213:G213)</f>
        <v>2571156</v>
      </c>
      <c r="G128" s="927"/>
    </row>
    <row r="129" spans="1:7" x14ac:dyDescent="0.2">
      <c r="A129" s="924" t="s">
        <v>668</v>
      </c>
      <c r="B129" s="924" t="s">
        <v>2024</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2026</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1">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5">
        <v>0</v>
      </c>
      <c r="G138" s="902"/>
    </row>
    <row r="139" spans="1:7" s="864" customFormat="1" hidden="1" x14ac:dyDescent="0.2">
      <c r="A139" s="931" t="s">
        <v>206</v>
      </c>
      <c r="B139" s="931" t="s">
        <v>2033</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2041</v>
      </c>
      <c r="C157" s="937" t="s">
        <v>841</v>
      </c>
      <c r="D157" s="938" t="s">
        <v>777</v>
      </c>
      <c r="E157" s="939"/>
      <c r="F157" s="1785">
        <f>SUM(F133:F156)</f>
        <v>0</v>
      </c>
      <c r="G157" s="902"/>
    </row>
    <row r="158" spans="1:7" s="864" customFormat="1" x14ac:dyDescent="0.2">
      <c r="A158" s="935" t="s">
        <v>459</v>
      </c>
      <c r="B158" s="936" t="s">
        <v>2042</v>
      </c>
      <c r="C158" s="937" t="s">
        <v>1427</v>
      </c>
      <c r="D158" s="938" t="s">
        <v>1428</v>
      </c>
      <c r="E158" s="939"/>
      <c r="F158" s="1785">
        <f>SUM('Revenues 9-14'!C253)</f>
        <v>0</v>
      </c>
      <c r="G158" s="902"/>
    </row>
    <row r="159" spans="1:7" s="864" customFormat="1" x14ac:dyDescent="0.2">
      <c r="A159" s="935" t="s">
        <v>500</v>
      </c>
      <c r="B159" s="936" t="s">
        <v>2043</v>
      </c>
      <c r="C159" s="937" t="s">
        <v>1466</v>
      </c>
      <c r="D159" s="938" t="s">
        <v>1467</v>
      </c>
      <c r="E159" s="939"/>
      <c r="F159" s="1785">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1">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1">
        <f>SUM('Revenues 9-14'!C259,'Revenues 9-14'!D259,'Revenues 9-14'!F259,'Revenues 9-14'!G259)</f>
        <v>0</v>
      </c>
      <c r="G164" s="927"/>
    </row>
    <row r="165" spans="1:7" x14ac:dyDescent="0.2">
      <c r="A165" s="924" t="s">
        <v>668</v>
      </c>
      <c r="B165" s="924" t="s">
        <v>2049</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5">
        <f>SUM('Revenues 9-14'!C263:D263,'Revenues 9-14'!F263:G263)</f>
        <v>73100</v>
      </c>
      <c r="G168" s="944">
        <v>6320</v>
      </c>
    </row>
    <row r="169" spans="1:7" x14ac:dyDescent="0.2">
      <c r="A169" s="924" t="s">
        <v>668</v>
      </c>
      <c r="B169" s="924" t="s">
        <v>2051</v>
      </c>
      <c r="C169" s="929">
        <f>'Revenues 9-14'!B264</f>
        <v>4992</v>
      </c>
      <c r="D169" s="930" t="str">
        <f>'Revenues 9-14'!A264</f>
        <v>Medicaid Matching Funds - Fee-for-Service Program</v>
      </c>
      <c r="E169" s="903"/>
      <c r="F169" s="1785">
        <f>SUM('Revenues 9-14'!C264:D264,'Revenues 9-14'!F264:G264)</f>
        <v>142524</v>
      </c>
      <c r="G169" s="944"/>
    </row>
    <row r="170" spans="1:7" x14ac:dyDescent="0.2">
      <c r="A170" s="945" t="s">
        <v>668</v>
      </c>
      <c r="B170" s="941" t="s">
        <v>2052</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2" t="s">
        <v>5</v>
      </c>
      <c r="B171" s="1913" t="s">
        <v>1917</v>
      </c>
      <c r="C171" s="1914">
        <v>3100</v>
      </c>
      <c r="D171" s="1915" t="s">
        <v>1919</v>
      </c>
      <c r="E171" s="903"/>
      <c r="F171" s="1900"/>
      <c r="G171" s="924"/>
    </row>
    <row r="172" spans="1:7" x14ac:dyDescent="0.2">
      <c r="A172" s="1912" t="s">
        <v>664</v>
      </c>
      <c r="B172" s="1913" t="s">
        <v>1917</v>
      </c>
      <c r="C172" s="1914">
        <v>3300</v>
      </c>
      <c r="D172" s="1915" t="s">
        <v>1920</v>
      </c>
      <c r="E172" s="903"/>
      <c r="F172" s="1900"/>
      <c r="G172" s="924"/>
    </row>
    <row r="173" spans="1:7" ht="6" customHeight="1" x14ac:dyDescent="0.2">
      <c r="A173" s="924"/>
      <c r="B173" s="924"/>
      <c r="C173" s="946"/>
      <c r="D173" s="924"/>
      <c r="E173" s="903"/>
      <c r="F173" s="947"/>
      <c r="G173" s="944"/>
    </row>
    <row r="174" spans="1:7" x14ac:dyDescent="0.2">
      <c r="A174" s="1766"/>
      <c r="B174" s="1780"/>
      <c r="C174" s="1781"/>
      <c r="D174" s="1782" t="s">
        <v>2053</v>
      </c>
      <c r="E174" s="1783" t="s">
        <v>958</v>
      </c>
      <c r="F174" s="1784">
        <f>SUM(F84:F132,F157:F172)</f>
        <v>2786780</v>
      </c>
    </row>
    <row r="175" spans="1:7" ht="12" customHeight="1" x14ac:dyDescent="0.2">
      <c r="A175" s="1766"/>
      <c r="B175" s="1780"/>
      <c r="C175" s="1781"/>
      <c r="D175" s="1782" t="s">
        <v>2054</v>
      </c>
      <c r="E175" s="1783"/>
      <c r="F175" s="1785">
        <f>'PCTC-OEPP 27-28'!F77-F174</f>
        <v>2469563</v>
      </c>
    </row>
    <row r="176" spans="1:7" ht="12" customHeight="1" x14ac:dyDescent="0.2">
      <c r="A176" s="1766"/>
      <c r="B176" s="1780"/>
      <c r="C176" s="1781"/>
      <c r="D176" s="1782" t="s">
        <v>1814</v>
      </c>
      <c r="E176" s="1783"/>
      <c r="F176" s="1785">
        <f>'Cap Outlay Deprec 26'!I18</f>
        <v>36479</v>
      </c>
    </row>
    <row r="177" spans="1:7" ht="12" customHeight="1" x14ac:dyDescent="0.2">
      <c r="A177" s="1766"/>
      <c r="B177" s="1780"/>
      <c r="C177" s="1781"/>
      <c r="D177" s="1782" t="s">
        <v>2055</v>
      </c>
      <c r="E177" s="1783"/>
      <c r="F177" s="1785">
        <f>F175+F176</f>
        <v>2506042</v>
      </c>
    </row>
    <row r="178" spans="1:7" ht="12" customHeight="1" x14ac:dyDescent="0.2">
      <c r="A178" s="1766"/>
      <c r="B178" s="1786"/>
      <c r="C178" s="1781"/>
      <c r="D178" s="1782" t="str">
        <f>D78</f>
        <v>9 Month ADA from District Average Daily Attendance/Prior General State Aid Inquiry 2018-2019</v>
      </c>
      <c r="E178" s="1783"/>
      <c r="F178" s="1787">
        <f>'PCTC-OEPP 27-28'!F78</f>
        <v>0</v>
      </c>
      <c r="G178" s="927"/>
    </row>
    <row r="179" spans="1:7" ht="12" customHeight="1" thickBot="1" x14ac:dyDescent="0.25">
      <c r="A179" s="1766"/>
      <c r="B179" s="1786"/>
      <c r="C179" s="1781"/>
      <c r="D179" s="1782" t="s">
        <v>2056</v>
      </c>
      <c r="E179" s="1783" t="s">
        <v>1545</v>
      </c>
      <c r="F179" s="1788" t="e">
        <f>F177/F178</f>
        <v>#DIV/0!</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6" customFormat="1" ht="12.2" customHeight="1" x14ac:dyDescent="0.2">
      <c r="A182" s="1916" t="s">
        <v>1991</v>
      </c>
      <c r="B182" s="1917"/>
      <c r="C182" s="1918"/>
      <c r="D182" s="1917"/>
      <c r="E182" s="1918"/>
      <c r="F182" s="1917"/>
      <c r="G182" s="1917"/>
    </row>
    <row r="183" spans="1:7" s="1916" customFormat="1" ht="12.2" customHeight="1" x14ac:dyDescent="0.2">
      <c r="A183" s="1919" t="s">
        <v>1993</v>
      </c>
      <c r="C183" s="1918"/>
      <c r="D183" s="1917"/>
      <c r="E183" s="1918"/>
      <c r="F183" s="1917"/>
      <c r="G183" s="1917"/>
    </row>
    <row r="184" spans="1:7" ht="12" customHeight="1" x14ac:dyDescent="0.2">
      <c r="C184" s="946"/>
      <c r="D184" s="927"/>
      <c r="E184" s="946"/>
      <c r="F184" s="927"/>
      <c r="G184" s="927"/>
    </row>
    <row r="185" spans="1:7" x14ac:dyDescent="0.2">
      <c r="A185" s="1920" t="s">
        <v>1922</v>
      </c>
      <c r="B185" s="1921"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F16" sqref="F16"/>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1829</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501" t="s">
        <v>1815</v>
      </c>
      <c r="B4" s="2502"/>
      <c r="C4" s="2502"/>
      <c r="D4" s="2502"/>
      <c r="E4" s="2502"/>
      <c r="F4" s="2502"/>
      <c r="G4" s="2503"/>
    </row>
    <row r="5" spans="1:7" x14ac:dyDescent="0.25">
      <c r="A5" s="2504"/>
      <c r="B5" s="2505"/>
      <c r="C5" s="2505"/>
      <c r="D5" s="2505"/>
      <c r="E5" s="2505"/>
      <c r="F5" s="2505"/>
      <c r="G5" s="2506"/>
    </row>
    <row r="6" spans="1:7" ht="18.75" x14ac:dyDescent="0.25">
      <c r="A6" s="1530" t="s">
        <v>1816</v>
      </c>
      <c r="B6" s="1531"/>
      <c r="C6" s="1531"/>
      <c r="D6" s="1531"/>
      <c r="E6" s="1531"/>
      <c r="F6" s="1531"/>
      <c r="G6" s="1532"/>
    </row>
    <row r="7" spans="1:7" ht="30.75" customHeight="1" x14ac:dyDescent="0.25">
      <c r="A7" s="2507" t="s">
        <v>1929</v>
      </c>
      <c r="B7" s="2508"/>
      <c r="C7" s="2508"/>
      <c r="D7" s="2508"/>
      <c r="E7" s="2508"/>
      <c r="F7" s="2508"/>
      <c r="G7" s="2509"/>
    </row>
    <row r="8" spans="1:7" ht="15.75" customHeight="1" x14ac:dyDescent="0.25">
      <c r="A8" s="2510" t="s">
        <v>1904</v>
      </c>
      <c r="B8" s="2511"/>
      <c r="C8" s="2511"/>
      <c r="D8" s="2511"/>
      <c r="E8" s="2511"/>
      <c r="F8" s="2511"/>
      <c r="G8" s="2512"/>
    </row>
    <row r="9" spans="1:7" ht="35.25" customHeight="1" x14ac:dyDescent="0.25">
      <c r="A9" s="2507" t="s">
        <v>1932</v>
      </c>
      <c r="B9" s="2508"/>
      <c r="C9" s="2508"/>
      <c r="D9" s="2508"/>
      <c r="E9" s="2508"/>
      <c r="F9" s="2508"/>
      <c r="G9" s="2509"/>
    </row>
    <row r="10" spans="1:7" ht="15" customHeight="1" x14ac:dyDescent="0.25">
      <c r="A10" s="1533" t="s">
        <v>1817</v>
      </c>
      <c r="B10" s="1534"/>
      <c r="C10" s="1534"/>
      <c r="D10" s="1534"/>
      <c r="E10" s="1534"/>
      <c r="F10" s="1534"/>
      <c r="G10" s="1535"/>
    </row>
    <row r="11" spans="1:7" ht="17.25" customHeight="1" x14ac:dyDescent="0.25">
      <c r="A11" s="2507" t="s">
        <v>1931</v>
      </c>
      <c r="B11" s="2508"/>
      <c r="C11" s="2508"/>
      <c r="D11" s="2508"/>
      <c r="E11" s="2508"/>
      <c r="F11" s="2508"/>
      <c r="G11" s="2509"/>
    </row>
    <row r="12" spans="1:7" ht="15" customHeight="1" x14ac:dyDescent="0.25">
      <c r="A12" s="1533" t="s">
        <v>1822</v>
      </c>
      <c r="B12" s="1534"/>
      <c r="C12" s="1534"/>
      <c r="D12" s="1534"/>
      <c r="E12" s="1534"/>
      <c r="F12" s="1534"/>
      <c r="G12" s="1535"/>
    </row>
    <row r="13" spans="1:7" ht="32.25" customHeight="1" x14ac:dyDescent="0.25">
      <c r="A13" s="2498" t="s">
        <v>1973</v>
      </c>
      <c r="B13" s="2499"/>
      <c r="C13" s="2499"/>
      <c r="D13" s="2499"/>
      <c r="E13" s="2499"/>
      <c r="F13" s="2499"/>
      <c r="G13" s="2500"/>
    </row>
    <row r="14" spans="1:7" x14ac:dyDescent="0.25">
      <c r="A14" s="1657" t="s">
        <v>1830</v>
      </c>
      <c r="B14" s="1658"/>
      <c r="C14" s="1658"/>
      <c r="D14" s="1658"/>
      <c r="E14" s="1658"/>
      <c r="F14" s="1658"/>
      <c r="G14" s="1659"/>
    </row>
    <row r="15" spans="1:7" ht="61.5" customHeight="1" x14ac:dyDescent="0.25">
      <c r="A15" s="1542" t="s">
        <v>1823</v>
      </c>
      <c r="B15" s="1542" t="s">
        <v>1824</v>
      </c>
      <c r="C15" s="1542" t="s">
        <v>1825</v>
      </c>
      <c r="D15" s="1543" t="s">
        <v>1826</v>
      </c>
      <c r="E15" s="1543" t="s">
        <v>1818</v>
      </c>
      <c r="F15" s="1543" t="s">
        <v>1827</v>
      </c>
      <c r="G15" s="1543" t="s">
        <v>1828</v>
      </c>
    </row>
    <row r="16" spans="1:7" x14ac:dyDescent="0.25">
      <c r="A16" s="1644" t="s">
        <v>1831</v>
      </c>
      <c r="B16" s="1645" t="s">
        <v>1821</v>
      </c>
      <c r="C16" s="1646" t="s">
        <v>1819</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2" t="s">
        <v>2083</v>
      </c>
      <c r="B17" s="1928"/>
      <c r="C17" s="1652"/>
      <c r="D17" s="1840"/>
      <c r="E17" s="1536">
        <f t="shared" ref="E17:E141" si="0">IF(D17&lt;=25000,D17,IF(D17&gt;25000,25000,0))</f>
        <v>0</v>
      </c>
      <c r="F17" s="192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9">
        <f>IF(F17=0,0,D17-F17)</f>
        <v>0</v>
      </c>
      <c r="H17" s="1643"/>
    </row>
    <row r="18" spans="1:8" x14ac:dyDescent="0.25">
      <c r="A18" s="1649"/>
      <c r="B18" s="1928"/>
      <c r="C18" s="1652"/>
      <c r="D18" s="1840"/>
      <c r="E18" s="1536">
        <f t="shared" ref="E18:E140" si="2">IF(D18&lt;=25000,D18,IF(D18&gt;25000,25000,0))</f>
        <v>0</v>
      </c>
      <c r="F18" s="1926">
        <f t="shared" si="1"/>
        <v>0</v>
      </c>
      <c r="G18" s="1789">
        <f t="shared" ref="G18:G140" si="3">IF(F18=0,0,D18-F18)</f>
        <v>0</v>
      </c>
    </row>
    <row r="19" spans="1:8" x14ac:dyDescent="0.25">
      <c r="A19" s="1649"/>
      <c r="B19" s="1928"/>
      <c r="C19" s="1652"/>
      <c r="D19" s="1840"/>
      <c r="E19" s="1536">
        <f t="shared" si="2"/>
        <v>0</v>
      </c>
      <c r="F19" s="1926">
        <f t="shared" si="1"/>
        <v>0</v>
      </c>
      <c r="G19" s="1789">
        <f t="shared" si="3"/>
        <v>0</v>
      </c>
    </row>
    <row r="20" spans="1:8" x14ac:dyDescent="0.25">
      <c r="A20" s="1649"/>
      <c r="B20" s="1928"/>
      <c r="C20" s="1652"/>
      <c r="D20" s="1840"/>
      <c r="E20" s="1536">
        <f t="shared" si="2"/>
        <v>0</v>
      </c>
      <c r="F20" s="1926">
        <f t="shared" si="1"/>
        <v>0</v>
      </c>
      <c r="G20" s="1789">
        <f t="shared" si="3"/>
        <v>0</v>
      </c>
    </row>
    <row r="21" spans="1:8" x14ac:dyDescent="0.25">
      <c r="A21" s="1649"/>
      <c r="B21" s="1928"/>
      <c r="C21" s="1652"/>
      <c r="D21" s="1840"/>
      <c r="E21" s="1536">
        <f t="shared" si="2"/>
        <v>0</v>
      </c>
      <c r="F21" s="1926">
        <f t="shared" si="1"/>
        <v>0</v>
      </c>
      <c r="G21" s="1789">
        <f t="shared" si="3"/>
        <v>0</v>
      </c>
    </row>
    <row r="22" spans="1:8" x14ac:dyDescent="0.25">
      <c r="A22" s="1649"/>
      <c r="B22" s="1928"/>
      <c r="C22" s="1652"/>
      <c r="D22" s="1840"/>
      <c r="E22" s="1536">
        <f t="shared" si="2"/>
        <v>0</v>
      </c>
      <c r="F22" s="1926">
        <f t="shared" si="1"/>
        <v>0</v>
      </c>
      <c r="G22" s="1789">
        <f t="shared" si="3"/>
        <v>0</v>
      </c>
    </row>
    <row r="23" spans="1:8" x14ac:dyDescent="0.25">
      <c r="A23" s="1649"/>
      <c r="B23" s="1928"/>
      <c r="C23" s="1652"/>
      <c r="D23" s="1840"/>
      <c r="E23" s="1536">
        <f t="shared" si="2"/>
        <v>0</v>
      </c>
      <c r="F23" s="1926">
        <f t="shared" si="1"/>
        <v>0</v>
      </c>
      <c r="G23" s="1789">
        <f t="shared" si="3"/>
        <v>0</v>
      </c>
    </row>
    <row r="24" spans="1:8" x14ac:dyDescent="0.25">
      <c r="A24" s="1649"/>
      <c r="B24" s="1928"/>
      <c r="C24" s="1652"/>
      <c r="D24" s="1840"/>
      <c r="E24" s="1536">
        <f t="shared" si="2"/>
        <v>0</v>
      </c>
      <c r="F24" s="1926">
        <f t="shared" si="1"/>
        <v>0</v>
      </c>
      <c r="G24" s="1789">
        <f t="shared" si="3"/>
        <v>0</v>
      </c>
    </row>
    <row r="25" spans="1:8" x14ac:dyDescent="0.25">
      <c r="A25" s="1649"/>
      <c r="B25" s="1928"/>
      <c r="C25" s="1652"/>
      <c r="D25" s="1840"/>
      <c r="E25" s="1536">
        <f t="shared" si="2"/>
        <v>0</v>
      </c>
      <c r="F25" s="1926">
        <f t="shared" si="1"/>
        <v>0</v>
      </c>
      <c r="G25" s="1789">
        <f t="shared" si="3"/>
        <v>0</v>
      </c>
    </row>
    <row r="26" spans="1:8" x14ac:dyDescent="0.25">
      <c r="A26" s="1649"/>
      <c r="B26" s="1928"/>
      <c r="C26" s="1650"/>
      <c r="D26" s="1840"/>
      <c r="E26" s="1536">
        <f t="shared" si="2"/>
        <v>0</v>
      </c>
      <c r="F26" s="1926">
        <f t="shared" si="1"/>
        <v>0</v>
      </c>
      <c r="G26" s="1789">
        <f t="shared" si="3"/>
        <v>0</v>
      </c>
    </row>
    <row r="27" spans="1:8" x14ac:dyDescent="0.25">
      <c r="A27" s="1649"/>
      <c r="B27" s="1928"/>
      <c r="C27" s="1650"/>
      <c r="D27" s="1840"/>
      <c r="E27" s="1536">
        <f t="shared" si="2"/>
        <v>0</v>
      </c>
      <c r="F27" s="1926">
        <f t="shared" si="1"/>
        <v>0</v>
      </c>
      <c r="G27" s="1789">
        <f t="shared" si="3"/>
        <v>0</v>
      </c>
    </row>
    <row r="28" spans="1:8" x14ac:dyDescent="0.25">
      <c r="A28" s="1649"/>
      <c r="B28" s="1928"/>
      <c r="C28" s="1650"/>
      <c r="D28" s="1840"/>
      <c r="E28" s="1536">
        <f t="shared" si="2"/>
        <v>0</v>
      </c>
      <c r="F28" s="1926">
        <f t="shared" si="1"/>
        <v>0</v>
      </c>
      <c r="G28" s="1789">
        <f t="shared" si="3"/>
        <v>0</v>
      </c>
    </row>
    <row r="29" spans="1:8" x14ac:dyDescent="0.25">
      <c r="A29" s="1649"/>
      <c r="B29" s="1928"/>
      <c r="C29" s="1650"/>
      <c r="D29" s="1840"/>
      <c r="E29" s="1536">
        <f t="shared" si="2"/>
        <v>0</v>
      </c>
      <c r="F29" s="1926">
        <f t="shared" si="1"/>
        <v>0</v>
      </c>
      <c r="G29" s="1789">
        <f t="shared" si="3"/>
        <v>0</v>
      </c>
    </row>
    <row r="30" spans="1:8" x14ac:dyDescent="0.25">
      <c r="A30" s="1649"/>
      <c r="B30" s="1928"/>
      <c r="C30" s="1650"/>
      <c r="D30" s="1840"/>
      <c r="E30" s="1536">
        <f t="shared" si="2"/>
        <v>0</v>
      </c>
      <c r="F30" s="1926">
        <f t="shared" si="1"/>
        <v>0</v>
      </c>
      <c r="G30" s="1789">
        <f t="shared" si="3"/>
        <v>0</v>
      </c>
    </row>
    <row r="31" spans="1:8" x14ac:dyDescent="0.25">
      <c r="A31" s="1649"/>
      <c r="B31" s="1928"/>
      <c r="C31" s="1650"/>
      <c r="D31" s="1840"/>
      <c r="E31" s="1536">
        <f t="shared" si="2"/>
        <v>0</v>
      </c>
      <c r="F31" s="1926">
        <f t="shared" si="1"/>
        <v>0</v>
      </c>
      <c r="G31" s="1789">
        <f t="shared" si="3"/>
        <v>0</v>
      </c>
    </row>
    <row r="32" spans="1:8" x14ac:dyDescent="0.25">
      <c r="A32" s="1649"/>
      <c r="B32" s="1928"/>
      <c r="C32" s="1650"/>
      <c r="D32" s="1840"/>
      <c r="E32" s="1536">
        <f t="shared" si="2"/>
        <v>0</v>
      </c>
      <c r="F32" s="1926">
        <f t="shared" si="1"/>
        <v>0</v>
      </c>
      <c r="G32" s="1789">
        <f t="shared" si="3"/>
        <v>0</v>
      </c>
    </row>
    <row r="33" spans="1:7" x14ac:dyDescent="0.25">
      <c r="A33" s="1649"/>
      <c r="B33" s="1928"/>
      <c r="C33" s="1650"/>
      <c r="D33" s="1840"/>
      <c r="E33" s="1536">
        <f t="shared" si="2"/>
        <v>0</v>
      </c>
      <c r="F33" s="1926">
        <f t="shared" si="1"/>
        <v>0</v>
      </c>
      <c r="G33" s="1789">
        <f t="shared" si="3"/>
        <v>0</v>
      </c>
    </row>
    <row r="34" spans="1:7" x14ac:dyDescent="0.25">
      <c r="A34" s="1649"/>
      <c r="B34" s="1928"/>
      <c r="C34" s="1650"/>
      <c r="D34" s="1840"/>
      <c r="E34" s="1536">
        <f t="shared" si="2"/>
        <v>0</v>
      </c>
      <c r="F34" s="1926">
        <f t="shared" si="1"/>
        <v>0</v>
      </c>
      <c r="G34" s="1789">
        <f t="shared" si="3"/>
        <v>0</v>
      </c>
    </row>
    <row r="35" spans="1:7" x14ac:dyDescent="0.25">
      <c r="A35" s="1649"/>
      <c r="B35" s="1928"/>
      <c r="C35" s="1650"/>
      <c r="D35" s="1840"/>
      <c r="E35" s="1536">
        <f t="shared" si="2"/>
        <v>0</v>
      </c>
      <c r="F35" s="1926">
        <f t="shared" si="1"/>
        <v>0</v>
      </c>
      <c r="G35" s="1789">
        <f t="shared" si="3"/>
        <v>0</v>
      </c>
    </row>
    <row r="36" spans="1:7" x14ac:dyDescent="0.25">
      <c r="A36" s="1649"/>
      <c r="B36" s="1928"/>
      <c r="C36" s="1650"/>
      <c r="D36" s="1840"/>
      <c r="E36" s="1536">
        <f t="shared" si="2"/>
        <v>0</v>
      </c>
      <c r="F36" s="1926">
        <f t="shared" si="1"/>
        <v>0</v>
      </c>
      <c r="G36" s="1789">
        <f t="shared" si="3"/>
        <v>0</v>
      </c>
    </row>
    <row r="37" spans="1:7" x14ac:dyDescent="0.25">
      <c r="A37" s="1649"/>
      <c r="B37" s="1928"/>
      <c r="C37" s="1650"/>
      <c r="D37" s="1840"/>
      <c r="E37" s="1536">
        <f t="shared" si="2"/>
        <v>0</v>
      </c>
      <c r="F37" s="1926">
        <f t="shared" si="1"/>
        <v>0</v>
      </c>
      <c r="G37" s="1789">
        <f t="shared" si="3"/>
        <v>0</v>
      </c>
    </row>
    <row r="38" spans="1:7" x14ac:dyDescent="0.25">
      <c r="A38" s="1649"/>
      <c r="B38" s="1929"/>
      <c r="C38" s="1650"/>
      <c r="D38" s="1840"/>
      <c r="E38" s="1536">
        <f t="shared" si="2"/>
        <v>0</v>
      </c>
      <c r="F38" s="1926">
        <f t="shared" si="1"/>
        <v>0</v>
      </c>
      <c r="G38" s="1789">
        <f t="shared" si="3"/>
        <v>0</v>
      </c>
    </row>
    <row r="39" spans="1:7" x14ac:dyDescent="0.25">
      <c r="A39" s="1649"/>
      <c r="B39" s="1929"/>
      <c r="C39" s="1650"/>
      <c r="D39" s="1840"/>
      <c r="E39" s="1536">
        <f t="shared" si="2"/>
        <v>0</v>
      </c>
      <c r="F39" s="1926">
        <f t="shared" si="1"/>
        <v>0</v>
      </c>
      <c r="G39" s="1789">
        <f t="shared" si="3"/>
        <v>0</v>
      </c>
    </row>
    <row r="40" spans="1:7" x14ac:dyDescent="0.25">
      <c r="A40" s="1649"/>
      <c r="B40" s="1929"/>
      <c r="C40" s="1650"/>
      <c r="D40" s="1840"/>
      <c r="E40" s="1536">
        <f t="shared" si="2"/>
        <v>0</v>
      </c>
      <c r="F40" s="1926">
        <f t="shared" si="1"/>
        <v>0</v>
      </c>
      <c r="G40" s="1789">
        <f t="shared" si="3"/>
        <v>0</v>
      </c>
    </row>
    <row r="41" spans="1:7" x14ac:dyDescent="0.25">
      <c r="A41" s="1649"/>
      <c r="B41" s="1929"/>
      <c r="C41" s="1650"/>
      <c r="D41" s="1840"/>
      <c r="E41" s="1536">
        <f t="shared" si="2"/>
        <v>0</v>
      </c>
      <c r="F41" s="1926">
        <f t="shared" si="1"/>
        <v>0</v>
      </c>
      <c r="G41" s="1789">
        <f t="shared" si="3"/>
        <v>0</v>
      </c>
    </row>
    <row r="42" spans="1:7" x14ac:dyDescent="0.25">
      <c r="A42" s="1649"/>
      <c r="B42" s="1929"/>
      <c r="C42" s="1650"/>
      <c r="D42" s="1840"/>
      <c r="E42" s="1536">
        <f t="shared" si="2"/>
        <v>0</v>
      </c>
      <c r="F42" s="1926">
        <f t="shared" si="1"/>
        <v>0</v>
      </c>
      <c r="G42" s="1789">
        <f t="shared" si="3"/>
        <v>0</v>
      </c>
    </row>
    <row r="43" spans="1:7" x14ac:dyDescent="0.25">
      <c r="A43" s="1649"/>
      <c r="B43" s="1929"/>
      <c r="C43" s="1650"/>
      <c r="D43" s="1840"/>
      <c r="E43" s="1536">
        <f t="shared" si="2"/>
        <v>0</v>
      </c>
      <c r="F43" s="1926">
        <f t="shared" si="1"/>
        <v>0</v>
      </c>
      <c r="G43" s="1789">
        <f t="shared" si="3"/>
        <v>0</v>
      </c>
    </row>
    <row r="44" spans="1:7" x14ac:dyDescent="0.25">
      <c r="A44" s="1649"/>
      <c r="B44" s="1929"/>
      <c r="C44" s="1650"/>
      <c r="D44" s="1840"/>
      <c r="E44" s="1536">
        <f t="shared" si="2"/>
        <v>0</v>
      </c>
      <c r="F44" s="1926">
        <f t="shared" si="1"/>
        <v>0</v>
      </c>
      <c r="G44" s="1789">
        <f t="shared" si="3"/>
        <v>0</v>
      </c>
    </row>
    <row r="45" spans="1:7" x14ac:dyDescent="0.25">
      <c r="A45" s="1649"/>
      <c r="B45" s="1929"/>
      <c r="C45" s="1650"/>
      <c r="D45" s="1840"/>
      <c r="E45" s="1536">
        <f t="shared" si="2"/>
        <v>0</v>
      </c>
      <c r="F45" s="1926">
        <f t="shared" si="1"/>
        <v>0</v>
      </c>
      <c r="G45" s="1789">
        <f t="shared" si="3"/>
        <v>0</v>
      </c>
    </row>
    <row r="46" spans="1:7" x14ac:dyDescent="0.25">
      <c r="A46" s="1649"/>
      <c r="B46" s="1663"/>
      <c r="C46" s="1650"/>
      <c r="D46" s="1840"/>
      <c r="E46" s="1536">
        <f t="shared" si="2"/>
        <v>0</v>
      </c>
      <c r="F46" s="1926">
        <f t="shared" si="1"/>
        <v>0</v>
      </c>
      <c r="G46" s="1789">
        <f t="shared" si="3"/>
        <v>0</v>
      </c>
    </row>
    <row r="47" spans="1:7" x14ac:dyDescent="0.25">
      <c r="A47" s="1649"/>
      <c r="B47" s="1663"/>
      <c r="C47" s="1650"/>
      <c r="D47" s="1840"/>
      <c r="E47" s="1536">
        <f t="shared" si="2"/>
        <v>0</v>
      </c>
      <c r="F47" s="1926">
        <f t="shared" si="1"/>
        <v>0</v>
      </c>
      <c r="G47" s="1789">
        <f t="shared" si="3"/>
        <v>0</v>
      </c>
    </row>
    <row r="48" spans="1:7" x14ac:dyDescent="0.25">
      <c r="A48" s="1649"/>
      <c r="B48" s="1663"/>
      <c r="C48" s="1650"/>
      <c r="D48" s="1840"/>
      <c r="E48" s="1536">
        <f t="shared" si="2"/>
        <v>0</v>
      </c>
      <c r="F48" s="1926">
        <f t="shared" si="1"/>
        <v>0</v>
      </c>
      <c r="G48" s="1789">
        <f t="shared" si="3"/>
        <v>0</v>
      </c>
    </row>
    <row r="49" spans="1:7" x14ac:dyDescent="0.25">
      <c r="A49" s="1649"/>
      <c r="B49" s="1663"/>
      <c r="C49" s="1650"/>
      <c r="D49" s="1840"/>
      <c r="E49" s="1536">
        <f t="shared" si="2"/>
        <v>0</v>
      </c>
      <c r="F49" s="1926">
        <f t="shared" si="1"/>
        <v>0</v>
      </c>
      <c r="G49" s="1789">
        <f t="shared" si="3"/>
        <v>0</v>
      </c>
    </row>
    <row r="50" spans="1:7" x14ac:dyDescent="0.25">
      <c r="A50" s="1649"/>
      <c r="B50" s="1663"/>
      <c r="C50" s="1650"/>
      <c r="D50" s="1840"/>
      <c r="E50" s="1536">
        <f t="shared" si="2"/>
        <v>0</v>
      </c>
      <c r="F50" s="1926">
        <f t="shared" si="1"/>
        <v>0</v>
      </c>
      <c r="G50" s="1789">
        <f t="shared" si="3"/>
        <v>0</v>
      </c>
    </row>
    <row r="51" spans="1:7" x14ac:dyDescent="0.25">
      <c r="A51" s="1649"/>
      <c r="B51" s="1663"/>
      <c r="C51" s="1650"/>
      <c r="D51" s="1840"/>
      <c r="E51" s="1536">
        <f t="shared" si="2"/>
        <v>0</v>
      </c>
      <c r="F51" s="1926">
        <f t="shared" si="1"/>
        <v>0</v>
      </c>
      <c r="G51" s="1789">
        <f t="shared" si="3"/>
        <v>0</v>
      </c>
    </row>
    <row r="52" spans="1:7" x14ac:dyDescent="0.25">
      <c r="A52" s="1649"/>
      <c r="B52" s="1663"/>
      <c r="C52" s="1650"/>
      <c r="D52" s="1840"/>
      <c r="E52" s="1536">
        <f t="shared" si="2"/>
        <v>0</v>
      </c>
      <c r="F52" s="1926">
        <f t="shared" si="1"/>
        <v>0</v>
      </c>
      <c r="G52" s="1789">
        <f t="shared" si="3"/>
        <v>0</v>
      </c>
    </row>
    <row r="53" spans="1:7" x14ac:dyDescent="0.25">
      <c r="A53" s="1649"/>
      <c r="B53" s="1663"/>
      <c r="C53" s="1650"/>
      <c r="D53" s="1840"/>
      <c r="E53" s="1536">
        <f t="shared" si="2"/>
        <v>0</v>
      </c>
      <c r="F53" s="1926">
        <f t="shared" si="1"/>
        <v>0</v>
      </c>
      <c r="G53" s="1789">
        <f t="shared" si="3"/>
        <v>0</v>
      </c>
    </row>
    <row r="54" spans="1:7" x14ac:dyDescent="0.25">
      <c r="A54" s="1649"/>
      <c r="B54" s="1663"/>
      <c r="C54" s="1650"/>
      <c r="D54" s="1840"/>
      <c r="E54" s="1536">
        <f t="shared" si="2"/>
        <v>0</v>
      </c>
      <c r="F54" s="1926">
        <f t="shared" si="1"/>
        <v>0</v>
      </c>
      <c r="G54" s="1789">
        <f t="shared" si="3"/>
        <v>0</v>
      </c>
    </row>
    <row r="55" spans="1:7" x14ac:dyDescent="0.25">
      <c r="A55" s="1649"/>
      <c r="B55" s="1663"/>
      <c r="C55" s="1650"/>
      <c r="D55" s="1840"/>
      <c r="E55" s="1536">
        <f t="shared" si="2"/>
        <v>0</v>
      </c>
      <c r="F55" s="1926">
        <f t="shared" si="1"/>
        <v>0</v>
      </c>
      <c r="G55" s="1789">
        <f t="shared" si="3"/>
        <v>0</v>
      </c>
    </row>
    <row r="56" spans="1:7" x14ac:dyDescent="0.25">
      <c r="A56" s="1649"/>
      <c r="B56" s="1663"/>
      <c r="C56" s="1650"/>
      <c r="D56" s="1840"/>
      <c r="E56" s="1536">
        <f t="shared" si="2"/>
        <v>0</v>
      </c>
      <c r="F56" s="1926">
        <f t="shared" si="1"/>
        <v>0</v>
      </c>
      <c r="G56" s="1789">
        <f t="shared" si="3"/>
        <v>0</v>
      </c>
    </row>
    <row r="57" spans="1:7" x14ac:dyDescent="0.25">
      <c r="A57" s="1649"/>
      <c r="B57" s="1663"/>
      <c r="C57" s="1650"/>
      <c r="D57" s="1840"/>
      <c r="E57" s="1536">
        <f t="shared" si="2"/>
        <v>0</v>
      </c>
      <c r="F57" s="1926">
        <f t="shared" si="1"/>
        <v>0</v>
      </c>
      <c r="G57" s="1789">
        <f t="shared" si="3"/>
        <v>0</v>
      </c>
    </row>
    <row r="58" spans="1:7" x14ac:dyDescent="0.25">
      <c r="A58" s="1649"/>
      <c r="B58" s="1663"/>
      <c r="C58" s="1650"/>
      <c r="D58" s="1840"/>
      <c r="E58" s="1536">
        <f t="shared" si="2"/>
        <v>0</v>
      </c>
      <c r="F58" s="1926">
        <f t="shared" si="1"/>
        <v>0</v>
      </c>
      <c r="G58" s="1789">
        <f t="shared" si="3"/>
        <v>0</v>
      </c>
    </row>
    <row r="59" spans="1:7" x14ac:dyDescent="0.25">
      <c r="A59" s="1649"/>
      <c r="B59" s="1663"/>
      <c r="C59" s="1650"/>
      <c r="D59" s="1840"/>
      <c r="E59" s="1536">
        <f t="shared" si="2"/>
        <v>0</v>
      </c>
      <c r="F59" s="1926">
        <f t="shared" si="1"/>
        <v>0</v>
      </c>
      <c r="G59" s="1789">
        <f t="shared" si="3"/>
        <v>0</v>
      </c>
    </row>
    <row r="60" spans="1:7" x14ac:dyDescent="0.25">
      <c r="A60" s="1649"/>
      <c r="B60" s="1663"/>
      <c r="C60" s="1650"/>
      <c r="D60" s="1840"/>
      <c r="E60" s="1536">
        <f t="shared" si="2"/>
        <v>0</v>
      </c>
      <c r="F60" s="1926">
        <f t="shared" si="1"/>
        <v>0</v>
      </c>
      <c r="G60" s="1789">
        <f t="shared" si="3"/>
        <v>0</v>
      </c>
    </row>
    <row r="61" spans="1:7" x14ac:dyDescent="0.25">
      <c r="A61" s="1649"/>
      <c r="B61" s="1663"/>
      <c r="C61" s="1650"/>
      <c r="D61" s="1840"/>
      <c r="E61" s="1536">
        <f t="shared" si="2"/>
        <v>0</v>
      </c>
      <c r="F61" s="1926">
        <f t="shared" si="1"/>
        <v>0</v>
      </c>
      <c r="G61" s="1789">
        <f t="shared" si="3"/>
        <v>0</v>
      </c>
    </row>
    <row r="62" spans="1:7" x14ac:dyDescent="0.25">
      <c r="A62" s="1649"/>
      <c r="B62" s="1663"/>
      <c r="C62" s="1650"/>
      <c r="D62" s="1840"/>
      <c r="E62" s="1536">
        <f t="shared" si="2"/>
        <v>0</v>
      </c>
      <c r="F62" s="1926">
        <f t="shared" si="1"/>
        <v>0</v>
      </c>
      <c r="G62" s="1789">
        <f t="shared" si="3"/>
        <v>0</v>
      </c>
    </row>
    <row r="63" spans="1:7" x14ac:dyDescent="0.25">
      <c r="A63" s="1649"/>
      <c r="B63" s="1663"/>
      <c r="C63" s="1650"/>
      <c r="D63" s="1840"/>
      <c r="E63" s="1536">
        <f t="shared" si="2"/>
        <v>0</v>
      </c>
      <c r="F63" s="1926">
        <f t="shared" si="1"/>
        <v>0</v>
      </c>
      <c r="G63" s="1789">
        <f t="shared" si="3"/>
        <v>0</v>
      </c>
    </row>
    <row r="64" spans="1:7" x14ac:dyDescent="0.25">
      <c r="A64" s="1651"/>
      <c r="B64" s="1663"/>
      <c r="C64" s="1652"/>
      <c r="D64" s="1840"/>
      <c r="E64" s="1536">
        <f t="shared" si="2"/>
        <v>0</v>
      </c>
      <c r="F64" s="1926">
        <f t="shared" si="1"/>
        <v>0</v>
      </c>
      <c r="G64" s="1789">
        <f t="shared" si="3"/>
        <v>0</v>
      </c>
    </row>
    <row r="65" spans="1:7" x14ac:dyDescent="0.25">
      <c r="A65" s="1649"/>
      <c r="B65" s="1663"/>
      <c r="C65" s="1650"/>
      <c r="D65" s="1840"/>
      <c r="E65" s="1536">
        <f t="shared" si="2"/>
        <v>0</v>
      </c>
      <c r="F65" s="1926">
        <f t="shared" si="1"/>
        <v>0</v>
      </c>
      <c r="G65" s="1789">
        <f t="shared" si="3"/>
        <v>0</v>
      </c>
    </row>
    <row r="66" spans="1:7" x14ac:dyDescent="0.25">
      <c r="A66" s="1649"/>
      <c r="B66" s="1663"/>
      <c r="C66" s="1650"/>
      <c r="D66" s="1840"/>
      <c r="E66" s="1536">
        <f t="shared" si="2"/>
        <v>0</v>
      </c>
      <c r="F66" s="1926">
        <f t="shared" si="1"/>
        <v>0</v>
      </c>
      <c r="G66" s="1789">
        <f t="shared" si="3"/>
        <v>0</v>
      </c>
    </row>
    <row r="67" spans="1:7" x14ac:dyDescent="0.25">
      <c r="A67" s="1649"/>
      <c r="B67" s="1663"/>
      <c r="C67" s="1650"/>
      <c r="D67" s="1840"/>
      <c r="E67" s="1536">
        <f t="shared" si="2"/>
        <v>0</v>
      </c>
      <c r="F67" s="1926">
        <f t="shared" si="1"/>
        <v>0</v>
      </c>
      <c r="G67" s="1789">
        <f t="shared" si="3"/>
        <v>0</v>
      </c>
    </row>
    <row r="68" spans="1:7" x14ac:dyDescent="0.25">
      <c r="A68" s="1649"/>
      <c r="B68" s="1663"/>
      <c r="C68" s="1650"/>
      <c r="D68" s="1840"/>
      <c r="E68" s="1536">
        <f t="shared" si="2"/>
        <v>0</v>
      </c>
      <c r="F68" s="1926">
        <f t="shared" si="1"/>
        <v>0</v>
      </c>
      <c r="G68" s="1789">
        <f t="shared" si="3"/>
        <v>0</v>
      </c>
    </row>
    <row r="69" spans="1:7" x14ac:dyDescent="0.25">
      <c r="A69" s="1649"/>
      <c r="B69" s="1663"/>
      <c r="C69" s="1650"/>
      <c r="D69" s="1840"/>
      <c r="E69" s="1536">
        <f t="shared" si="2"/>
        <v>0</v>
      </c>
      <c r="F69" s="1926">
        <f t="shared" si="1"/>
        <v>0</v>
      </c>
      <c r="G69" s="1789">
        <f t="shared" si="3"/>
        <v>0</v>
      </c>
    </row>
    <row r="70" spans="1:7" x14ac:dyDescent="0.25">
      <c r="A70" s="1649"/>
      <c r="B70" s="1663"/>
      <c r="C70" s="1650"/>
      <c r="D70" s="1840"/>
      <c r="E70" s="1536">
        <f t="shared" si="2"/>
        <v>0</v>
      </c>
      <c r="F70" s="1926">
        <f t="shared" si="1"/>
        <v>0</v>
      </c>
      <c r="G70" s="1789">
        <f t="shared" si="3"/>
        <v>0</v>
      </c>
    </row>
    <row r="71" spans="1:7" x14ac:dyDescent="0.25">
      <c r="A71" s="1649"/>
      <c r="B71" s="1663"/>
      <c r="C71" s="1650"/>
      <c r="D71" s="1840"/>
      <c r="E71" s="1536">
        <f t="shared" si="2"/>
        <v>0</v>
      </c>
      <c r="F71" s="1926">
        <f t="shared" si="1"/>
        <v>0</v>
      </c>
      <c r="G71" s="1789">
        <f t="shared" si="3"/>
        <v>0</v>
      </c>
    </row>
    <row r="72" spans="1:7" x14ac:dyDescent="0.25">
      <c r="A72" s="1649"/>
      <c r="B72" s="1663"/>
      <c r="C72" s="1650"/>
      <c r="D72" s="1840"/>
      <c r="E72" s="1536">
        <f t="shared" si="2"/>
        <v>0</v>
      </c>
      <c r="F72" s="1926">
        <f t="shared" si="1"/>
        <v>0</v>
      </c>
      <c r="G72" s="1789">
        <f t="shared" si="3"/>
        <v>0</v>
      </c>
    </row>
    <row r="73" spans="1:7" x14ac:dyDescent="0.25">
      <c r="A73" s="1649"/>
      <c r="B73" s="1663"/>
      <c r="C73" s="1650"/>
      <c r="D73" s="1840"/>
      <c r="E73" s="1536">
        <f t="shared" ref="E73:E84" si="4">IF(D73&lt;=25000,D73,IF(D73&gt;25000,25000,0))</f>
        <v>0</v>
      </c>
      <c r="F73" s="1926">
        <f t="shared" si="1"/>
        <v>0</v>
      </c>
      <c r="G73" s="1789">
        <f t="shared" ref="G73:G84" si="5">IF(F73=0,0,D73-F73)</f>
        <v>0</v>
      </c>
    </row>
    <row r="74" spans="1:7" x14ac:dyDescent="0.25">
      <c r="A74" s="1649"/>
      <c r="B74" s="1663"/>
      <c r="C74" s="1650"/>
      <c r="D74" s="1840"/>
      <c r="E74" s="1536">
        <f t="shared" si="4"/>
        <v>0</v>
      </c>
      <c r="F74" s="1926">
        <f t="shared" si="1"/>
        <v>0</v>
      </c>
      <c r="G74" s="1789">
        <f t="shared" si="5"/>
        <v>0</v>
      </c>
    </row>
    <row r="75" spans="1:7" x14ac:dyDescent="0.25">
      <c r="A75" s="1649"/>
      <c r="B75" s="1663"/>
      <c r="C75" s="1650"/>
      <c r="D75" s="1840"/>
      <c r="E75" s="1536">
        <f t="shared" si="4"/>
        <v>0</v>
      </c>
      <c r="F75" s="1926">
        <f t="shared" si="1"/>
        <v>0</v>
      </c>
      <c r="G75" s="1789">
        <f t="shared" si="5"/>
        <v>0</v>
      </c>
    </row>
    <row r="76" spans="1:7" x14ac:dyDescent="0.25">
      <c r="A76" s="1649"/>
      <c r="B76" s="1663"/>
      <c r="C76" s="1650"/>
      <c r="D76" s="1840"/>
      <c r="E76" s="1536">
        <f t="shared" si="4"/>
        <v>0</v>
      </c>
      <c r="F76" s="1926">
        <f t="shared" si="1"/>
        <v>0</v>
      </c>
      <c r="G76" s="1789">
        <f t="shared" si="5"/>
        <v>0</v>
      </c>
    </row>
    <row r="77" spans="1:7" x14ac:dyDescent="0.25">
      <c r="A77" s="1649"/>
      <c r="B77" s="1663"/>
      <c r="C77" s="1650"/>
      <c r="D77" s="1840"/>
      <c r="E77" s="1536">
        <f t="shared" si="4"/>
        <v>0</v>
      </c>
      <c r="F77" s="1926">
        <f t="shared" si="1"/>
        <v>0</v>
      </c>
      <c r="G77" s="1789">
        <f t="shared" si="5"/>
        <v>0</v>
      </c>
    </row>
    <row r="78" spans="1:7" x14ac:dyDescent="0.25">
      <c r="A78" s="1649"/>
      <c r="B78" s="1663"/>
      <c r="C78" s="1650"/>
      <c r="D78" s="1840"/>
      <c r="E78" s="1536">
        <f t="shared" si="4"/>
        <v>0</v>
      </c>
      <c r="F78" s="1926">
        <f t="shared" si="1"/>
        <v>0</v>
      </c>
      <c r="G78" s="1789">
        <f t="shared" si="5"/>
        <v>0</v>
      </c>
    </row>
    <row r="79" spans="1:7" x14ac:dyDescent="0.25">
      <c r="A79" s="1649"/>
      <c r="B79" s="1663"/>
      <c r="C79" s="1650"/>
      <c r="D79" s="1840"/>
      <c r="E79" s="1536">
        <f t="shared" si="4"/>
        <v>0</v>
      </c>
      <c r="F79" s="1926">
        <f t="shared" si="1"/>
        <v>0</v>
      </c>
      <c r="G79" s="1789">
        <f t="shared" si="5"/>
        <v>0</v>
      </c>
    </row>
    <row r="80" spans="1:7" x14ac:dyDescent="0.25">
      <c r="A80" s="1649"/>
      <c r="B80" s="1663"/>
      <c r="C80" s="1650"/>
      <c r="D80" s="1840"/>
      <c r="E80" s="1536">
        <f t="shared" si="4"/>
        <v>0</v>
      </c>
      <c r="F80" s="1926">
        <f t="shared" si="1"/>
        <v>0</v>
      </c>
      <c r="G80" s="1789">
        <f t="shared" si="5"/>
        <v>0</v>
      </c>
    </row>
    <row r="81" spans="1:7" x14ac:dyDescent="0.25">
      <c r="A81" s="1649"/>
      <c r="B81" s="1663"/>
      <c r="C81" s="1650"/>
      <c r="D81" s="1840"/>
      <c r="E81" s="1536">
        <f t="shared" si="4"/>
        <v>0</v>
      </c>
      <c r="F81" s="192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6">
        <f t="shared" si="6"/>
        <v>0</v>
      </c>
      <c r="G82" s="1789">
        <f t="shared" si="5"/>
        <v>0</v>
      </c>
    </row>
    <row r="83" spans="1:7" x14ac:dyDescent="0.25">
      <c r="A83" s="1649"/>
      <c r="B83" s="1663"/>
      <c r="C83" s="1650"/>
      <c r="D83" s="1840"/>
      <c r="E83" s="1536">
        <f t="shared" si="4"/>
        <v>0</v>
      </c>
      <c r="F83" s="1926">
        <f t="shared" si="6"/>
        <v>0</v>
      </c>
      <c r="G83" s="1789">
        <f t="shared" si="5"/>
        <v>0</v>
      </c>
    </row>
    <row r="84" spans="1:7" x14ac:dyDescent="0.25">
      <c r="A84" s="1649"/>
      <c r="B84" s="1663"/>
      <c r="C84" s="1650"/>
      <c r="D84" s="1840"/>
      <c r="E84" s="1536">
        <f t="shared" si="4"/>
        <v>0</v>
      </c>
      <c r="F84" s="1926">
        <f t="shared" si="6"/>
        <v>0</v>
      </c>
      <c r="G84" s="1789">
        <f t="shared" si="5"/>
        <v>0</v>
      </c>
    </row>
    <row r="85" spans="1:7" x14ac:dyDescent="0.25">
      <c r="A85" s="1649"/>
      <c r="B85" s="1663"/>
      <c r="C85" s="1650"/>
      <c r="D85" s="1840"/>
      <c r="E85" s="1536">
        <f t="shared" si="2"/>
        <v>0</v>
      </c>
      <c r="F85" s="1926">
        <f t="shared" si="6"/>
        <v>0</v>
      </c>
      <c r="G85" s="1789">
        <f t="shared" si="3"/>
        <v>0</v>
      </c>
    </row>
    <row r="86" spans="1:7" x14ac:dyDescent="0.25">
      <c r="A86" s="1649"/>
      <c r="B86" s="1663"/>
      <c r="C86" s="1650"/>
      <c r="D86" s="1840"/>
      <c r="E86" s="1536">
        <f t="shared" si="2"/>
        <v>0</v>
      </c>
      <c r="F86" s="1926">
        <f t="shared" si="6"/>
        <v>0</v>
      </c>
      <c r="G86" s="1789">
        <f t="shared" si="3"/>
        <v>0</v>
      </c>
    </row>
    <row r="87" spans="1:7" x14ac:dyDescent="0.25">
      <c r="A87" s="1649"/>
      <c r="B87" s="1663"/>
      <c r="C87" s="1650"/>
      <c r="D87" s="1840"/>
      <c r="E87" s="1536">
        <f t="shared" si="2"/>
        <v>0</v>
      </c>
      <c r="F87" s="1926">
        <f t="shared" si="6"/>
        <v>0</v>
      </c>
      <c r="G87" s="1789">
        <f t="shared" si="3"/>
        <v>0</v>
      </c>
    </row>
    <row r="88" spans="1:7" x14ac:dyDescent="0.25">
      <c r="A88" s="1649"/>
      <c r="B88" s="1663"/>
      <c r="C88" s="1650"/>
      <c r="D88" s="1840"/>
      <c r="E88" s="1536">
        <f t="shared" si="2"/>
        <v>0</v>
      </c>
      <c r="F88" s="1926">
        <f t="shared" si="6"/>
        <v>0</v>
      </c>
      <c r="G88" s="1789">
        <f t="shared" si="3"/>
        <v>0</v>
      </c>
    </row>
    <row r="89" spans="1:7" x14ac:dyDescent="0.25">
      <c r="A89" s="1649"/>
      <c r="B89" s="1663"/>
      <c r="C89" s="1650"/>
      <c r="D89" s="1840"/>
      <c r="E89" s="1536">
        <f t="shared" si="2"/>
        <v>0</v>
      </c>
      <c r="F89" s="1926">
        <f t="shared" si="6"/>
        <v>0</v>
      </c>
      <c r="G89" s="1789">
        <f t="shared" si="3"/>
        <v>0</v>
      </c>
    </row>
    <row r="90" spans="1:7" x14ac:dyDescent="0.25">
      <c r="A90" s="1649"/>
      <c r="B90" s="1663"/>
      <c r="C90" s="1650"/>
      <c r="D90" s="1840"/>
      <c r="E90" s="1536">
        <f t="shared" si="2"/>
        <v>0</v>
      </c>
      <c r="F90" s="1926">
        <f t="shared" si="6"/>
        <v>0</v>
      </c>
      <c r="G90" s="1789">
        <f t="shared" si="3"/>
        <v>0</v>
      </c>
    </row>
    <row r="91" spans="1:7" x14ac:dyDescent="0.25">
      <c r="A91" s="1649"/>
      <c r="B91" s="1663"/>
      <c r="C91" s="1650"/>
      <c r="D91" s="1840"/>
      <c r="E91" s="1536">
        <f t="shared" si="2"/>
        <v>0</v>
      </c>
      <c r="F91" s="1926">
        <f t="shared" si="6"/>
        <v>0</v>
      </c>
      <c r="G91" s="1789">
        <f t="shared" si="3"/>
        <v>0</v>
      </c>
    </row>
    <row r="92" spans="1:7" x14ac:dyDescent="0.25">
      <c r="A92" s="1649"/>
      <c r="B92" s="1663"/>
      <c r="C92" s="1650"/>
      <c r="D92" s="1840"/>
      <c r="E92" s="1536">
        <f t="shared" si="2"/>
        <v>0</v>
      </c>
      <c r="F92" s="1926">
        <f t="shared" si="6"/>
        <v>0</v>
      </c>
      <c r="G92" s="1789">
        <f t="shared" si="3"/>
        <v>0</v>
      </c>
    </row>
    <row r="93" spans="1:7" x14ac:dyDescent="0.25">
      <c r="A93" s="1649"/>
      <c r="B93" s="1663"/>
      <c r="C93" s="1650"/>
      <c r="D93" s="1840"/>
      <c r="E93" s="1536">
        <f t="shared" ref="E93" si="7">IF(D93&lt;=25000,D93,IF(D93&gt;25000,25000,0))</f>
        <v>0</v>
      </c>
      <c r="F93" s="1926">
        <f t="shared" si="6"/>
        <v>0</v>
      </c>
      <c r="G93" s="1789">
        <f t="shared" ref="G93" si="8">IF(F93=0,0,D93-F93)</f>
        <v>0</v>
      </c>
    </row>
    <row r="94" spans="1:7" x14ac:dyDescent="0.25">
      <c r="A94" s="1649"/>
      <c r="B94" s="1663"/>
      <c r="C94" s="1650"/>
      <c r="D94" s="1840"/>
      <c r="E94" s="1536">
        <f t="shared" si="2"/>
        <v>0</v>
      </c>
      <c r="F94" s="1926">
        <f t="shared" si="6"/>
        <v>0</v>
      </c>
      <c r="G94" s="1789">
        <f t="shared" si="3"/>
        <v>0</v>
      </c>
    </row>
    <row r="95" spans="1:7" x14ac:dyDescent="0.25">
      <c r="A95" s="1649"/>
      <c r="B95" s="1663"/>
      <c r="C95" s="1650"/>
      <c r="D95" s="1840"/>
      <c r="E95" s="1536">
        <f t="shared" ref="E95:E98" si="9">IF(D95&lt;=25000,D95,IF(D95&gt;25000,25000,0))</f>
        <v>0</v>
      </c>
      <c r="F95" s="1926">
        <f t="shared" si="6"/>
        <v>0</v>
      </c>
      <c r="G95" s="1789">
        <f t="shared" ref="G95:G98" si="10">IF(F95=0,0,D95-F95)</f>
        <v>0</v>
      </c>
    </row>
    <row r="96" spans="1:7" x14ac:dyDescent="0.25">
      <c r="A96" s="1649"/>
      <c r="B96" s="1663"/>
      <c r="C96" s="1650"/>
      <c r="D96" s="1840"/>
      <c r="E96" s="1536">
        <f t="shared" si="9"/>
        <v>0</v>
      </c>
      <c r="F96" s="1926">
        <f t="shared" si="6"/>
        <v>0</v>
      </c>
      <c r="G96" s="1789">
        <f t="shared" si="10"/>
        <v>0</v>
      </c>
    </row>
    <row r="97" spans="1:7" x14ac:dyDescent="0.25">
      <c r="A97" s="1649"/>
      <c r="B97" s="1663"/>
      <c r="C97" s="1650"/>
      <c r="D97" s="1840"/>
      <c r="E97" s="1536">
        <f t="shared" si="9"/>
        <v>0</v>
      </c>
      <c r="F97" s="1926">
        <f t="shared" si="6"/>
        <v>0</v>
      </c>
      <c r="G97" s="1789">
        <f t="shared" si="10"/>
        <v>0</v>
      </c>
    </row>
    <row r="98" spans="1:7" x14ac:dyDescent="0.25">
      <c r="A98" s="1649"/>
      <c r="B98" s="1663"/>
      <c r="C98" s="1650"/>
      <c r="D98" s="1840"/>
      <c r="E98" s="1536">
        <f t="shared" si="9"/>
        <v>0</v>
      </c>
      <c r="F98" s="1926">
        <f t="shared" si="6"/>
        <v>0</v>
      </c>
      <c r="G98" s="1789">
        <f t="shared" si="10"/>
        <v>0</v>
      </c>
    </row>
    <row r="99" spans="1:7" x14ac:dyDescent="0.25">
      <c r="A99" s="1649"/>
      <c r="B99" s="1663"/>
      <c r="C99" s="1650"/>
      <c r="D99" s="1840"/>
      <c r="E99" s="1536">
        <f t="shared" ref="E99" si="11">IF(D99&lt;=25000,D99,IF(D99&gt;25000,25000,0))</f>
        <v>0</v>
      </c>
      <c r="F99" s="1926">
        <f t="shared" si="6"/>
        <v>0</v>
      </c>
      <c r="G99" s="1789">
        <f t="shared" ref="G99" si="12">IF(F99=0,0,D99-F99)</f>
        <v>0</v>
      </c>
    </row>
    <row r="100" spans="1:7" x14ac:dyDescent="0.25">
      <c r="A100" s="1649"/>
      <c r="B100" s="1663"/>
      <c r="C100" s="1650"/>
      <c r="D100" s="1840"/>
      <c r="E100" s="1536">
        <f t="shared" ref="E100:E112" si="13">IF(D100&lt;=25000,D100,IF(D100&gt;25000,25000,0))</f>
        <v>0</v>
      </c>
      <c r="F100" s="1926">
        <f t="shared" si="6"/>
        <v>0</v>
      </c>
      <c r="G100" s="1789">
        <f t="shared" ref="G100:G112" si="14">IF(F100=0,0,D100-F100)</f>
        <v>0</v>
      </c>
    </row>
    <row r="101" spans="1:7" x14ac:dyDescent="0.25">
      <c r="A101" s="1649"/>
      <c r="B101" s="1663"/>
      <c r="C101" s="1650"/>
      <c r="D101" s="1840"/>
      <c r="E101" s="1536">
        <f t="shared" si="13"/>
        <v>0</v>
      </c>
      <c r="F101" s="1926">
        <f t="shared" si="6"/>
        <v>0</v>
      </c>
      <c r="G101" s="1789">
        <f t="shared" si="14"/>
        <v>0</v>
      </c>
    </row>
    <row r="102" spans="1:7" x14ac:dyDescent="0.25">
      <c r="A102" s="1649"/>
      <c r="B102" s="1663"/>
      <c r="C102" s="1650"/>
      <c r="D102" s="1840"/>
      <c r="E102" s="1536">
        <f t="shared" si="13"/>
        <v>0</v>
      </c>
      <c r="F102" s="1926">
        <f t="shared" si="6"/>
        <v>0</v>
      </c>
      <c r="G102" s="1789">
        <f t="shared" si="14"/>
        <v>0</v>
      </c>
    </row>
    <row r="103" spans="1:7" x14ac:dyDescent="0.25">
      <c r="A103" s="1649"/>
      <c r="B103" s="1663"/>
      <c r="C103" s="1650"/>
      <c r="D103" s="1840"/>
      <c r="E103" s="1536">
        <f t="shared" si="13"/>
        <v>0</v>
      </c>
      <c r="F103" s="1926">
        <f t="shared" si="6"/>
        <v>0</v>
      </c>
      <c r="G103" s="1789">
        <f t="shared" si="14"/>
        <v>0</v>
      </c>
    </row>
    <row r="104" spans="1:7" x14ac:dyDescent="0.25">
      <c r="A104" s="1649"/>
      <c r="B104" s="1663"/>
      <c r="C104" s="1650"/>
      <c r="D104" s="1840"/>
      <c r="E104" s="1536">
        <f t="shared" si="13"/>
        <v>0</v>
      </c>
      <c r="F104" s="1926">
        <f t="shared" si="6"/>
        <v>0</v>
      </c>
      <c r="G104" s="1789">
        <f t="shared" si="14"/>
        <v>0</v>
      </c>
    </row>
    <row r="105" spans="1:7" x14ac:dyDescent="0.25">
      <c r="A105" s="1649"/>
      <c r="B105" s="1663"/>
      <c r="C105" s="1650"/>
      <c r="D105" s="1840"/>
      <c r="E105" s="1536">
        <f t="shared" si="13"/>
        <v>0</v>
      </c>
      <c r="F105" s="1926">
        <f t="shared" si="6"/>
        <v>0</v>
      </c>
      <c r="G105" s="1789">
        <f t="shared" si="14"/>
        <v>0</v>
      </c>
    </row>
    <row r="106" spans="1:7" x14ac:dyDescent="0.25">
      <c r="A106" s="1649"/>
      <c r="B106" s="1663"/>
      <c r="C106" s="1650"/>
      <c r="D106" s="1840"/>
      <c r="E106" s="1536">
        <f t="shared" si="13"/>
        <v>0</v>
      </c>
      <c r="F106" s="1926">
        <f t="shared" si="6"/>
        <v>0</v>
      </c>
      <c r="G106" s="1789">
        <f t="shared" si="14"/>
        <v>0</v>
      </c>
    </row>
    <row r="107" spans="1:7" x14ac:dyDescent="0.25">
      <c r="A107" s="1649"/>
      <c r="B107" s="1663"/>
      <c r="C107" s="1650"/>
      <c r="D107" s="1840"/>
      <c r="E107" s="1536">
        <f t="shared" si="13"/>
        <v>0</v>
      </c>
      <c r="F107" s="1926">
        <f t="shared" si="6"/>
        <v>0</v>
      </c>
      <c r="G107" s="1789">
        <f t="shared" si="14"/>
        <v>0</v>
      </c>
    </row>
    <row r="108" spans="1:7" x14ac:dyDescent="0.25">
      <c r="A108" s="1649"/>
      <c r="B108" s="1663"/>
      <c r="C108" s="1650"/>
      <c r="D108" s="1840"/>
      <c r="E108" s="1536">
        <f t="shared" si="13"/>
        <v>0</v>
      </c>
      <c r="F108" s="1926">
        <f t="shared" si="6"/>
        <v>0</v>
      </c>
      <c r="G108" s="1789">
        <f t="shared" si="14"/>
        <v>0</v>
      </c>
    </row>
    <row r="109" spans="1:7" x14ac:dyDescent="0.25">
      <c r="A109" s="1649"/>
      <c r="B109" s="1663"/>
      <c r="C109" s="1650"/>
      <c r="D109" s="1840"/>
      <c r="E109" s="1536">
        <f t="shared" si="13"/>
        <v>0</v>
      </c>
      <c r="F109" s="1926">
        <f t="shared" si="6"/>
        <v>0</v>
      </c>
      <c r="G109" s="1789">
        <f t="shared" si="14"/>
        <v>0</v>
      </c>
    </row>
    <row r="110" spans="1:7" x14ac:dyDescent="0.25">
      <c r="A110" s="1649"/>
      <c r="B110" s="1663"/>
      <c r="C110" s="1650"/>
      <c r="D110" s="1840"/>
      <c r="E110" s="1536">
        <f t="shared" si="13"/>
        <v>0</v>
      </c>
      <c r="F110" s="1926">
        <f t="shared" si="6"/>
        <v>0</v>
      </c>
      <c r="G110" s="1789">
        <f t="shared" si="14"/>
        <v>0</v>
      </c>
    </row>
    <row r="111" spans="1:7" x14ac:dyDescent="0.25">
      <c r="A111" s="1649"/>
      <c r="B111" s="1663"/>
      <c r="C111" s="1650"/>
      <c r="D111" s="1840"/>
      <c r="E111" s="1536">
        <f t="shared" si="13"/>
        <v>0</v>
      </c>
      <c r="F111" s="1926">
        <f t="shared" si="6"/>
        <v>0</v>
      </c>
      <c r="G111" s="1789">
        <f t="shared" si="14"/>
        <v>0</v>
      </c>
    </row>
    <row r="112" spans="1:7" x14ac:dyDescent="0.25">
      <c r="A112" s="1649"/>
      <c r="B112" s="1663"/>
      <c r="C112" s="1650"/>
      <c r="D112" s="1840"/>
      <c r="E112" s="1536">
        <f t="shared" si="13"/>
        <v>0</v>
      </c>
      <c r="F112" s="1926">
        <f t="shared" si="6"/>
        <v>0</v>
      </c>
      <c r="G112" s="1789">
        <f t="shared" si="14"/>
        <v>0</v>
      </c>
    </row>
    <row r="113" spans="1:7" x14ac:dyDescent="0.25">
      <c r="A113" s="1649"/>
      <c r="B113" s="1663"/>
      <c r="C113" s="1650"/>
      <c r="D113" s="1840"/>
      <c r="E113" s="1536">
        <f t="shared" ref="E113:E125" si="15">IF(D113&lt;=25000,D113,IF(D113&gt;25000,25000,0))</f>
        <v>0</v>
      </c>
      <c r="F113" s="1926">
        <f t="shared" si="6"/>
        <v>0</v>
      </c>
      <c r="G113" s="1789">
        <f t="shared" ref="G113:G125" si="16">IF(F113=0,0,D113-F113)</f>
        <v>0</v>
      </c>
    </row>
    <row r="114" spans="1:7" x14ac:dyDescent="0.25">
      <c r="A114" s="1649"/>
      <c r="B114" s="1663"/>
      <c r="C114" s="1650"/>
      <c r="D114" s="1840"/>
      <c r="E114" s="1536">
        <f t="shared" si="15"/>
        <v>0</v>
      </c>
      <c r="F114" s="1926">
        <f t="shared" si="6"/>
        <v>0</v>
      </c>
      <c r="G114" s="1789">
        <f t="shared" si="16"/>
        <v>0</v>
      </c>
    </row>
    <row r="115" spans="1:7" x14ac:dyDescent="0.25">
      <c r="A115" s="1649"/>
      <c r="B115" s="1663"/>
      <c r="C115" s="1650"/>
      <c r="D115" s="1840"/>
      <c r="E115" s="1536">
        <f t="shared" si="15"/>
        <v>0</v>
      </c>
      <c r="F115" s="1926">
        <f t="shared" si="6"/>
        <v>0</v>
      </c>
      <c r="G115" s="1789">
        <f t="shared" si="16"/>
        <v>0</v>
      </c>
    </row>
    <row r="116" spans="1:7" x14ac:dyDescent="0.25">
      <c r="A116" s="1649"/>
      <c r="B116" s="1663"/>
      <c r="C116" s="1650"/>
      <c r="D116" s="1840"/>
      <c r="E116" s="1536">
        <f t="shared" si="15"/>
        <v>0</v>
      </c>
      <c r="F116" s="1926">
        <f t="shared" si="6"/>
        <v>0</v>
      </c>
      <c r="G116" s="1789">
        <f t="shared" si="16"/>
        <v>0</v>
      </c>
    </row>
    <row r="117" spans="1:7" x14ac:dyDescent="0.25">
      <c r="A117" s="1649"/>
      <c r="B117" s="1663"/>
      <c r="C117" s="1650"/>
      <c r="D117" s="1840"/>
      <c r="E117" s="1536">
        <f t="shared" si="15"/>
        <v>0</v>
      </c>
      <c r="F117" s="1926">
        <f t="shared" si="6"/>
        <v>0</v>
      </c>
      <c r="G117" s="1789">
        <f t="shared" si="16"/>
        <v>0</v>
      </c>
    </row>
    <row r="118" spans="1:7" x14ac:dyDescent="0.25">
      <c r="A118" s="1649"/>
      <c r="B118" s="1663"/>
      <c r="C118" s="1650"/>
      <c r="D118" s="1840"/>
      <c r="E118" s="1536">
        <f t="shared" si="15"/>
        <v>0</v>
      </c>
      <c r="F118" s="1926">
        <f t="shared" si="6"/>
        <v>0</v>
      </c>
      <c r="G118" s="1789">
        <f t="shared" si="16"/>
        <v>0</v>
      </c>
    </row>
    <row r="119" spans="1:7" x14ac:dyDescent="0.25">
      <c r="A119" s="1649"/>
      <c r="B119" s="1663"/>
      <c r="C119" s="1650"/>
      <c r="D119" s="1840"/>
      <c r="E119" s="1536">
        <f t="shared" si="15"/>
        <v>0</v>
      </c>
      <c r="F119" s="1926">
        <f t="shared" si="6"/>
        <v>0</v>
      </c>
      <c r="G119" s="1789">
        <f t="shared" si="16"/>
        <v>0</v>
      </c>
    </row>
    <row r="120" spans="1:7" x14ac:dyDescent="0.25">
      <c r="A120" s="1649"/>
      <c r="B120" s="1663"/>
      <c r="C120" s="1650"/>
      <c r="D120" s="1840"/>
      <c r="E120" s="1536">
        <f t="shared" si="15"/>
        <v>0</v>
      </c>
      <c r="F120" s="1926">
        <f t="shared" si="6"/>
        <v>0</v>
      </c>
      <c r="G120" s="1789">
        <f t="shared" si="16"/>
        <v>0</v>
      </c>
    </row>
    <row r="121" spans="1:7" x14ac:dyDescent="0.25">
      <c r="A121" s="1649"/>
      <c r="B121" s="1663"/>
      <c r="C121" s="1650"/>
      <c r="D121" s="1840"/>
      <c r="E121" s="1536">
        <f t="shared" si="15"/>
        <v>0</v>
      </c>
      <c r="F121" s="1926">
        <f t="shared" si="6"/>
        <v>0</v>
      </c>
      <c r="G121" s="1789">
        <f t="shared" si="16"/>
        <v>0</v>
      </c>
    </row>
    <row r="122" spans="1:7" x14ac:dyDescent="0.25">
      <c r="A122" s="1649"/>
      <c r="B122" s="1663"/>
      <c r="C122" s="1650"/>
      <c r="D122" s="1840"/>
      <c r="E122" s="1536">
        <f t="shared" si="15"/>
        <v>0</v>
      </c>
      <c r="F122" s="1926">
        <f t="shared" si="6"/>
        <v>0</v>
      </c>
      <c r="G122" s="1789">
        <f t="shared" si="16"/>
        <v>0</v>
      </c>
    </row>
    <row r="123" spans="1:7" x14ac:dyDescent="0.25">
      <c r="A123" s="1649"/>
      <c r="B123" s="1663"/>
      <c r="C123" s="1650"/>
      <c r="D123" s="1840"/>
      <c r="E123" s="1536">
        <f t="shared" si="15"/>
        <v>0</v>
      </c>
      <c r="F123" s="1926">
        <f t="shared" si="6"/>
        <v>0</v>
      </c>
      <c r="G123" s="1789">
        <f t="shared" si="16"/>
        <v>0</v>
      </c>
    </row>
    <row r="124" spans="1:7" x14ac:dyDescent="0.25">
      <c r="A124" s="1649"/>
      <c r="B124" s="1663"/>
      <c r="C124" s="1650"/>
      <c r="D124" s="1840"/>
      <c r="E124" s="1536">
        <f t="shared" si="15"/>
        <v>0</v>
      </c>
      <c r="F124" s="1926">
        <f t="shared" si="6"/>
        <v>0</v>
      </c>
      <c r="G124" s="1789">
        <f t="shared" si="16"/>
        <v>0</v>
      </c>
    </row>
    <row r="125" spans="1:7" x14ac:dyDescent="0.25">
      <c r="A125" s="1649"/>
      <c r="B125" s="1663"/>
      <c r="C125" s="1650"/>
      <c r="D125" s="1840"/>
      <c r="E125" s="1536">
        <f t="shared" si="15"/>
        <v>0</v>
      </c>
      <c r="F125" s="1926">
        <f t="shared" si="6"/>
        <v>0</v>
      </c>
      <c r="G125" s="1789">
        <f t="shared" si="16"/>
        <v>0</v>
      </c>
    </row>
    <row r="126" spans="1:7" x14ac:dyDescent="0.25">
      <c r="A126" s="1649"/>
      <c r="B126" s="1663"/>
      <c r="C126" s="1650"/>
      <c r="D126" s="1840"/>
      <c r="E126" s="1536">
        <f t="shared" ref="E126:E134" si="17">IF(D126&lt;=25000,D126,IF(D126&gt;25000,25000,0))</f>
        <v>0</v>
      </c>
      <c r="F126" s="1926">
        <f t="shared" si="6"/>
        <v>0</v>
      </c>
      <c r="G126" s="1789">
        <f t="shared" ref="G126:G134" si="18">IF(F126=0,0,D126-F126)</f>
        <v>0</v>
      </c>
    </row>
    <row r="127" spans="1:7" x14ac:dyDescent="0.25">
      <c r="A127" s="1649"/>
      <c r="B127" s="1663"/>
      <c r="C127" s="1650"/>
      <c r="D127" s="1840"/>
      <c r="E127" s="1536">
        <f t="shared" si="17"/>
        <v>0</v>
      </c>
      <c r="F127" s="1926">
        <f t="shared" si="6"/>
        <v>0</v>
      </c>
      <c r="G127" s="1789">
        <f t="shared" si="18"/>
        <v>0</v>
      </c>
    </row>
    <row r="128" spans="1:7" x14ac:dyDescent="0.25">
      <c r="A128" s="1649"/>
      <c r="B128" s="1663"/>
      <c r="C128" s="1650"/>
      <c r="D128" s="1840"/>
      <c r="E128" s="1536">
        <f t="shared" si="17"/>
        <v>0</v>
      </c>
      <c r="F128" s="1926">
        <f t="shared" si="6"/>
        <v>0</v>
      </c>
      <c r="G128" s="1789">
        <f t="shared" si="18"/>
        <v>0</v>
      </c>
    </row>
    <row r="129" spans="1:7" x14ac:dyDescent="0.25">
      <c r="A129" s="1649"/>
      <c r="B129" s="1663"/>
      <c r="C129" s="1650"/>
      <c r="D129" s="1840"/>
      <c r="E129" s="1536">
        <f t="shared" si="17"/>
        <v>0</v>
      </c>
      <c r="F129" s="1926">
        <f t="shared" si="6"/>
        <v>0</v>
      </c>
      <c r="G129" s="1789">
        <f t="shared" si="18"/>
        <v>0</v>
      </c>
    </row>
    <row r="130" spans="1:7" x14ac:dyDescent="0.25">
      <c r="A130" s="1649"/>
      <c r="B130" s="1663"/>
      <c r="C130" s="1650"/>
      <c r="D130" s="1840"/>
      <c r="E130" s="1536">
        <f t="shared" si="17"/>
        <v>0</v>
      </c>
      <c r="F130" s="1926">
        <f t="shared" si="6"/>
        <v>0</v>
      </c>
      <c r="G130" s="1789">
        <f t="shared" si="18"/>
        <v>0</v>
      </c>
    </row>
    <row r="131" spans="1:7" x14ac:dyDescent="0.25">
      <c r="A131" s="1649"/>
      <c r="B131" s="1833"/>
      <c r="C131" s="1650"/>
      <c r="D131" s="1840"/>
      <c r="E131" s="1536">
        <f t="shared" si="17"/>
        <v>0</v>
      </c>
      <c r="F131" s="1926">
        <f t="shared" si="6"/>
        <v>0</v>
      </c>
      <c r="G131" s="1789">
        <f t="shared" si="18"/>
        <v>0</v>
      </c>
    </row>
    <row r="132" spans="1:7" x14ac:dyDescent="0.25">
      <c r="A132" s="1649"/>
      <c r="B132" s="1833"/>
      <c r="C132" s="1650"/>
      <c r="D132" s="1840"/>
      <c r="E132" s="1536">
        <f t="shared" si="17"/>
        <v>0</v>
      </c>
      <c r="F132" s="1926">
        <f t="shared" si="6"/>
        <v>0</v>
      </c>
      <c r="G132" s="1789">
        <f t="shared" si="18"/>
        <v>0</v>
      </c>
    </row>
    <row r="133" spans="1:7" x14ac:dyDescent="0.25">
      <c r="A133" s="1649"/>
      <c r="B133" s="1663"/>
      <c r="C133" s="1650"/>
      <c r="D133" s="1840"/>
      <c r="E133" s="1536">
        <f t="shared" si="17"/>
        <v>0</v>
      </c>
      <c r="F133" s="1926">
        <f t="shared" si="6"/>
        <v>0</v>
      </c>
      <c r="G133" s="1789">
        <f t="shared" si="18"/>
        <v>0</v>
      </c>
    </row>
    <row r="134" spans="1:7" x14ac:dyDescent="0.25">
      <c r="A134" s="1649"/>
      <c r="B134" s="1663"/>
      <c r="C134" s="1650"/>
      <c r="D134" s="1840"/>
      <c r="E134" s="1536">
        <f t="shared" si="17"/>
        <v>0</v>
      </c>
      <c r="F134" s="1926">
        <f t="shared" si="6"/>
        <v>0</v>
      </c>
      <c r="G134" s="1789">
        <f t="shared" si="18"/>
        <v>0</v>
      </c>
    </row>
    <row r="135" spans="1:7" x14ac:dyDescent="0.25">
      <c r="A135" s="1649"/>
      <c r="B135" s="1663"/>
      <c r="C135" s="1650"/>
      <c r="D135" s="1840"/>
      <c r="E135" s="1536">
        <f t="shared" ref="E135:E139" si="19">IF(D135&lt;=25000,D135,IF(D135&gt;25000,25000,0))</f>
        <v>0</v>
      </c>
      <c r="F135" s="1926">
        <f t="shared" si="6"/>
        <v>0</v>
      </c>
      <c r="G135" s="1789">
        <f t="shared" ref="G135:G139" si="20">IF(F135=0,0,D135-F135)</f>
        <v>0</v>
      </c>
    </row>
    <row r="136" spans="1:7" x14ac:dyDescent="0.25">
      <c r="A136" s="1649"/>
      <c r="B136" s="1663"/>
      <c r="C136" s="1650"/>
      <c r="D136" s="1840"/>
      <c r="E136" s="1536">
        <f t="shared" si="19"/>
        <v>0</v>
      </c>
      <c r="F136" s="1926">
        <f t="shared" si="6"/>
        <v>0</v>
      </c>
      <c r="G136" s="1789">
        <f t="shared" si="20"/>
        <v>0</v>
      </c>
    </row>
    <row r="137" spans="1:7" x14ac:dyDescent="0.25">
      <c r="A137" s="1649"/>
      <c r="B137" s="1663"/>
      <c r="C137" s="1650"/>
      <c r="D137" s="1840"/>
      <c r="E137" s="1536">
        <f t="shared" si="19"/>
        <v>0</v>
      </c>
      <c r="F137" s="1926">
        <f t="shared" si="6"/>
        <v>0</v>
      </c>
      <c r="G137" s="1789">
        <f t="shared" si="20"/>
        <v>0</v>
      </c>
    </row>
    <row r="138" spans="1:7" x14ac:dyDescent="0.25">
      <c r="A138" s="1649"/>
      <c r="B138" s="1663"/>
      <c r="C138" s="1650"/>
      <c r="D138" s="1840"/>
      <c r="E138" s="1536">
        <f t="shared" si="19"/>
        <v>0</v>
      </c>
      <c r="F138" s="1926">
        <f t="shared" si="6"/>
        <v>0</v>
      </c>
      <c r="G138" s="1789">
        <f t="shared" si="20"/>
        <v>0</v>
      </c>
    </row>
    <row r="139" spans="1:7" x14ac:dyDescent="0.25">
      <c r="A139" s="1649"/>
      <c r="B139" s="1663"/>
      <c r="C139" s="1650"/>
      <c r="D139" s="1840"/>
      <c r="E139" s="1536">
        <f t="shared" si="19"/>
        <v>0</v>
      </c>
      <c r="F139" s="1926">
        <f t="shared" si="6"/>
        <v>0</v>
      </c>
      <c r="G139" s="1789">
        <f t="shared" si="20"/>
        <v>0</v>
      </c>
    </row>
    <row r="140" spans="1:7" x14ac:dyDescent="0.25">
      <c r="A140" s="1649"/>
      <c r="B140" s="1662"/>
      <c r="C140" s="1650"/>
      <c r="D140" s="1840"/>
      <c r="E140" s="1536">
        <f t="shared" si="2"/>
        <v>0</v>
      </c>
      <c r="F140" s="1926">
        <f t="shared" si="6"/>
        <v>0</v>
      </c>
      <c r="G140" s="1789">
        <f t="shared" si="3"/>
        <v>0</v>
      </c>
    </row>
    <row r="141" spans="1:7" x14ac:dyDescent="0.25">
      <c r="A141" s="1792" t="s">
        <v>156</v>
      </c>
      <c r="B141" s="1793"/>
      <c r="C141" s="1794"/>
      <c r="D141" s="1790">
        <f>SUM(D17:D140)</f>
        <v>0</v>
      </c>
      <c r="E141" s="1537">
        <f t="shared" si="0"/>
        <v>0</v>
      </c>
      <c r="F141" s="1927">
        <f>SUM(F17:F140)</f>
        <v>0</v>
      </c>
      <c r="G141" s="179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513" t="s">
        <v>1679</v>
      </c>
      <c r="B5" s="2514"/>
      <c r="C5" s="2514"/>
      <c r="D5" s="2514"/>
      <c r="E5" s="2514"/>
      <c r="F5" s="2514"/>
      <c r="G5" s="2515"/>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c r="F10" s="971"/>
      <c r="G10" s="972"/>
      <c r="H10" s="162"/>
      <c r="I10" s="162"/>
    </row>
    <row r="11" spans="1:9" s="665" customFormat="1" ht="22.5" customHeight="1" x14ac:dyDescent="0.2">
      <c r="A11" s="2518" t="s">
        <v>1974</v>
      </c>
      <c r="B11" s="2519"/>
      <c r="C11" s="2519"/>
      <c r="D11" s="2520"/>
      <c r="E11" s="974">
        <v>2742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2796678</v>
      </c>
      <c r="F19" s="1795"/>
      <c r="G19" s="1797">
        <f>'Expenditures 15-22'!K33-SUM('Expenditures 15-22'!G33,'Expenditures 15-22'!I33)+'Expenditures 15-22'!D229</f>
        <v>2796678</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1635234</v>
      </c>
      <c r="F21" s="1798"/>
      <c r="G21" s="1801">
        <f>'Expenditures 15-22'!K42-SUM('Expenditures 15-22'!G42,'Expenditures 15-22'!I42)+'Expenditures 15-22'!K120-SUM('Expenditures 15-22'!G120,'Expenditures 15-22'!I120)+'Expenditures 15-22'!K180-SUM('Expenditures 15-22'!G180,'Expenditures 15-22'!I180)+'Expenditures 15-22'!D238</f>
        <v>1635234</v>
      </c>
      <c r="H21" s="984"/>
      <c r="I21" s="162"/>
    </row>
    <row r="22" spans="1:9" s="665" customFormat="1" ht="12" customHeight="1" x14ac:dyDescent="0.2">
      <c r="A22" s="991" t="s">
        <v>564</v>
      </c>
      <c r="B22" s="992"/>
      <c r="C22" s="990">
        <v>2200</v>
      </c>
      <c r="D22" s="1798"/>
      <c r="E22" s="1800">
        <f>'Expenditures 15-22'!K47-SUM('Expenditures 15-22'!G47,'Expenditures 15-22'!I47)+'Expenditures 15-22'!D243</f>
        <v>175268</v>
      </c>
      <c r="F22" s="1798"/>
      <c r="G22" s="1801">
        <f>'Expenditures 15-22'!K47-SUM('Expenditures 15-22'!G47,'Expenditures 15-22'!I47)+'Expenditures 15-22'!D243</f>
        <v>175268</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690333</v>
      </c>
      <c r="F23" s="1798"/>
      <c r="G23" s="1800">
        <f>'Expenditures 15-22'!K53-SUM('Expenditures 15-22'!G53,'Expenditures 15-22'!I53)+'Expenditures 15-22'!D257+'Expenditures 15-22'!K330-SUM('Expenditures 15-22'!G330,'Expenditures 15-22'!I330)</f>
        <v>690333</v>
      </c>
      <c r="H23" s="984"/>
      <c r="I23" s="162"/>
    </row>
    <row r="24" spans="1:9" s="665" customFormat="1" ht="12" customHeight="1" x14ac:dyDescent="0.2">
      <c r="A24" s="991" t="s">
        <v>566</v>
      </c>
      <c r="B24" s="992"/>
      <c r="C24" s="990">
        <v>2400</v>
      </c>
      <c r="D24" s="1798"/>
      <c r="E24" s="1800">
        <f>'Expenditures 15-22'!K57-SUM('Expenditures 15-22'!G57,'Expenditures 15-22'!I57)+'Expenditures 15-22'!D261</f>
        <v>40510</v>
      </c>
      <c r="F24" s="1798"/>
      <c r="G24" s="1801">
        <f>'Expenditures 15-22'!K57-SUM('Expenditures 15-22'!G57,'Expenditures 15-22'!I57)+'Expenditures 15-22'!D261</f>
        <v>40510</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59688</v>
      </c>
      <c r="E27" s="1800">
        <f>E8</f>
        <v>0</v>
      </c>
      <c r="F27" s="1800">
        <f>'Expenditures 15-22'!K60-SUM('Expenditures 15-22'!G60,'Expenditures 15-22'!I60)+'Expenditures 15-22'!D264-E8</f>
        <v>59688</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82611</v>
      </c>
      <c r="F28" s="1802">
        <f>'Expenditures 15-22'!K61-SUM('Expenditures 15-22'!G61,'Expenditures 15-22'!I61)+'Expenditures 15-22'!K124-SUM('Expenditures 15-22'!G124,'Expenditures 15-22'!I124)+'Expenditures 15-22'!D266-E9</f>
        <v>82611</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0</v>
      </c>
      <c r="F29" s="1798"/>
      <c r="G29" s="1801">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8"/>
      <c r="E30" s="1800">
        <f>'Expenditures 15-22'!K63-SUM('Expenditures 15-22'!G63,'Expenditures 15-22'!I63)+'Expenditures 15-22'!D268-E10</f>
        <v>0</v>
      </c>
      <c r="F30" s="1798"/>
      <c r="G30" s="1800">
        <f>'Expenditures 15-22'!K63-SUM('Expenditures 15-22'!G63,'Expenditures 15-22'!I63)+'Expenditures 15-22'!D268-E10</f>
        <v>0</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2724</v>
      </c>
      <c r="E36" s="1800">
        <f>E13</f>
        <v>0</v>
      </c>
      <c r="F36" s="1800">
        <f>'Expenditures 15-22'!K70-SUM('Expenditures 15-22'!G70,'Expenditures 15-22'!I70)+'Expenditures 15-22'!D275-E13</f>
        <v>2724</v>
      </c>
      <c r="G36" s="1800">
        <f>E13</f>
        <v>0</v>
      </c>
    </row>
    <row r="37" spans="1:7" ht="12" customHeight="1" x14ac:dyDescent="0.2">
      <c r="A37" s="991" t="s">
        <v>404</v>
      </c>
      <c r="B37" s="994"/>
      <c r="C37" s="990">
        <v>2660</v>
      </c>
      <c r="D37" s="1800">
        <f>'Expenditures 15-22'!K71-SUM('Expenditures 15-22'!G71,'Expenditures 15-22'!I71)+'Expenditures 15-22'!D276-E14</f>
        <v>43885</v>
      </c>
      <c r="E37" s="1800">
        <f>E14</f>
        <v>0</v>
      </c>
      <c r="F37" s="1800">
        <f>'Expenditures 15-22'!K71-SUM('Expenditures 15-22'!G71,'Expenditures 15-22'!I71)+'Expenditures 15-22'!D276-E14</f>
        <v>43885</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27346</v>
      </c>
      <c r="F38" s="1798"/>
      <c r="G38" s="1800">
        <f>'Expenditures 15-22'!K73-SUM('Expenditures 15-22'!G73,'Expenditures 15-22'!I73)+'Expenditures 15-22'!K128-SUM('Expenditures 15-22'!G128,'Expenditures 15-22'!I128)+'Expenditures 15-22'!K183-SUM('Expenditures 15-22'!G183,'Expenditures 15-22'!I183)+'Expenditures 15-22'!D278</f>
        <v>27346</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1820</v>
      </c>
      <c r="B40" s="988"/>
      <c r="C40" s="990"/>
      <c r="D40" s="1798"/>
      <c r="E40" s="1802">
        <f>-'Contracts Paid in CY 29'!G141</f>
        <v>0</v>
      </c>
      <c r="F40" s="1798"/>
      <c r="G40" s="1802">
        <f>-'Contracts Paid in CY 29'!G141</f>
        <v>0</v>
      </c>
    </row>
    <row r="41" spans="1:7" ht="12" customHeight="1" x14ac:dyDescent="0.2">
      <c r="A41" s="995" t="s">
        <v>156</v>
      </c>
      <c r="B41" s="996"/>
      <c r="C41" s="997"/>
      <c r="D41" s="1802">
        <f>SUM(D19:D39)</f>
        <v>106297</v>
      </c>
      <c r="E41" s="1802">
        <f>SUM(E19:E40)</f>
        <v>5447980</v>
      </c>
      <c r="F41" s="1802">
        <f>SUM(F19:F39)</f>
        <v>188908</v>
      </c>
      <c r="G41" s="1802">
        <f>SUM(G19:G40)</f>
        <v>5365369</v>
      </c>
    </row>
    <row r="42" spans="1:7" x14ac:dyDescent="0.2">
      <c r="A42" s="984"/>
      <c r="B42" s="162"/>
      <c r="C42" s="998"/>
      <c r="D42" s="2516" t="s">
        <v>522</v>
      </c>
      <c r="E42" s="2517"/>
      <c r="F42" s="999" t="s">
        <v>523</v>
      </c>
      <c r="G42" s="1000"/>
    </row>
    <row r="43" spans="1:7" ht="12" customHeight="1" x14ac:dyDescent="0.2">
      <c r="A43" s="984"/>
      <c r="B43" s="162"/>
      <c r="C43" s="998"/>
      <c r="D43" s="1803" t="s">
        <v>473</v>
      </c>
      <c r="E43" s="1804">
        <f>D41</f>
        <v>106297</v>
      </c>
      <c r="F43" s="1803" t="s">
        <v>473</v>
      </c>
      <c r="G43" s="1804">
        <f>F41</f>
        <v>188908</v>
      </c>
    </row>
    <row r="44" spans="1:7" ht="12" customHeight="1" x14ac:dyDescent="0.2">
      <c r="A44" s="984"/>
      <c r="B44" s="162"/>
      <c r="C44" s="998"/>
      <c r="D44" s="1803" t="s">
        <v>474</v>
      </c>
      <c r="E44" s="1804">
        <f>E41</f>
        <v>5447980</v>
      </c>
      <c r="F44" s="1803" t="s">
        <v>474</v>
      </c>
      <c r="G44" s="1804">
        <f>G41</f>
        <v>5365369</v>
      </c>
    </row>
    <row r="45" spans="1:7" ht="12" customHeight="1" x14ac:dyDescent="0.2">
      <c r="A45" s="984"/>
      <c r="B45" s="162"/>
      <c r="C45" s="162"/>
      <c r="D45" s="1805" t="s">
        <v>1006</v>
      </c>
      <c r="E45" s="1806">
        <f>(E43/E44)</f>
        <v>1.9511268396726861E-2</v>
      </c>
      <c r="F45" s="1805" t="s">
        <v>1006</v>
      </c>
      <c r="G45" s="1806">
        <f>(G43/G44)</f>
        <v>3.5208761969586805E-2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535" t="s">
        <v>1379</v>
      </c>
      <c r="B1" s="2535"/>
      <c r="C1" s="2535"/>
      <c r="D1" s="2535"/>
      <c r="E1" s="2535"/>
      <c r="F1" s="2535"/>
    </row>
    <row r="2" spans="1:10" x14ac:dyDescent="0.2">
      <c r="A2" s="1881" t="s">
        <v>1909</v>
      </c>
      <c r="B2" s="1842"/>
      <c r="C2" s="1881"/>
      <c r="D2" s="1842"/>
      <c r="E2" s="1842"/>
      <c r="F2" s="1843"/>
    </row>
    <row r="3" spans="1:10" x14ac:dyDescent="0.2">
      <c r="A3" s="1881" t="s">
        <v>1975</v>
      </c>
      <c r="B3" s="1842"/>
      <c r="C3" s="1881"/>
      <c r="D3" s="1842"/>
      <c r="E3" s="1842"/>
      <c r="F3" s="1843"/>
    </row>
    <row r="4" spans="1:10" ht="3.75" customHeight="1" x14ac:dyDescent="0.2">
      <c r="A4" s="1842"/>
      <c r="B4" s="1842"/>
      <c r="C4" s="1842"/>
      <c r="D4" s="1842"/>
      <c r="E4" s="1842"/>
      <c r="F4" s="1843"/>
    </row>
    <row r="5" spans="1:10" ht="15" x14ac:dyDescent="0.25">
      <c r="A5" s="2536" t="s">
        <v>1546</v>
      </c>
      <c r="B5" s="2537"/>
      <c r="C5" s="2538"/>
      <c r="D5" s="2538"/>
      <c r="E5" s="2538"/>
      <c r="F5" s="2538"/>
    </row>
    <row r="6" spans="1:10" ht="12" customHeight="1" x14ac:dyDescent="0.25">
      <c r="A6" s="1844"/>
      <c r="B6" s="1845"/>
      <c r="C6" s="2539" t="str">
        <f>COVER!A17</f>
        <v>Bi County Special Educ Coop</v>
      </c>
      <c r="D6" s="2539"/>
      <c r="E6" s="2539"/>
      <c r="F6" s="1846"/>
    </row>
    <row r="7" spans="1:10" ht="11.25" customHeight="1" thickBot="1" x14ac:dyDescent="0.3">
      <c r="A7" s="1844"/>
      <c r="B7" s="1845"/>
      <c r="C7" s="2540">
        <f>COVER!A13</f>
        <v>47098000061</v>
      </c>
      <c r="D7" s="2540"/>
      <c r="E7" s="2540"/>
      <c r="F7" s="1846"/>
    </row>
    <row r="8" spans="1:10" ht="25.5" customHeight="1" thickBot="1" x14ac:dyDescent="0.25">
      <c r="A8" s="1887" t="s">
        <v>1905</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c r="D15" s="1859"/>
      <c r="E15" s="1862"/>
      <c r="F15" s="1861"/>
      <c r="H15" s="1872">
        <f t="shared" si="0"/>
        <v>0</v>
      </c>
      <c r="I15" s="1872">
        <f t="shared" si="1"/>
        <v>0</v>
      </c>
      <c r="J15" s="1872">
        <f t="shared" si="2"/>
        <v>0</v>
      </c>
    </row>
    <row r="16" spans="1:10" ht="12" customHeight="1" x14ac:dyDescent="0.2">
      <c r="A16" s="1857" t="s">
        <v>1388</v>
      </c>
      <c r="B16" s="1858"/>
      <c r="C16" s="1859" t="s">
        <v>2070</v>
      </c>
      <c r="D16" s="1859" t="s">
        <v>2070</v>
      </c>
      <c r="E16" s="1862"/>
      <c r="F16" s="1861" t="s">
        <v>2084</v>
      </c>
      <c r="H16" s="1872">
        <f t="shared" si="0"/>
        <v>5</v>
      </c>
      <c r="I16" s="1872">
        <f t="shared" si="1"/>
        <v>5</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c r="D20" s="1859"/>
      <c r="E20" s="1862"/>
      <c r="F20" s="1861"/>
      <c r="H20" s="1872">
        <f t="shared" si="0"/>
        <v>0</v>
      </c>
      <c r="I20" s="1872">
        <f t="shared" si="1"/>
        <v>0</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c r="D26" s="1859"/>
      <c r="E26" s="1862"/>
      <c r="F26" s="1861"/>
      <c r="H26" s="1872">
        <f t="shared" si="0"/>
        <v>0</v>
      </c>
      <c r="I26" s="1872">
        <f t="shared" si="1"/>
        <v>0</v>
      </c>
      <c r="J26" s="1872">
        <f t="shared" si="2"/>
        <v>0</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c r="D28" s="1859"/>
      <c r="E28" s="1862"/>
      <c r="F28" s="1861"/>
      <c r="H28" s="1872">
        <f t="shared" si="0"/>
        <v>0</v>
      </c>
      <c r="I28" s="1872">
        <f t="shared" si="1"/>
        <v>0</v>
      </c>
      <c r="J28" s="1872">
        <f t="shared" si="2"/>
        <v>0</v>
      </c>
    </row>
    <row r="29" spans="1:12" ht="12" customHeight="1" x14ac:dyDescent="0.2">
      <c r="A29" s="1857" t="s">
        <v>1537</v>
      </c>
      <c r="B29" s="1858"/>
      <c r="C29" s="1859"/>
      <c r="D29" s="1859"/>
      <c r="E29" s="1862"/>
      <c r="F29" s="1861"/>
      <c r="H29" s="1872">
        <f t="shared" si="0"/>
        <v>0</v>
      </c>
      <c r="I29" s="1872">
        <f t="shared" si="1"/>
        <v>0</v>
      </c>
      <c r="J29" s="1872">
        <f t="shared" si="2"/>
        <v>0</v>
      </c>
    </row>
    <row r="30" spans="1:12" ht="12" customHeight="1" x14ac:dyDescent="0.2">
      <c r="A30" s="1857" t="s">
        <v>1538</v>
      </c>
      <c r="B30" s="1858"/>
      <c r="C30" s="1859"/>
      <c r="D30" s="1859"/>
      <c r="E30" s="1862"/>
      <c r="F30" s="1861"/>
      <c r="H30" s="1872">
        <f t="shared" si="0"/>
        <v>0</v>
      </c>
      <c r="I30" s="1872">
        <f t="shared" si="1"/>
        <v>0</v>
      </c>
      <c r="J30" s="1872">
        <f t="shared" si="2"/>
        <v>0</v>
      </c>
    </row>
    <row r="31" spans="1:12" ht="12" customHeight="1" x14ac:dyDescent="0.2">
      <c r="A31" s="1857" t="s">
        <v>1539</v>
      </c>
      <c r="B31" s="1858"/>
      <c r="C31" s="1859"/>
      <c r="D31" s="1859"/>
      <c r="E31" s="1862"/>
      <c r="F31" s="1861"/>
      <c r="H31" s="1872">
        <f t="shared" si="0"/>
        <v>0</v>
      </c>
      <c r="I31" s="1872">
        <f t="shared" si="1"/>
        <v>0</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5</v>
      </c>
      <c r="I34" s="1872">
        <f>SUM(I11:I32)</f>
        <v>5</v>
      </c>
      <c r="J34" s="1872">
        <f>SUM(J11:J32)</f>
        <v>0</v>
      </c>
      <c r="K34" s="1872">
        <f>SUM(H34:J34)</f>
        <v>10</v>
      </c>
    </row>
    <row r="35" spans="1:11" ht="12" customHeight="1" x14ac:dyDescent="0.2">
      <c r="A35" s="1865" t="s">
        <v>1392</v>
      </c>
      <c r="B35" s="1866"/>
      <c r="C35" s="2541"/>
      <c r="D35" s="2541"/>
      <c r="E35" s="2541"/>
      <c r="F35" s="2542"/>
    </row>
    <row r="36" spans="1:11" ht="12" customHeight="1" x14ac:dyDescent="0.2">
      <c r="A36" s="2524"/>
      <c r="B36" s="2525"/>
      <c r="C36" s="2525"/>
      <c r="D36" s="2525"/>
      <c r="E36" s="2525"/>
      <c r="F36" s="2526"/>
    </row>
    <row r="37" spans="1:11" ht="12" customHeight="1" x14ac:dyDescent="0.2">
      <c r="A37" s="2524"/>
      <c r="B37" s="2525"/>
      <c r="C37" s="2525"/>
      <c r="D37" s="2525"/>
      <c r="E37" s="2525"/>
      <c r="F37" s="2526"/>
    </row>
    <row r="38" spans="1:11" ht="12" customHeight="1" x14ac:dyDescent="0.2">
      <c r="A38" s="2527"/>
      <c r="B38" s="2528"/>
      <c r="C38" s="2528"/>
      <c r="D38" s="2528"/>
      <c r="E38" s="2528"/>
      <c r="F38" s="2529"/>
    </row>
    <row r="39" spans="1:11" ht="4.5" hidden="1" customHeight="1" x14ac:dyDescent="0.2">
      <c r="A39" s="1867"/>
      <c r="B39" s="1867"/>
      <c r="C39" s="1867"/>
      <c r="D39" s="1867"/>
      <c r="E39" s="1867"/>
      <c r="F39" s="1867"/>
    </row>
    <row r="40" spans="1:11" s="1864" customFormat="1" ht="12" customHeight="1" x14ac:dyDescent="0.25">
      <c r="A40" s="1868" t="s">
        <v>1391</v>
      </c>
      <c r="B40" s="1869"/>
      <c r="C40" s="2530"/>
      <c r="D40" s="2530"/>
      <c r="E40" s="2530"/>
      <c r="F40" s="2531"/>
      <c r="H40" s="1873"/>
      <c r="I40" s="1873"/>
      <c r="J40" s="1873"/>
      <c r="K40" s="1873"/>
    </row>
    <row r="41" spans="1:11" s="1864" customFormat="1" ht="12" customHeight="1" x14ac:dyDescent="0.25">
      <c r="A41" s="2532"/>
      <c r="B41" s="2533"/>
      <c r="C41" s="2533"/>
      <c r="D41" s="2533"/>
      <c r="E41" s="2533"/>
      <c r="F41" s="2534"/>
      <c r="H41" s="1873"/>
      <c r="I41" s="1873"/>
      <c r="J41" s="1873"/>
      <c r="K41" s="1873"/>
    </row>
    <row r="42" spans="1:11" s="1864" customFormat="1" ht="12" customHeight="1" x14ac:dyDescent="0.25">
      <c r="A42" s="2532"/>
      <c r="B42" s="2533"/>
      <c r="C42" s="2533"/>
      <c r="D42" s="2533"/>
      <c r="E42" s="2533"/>
      <c r="F42" s="2534"/>
      <c r="H42" s="1873"/>
      <c r="I42" s="1873"/>
      <c r="J42" s="1873"/>
      <c r="K42" s="1873"/>
    </row>
    <row r="43" spans="1:11" s="1864" customFormat="1" ht="15" x14ac:dyDescent="0.25">
      <c r="A43" s="2521"/>
      <c r="B43" s="2522"/>
      <c r="C43" s="2522"/>
      <c r="D43" s="2522"/>
      <c r="E43" s="2522"/>
      <c r="F43" s="2523"/>
      <c r="H43" s="1873"/>
      <c r="I43" s="1873"/>
      <c r="J43" s="1873"/>
      <c r="K43" s="1873"/>
    </row>
    <row r="44" spans="1:11" s="1864" customFormat="1" ht="12" hidden="1" customHeight="1" x14ac:dyDescent="0.25">
      <c r="A44" s="2521"/>
      <c r="B44" s="2522"/>
      <c r="C44" s="2522"/>
      <c r="D44" s="2522"/>
      <c r="E44" s="2522"/>
      <c r="F44" s="2523"/>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8" t="s">
        <v>672</v>
      </c>
      <c r="B6" s="1638"/>
      <c r="C6" s="1638"/>
      <c r="D6" s="1638"/>
      <c r="E6" s="1639"/>
      <c r="F6" s="1012"/>
      <c r="G6" s="1006"/>
      <c r="H6" s="1013" t="s">
        <v>1028</v>
      </c>
      <c r="I6" s="2548" t="str">
        <f>COVER!A17</f>
        <v>Bi County Special Educ Coop</v>
      </c>
      <c r="J6" s="2549"/>
      <c r="Q6" s="1660"/>
    </row>
    <row r="7" spans="1:17" x14ac:dyDescent="0.2">
      <c r="A7" s="2550" t="s">
        <v>869</v>
      </c>
      <c r="B7" s="2551"/>
      <c r="C7" s="2551"/>
      <c r="D7" s="2551"/>
      <c r="E7" s="2552"/>
      <c r="F7" s="1014"/>
      <c r="G7" s="1006"/>
      <c r="H7" s="1013" t="s">
        <v>372</v>
      </c>
      <c r="I7" s="2553">
        <f>COVER!A13</f>
        <v>47098000061</v>
      </c>
      <c r="J7" s="2553"/>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89" t="s">
        <v>1976</v>
      </c>
      <c r="F9" s="1020"/>
      <c r="G9" s="1020"/>
      <c r="H9" s="1890"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554" t="s">
        <v>481</v>
      </c>
      <c r="B11" s="2555"/>
      <c r="C11" s="2556"/>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150156</v>
      </c>
      <c r="F12" s="1036"/>
      <c r="G12" s="1807">
        <f t="shared" ref="G12:G18" si="0">SUM(E12:F12)</f>
        <v>150156</v>
      </c>
      <c r="H12" s="1037"/>
      <c r="I12" s="1036"/>
      <c r="J12" s="1807">
        <f t="shared" ref="J12:J18" si="1">SUM(H12:I12)</f>
        <v>0</v>
      </c>
    </row>
    <row r="13" spans="1:17" ht="15" customHeight="1" x14ac:dyDescent="0.2">
      <c r="A13" s="1032">
        <v>2</v>
      </c>
      <c r="B13" s="1033" t="s">
        <v>42</v>
      </c>
      <c r="C13" s="1034"/>
      <c r="D13" s="1035">
        <v>2330</v>
      </c>
      <c r="E13" s="1807">
        <f>'Expenditures 15-22'!K51</f>
        <v>4891</v>
      </c>
      <c r="F13" s="1036"/>
      <c r="G13" s="1807">
        <f t="shared" si="0"/>
        <v>4891</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557" t="s">
        <v>7</v>
      </c>
      <c r="C18" s="2558"/>
      <c r="D18" s="2559"/>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155047</v>
      </c>
      <c r="F19" s="1809">
        <f t="shared" si="2"/>
        <v>0</v>
      </c>
      <c r="G19" s="1809">
        <f t="shared" si="2"/>
        <v>155047</v>
      </c>
      <c r="H19" s="1809">
        <f t="shared" si="2"/>
        <v>0</v>
      </c>
      <c r="I19" s="1809">
        <f t="shared" si="2"/>
        <v>0</v>
      </c>
      <c r="J19" s="1809">
        <f t="shared" si="2"/>
        <v>0</v>
      </c>
    </row>
    <row r="20" spans="1:10" ht="13.5" thickTop="1" x14ac:dyDescent="0.2">
      <c r="A20" s="1032">
        <v>9</v>
      </c>
      <c r="B20" s="2560" t="s">
        <v>1978</v>
      </c>
      <c r="C20" s="2560"/>
      <c r="D20" s="2561"/>
      <c r="E20" s="1043"/>
      <c r="F20" s="1043"/>
      <c r="G20" s="1043"/>
      <c r="H20" s="1043"/>
      <c r="I20" s="1043"/>
      <c r="J20" s="1810" t="str">
        <f>IF(AND(G19&gt;0,J19&gt;0),(((J19-G19)/G19)),"Enter Budget Data")</f>
        <v>Enter Budget Data</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566"/>
      <c r="D26" s="2566"/>
      <c r="E26" s="1047"/>
      <c r="F26" s="2565"/>
      <c r="G26" s="2565"/>
    </row>
    <row r="27" spans="1:10" x14ac:dyDescent="0.2">
      <c r="B27" s="1044"/>
      <c r="C27" s="1048" t="s">
        <v>1033</v>
      </c>
      <c r="D27" s="1049"/>
      <c r="E27" s="1050"/>
      <c r="F27" s="2562" t="s">
        <v>1509</v>
      </c>
      <c r="G27" s="2562"/>
    </row>
    <row r="28" spans="1:10" ht="28.5" customHeight="1" x14ac:dyDescent="0.2">
      <c r="B28" s="1044"/>
      <c r="C28" s="2564"/>
      <c r="D28" s="2564"/>
      <c r="E28" s="1051"/>
      <c r="F28" s="2564"/>
      <c r="G28" s="2564"/>
    </row>
    <row r="29" spans="1:10" x14ac:dyDescent="0.2">
      <c r="B29" s="1044"/>
      <c r="C29" s="1052" t="s">
        <v>1561</v>
      </c>
      <c r="E29" s="1053"/>
      <c r="F29" s="2563" t="s">
        <v>1510</v>
      </c>
      <c r="G29" s="2563"/>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545" t="s">
        <v>132</v>
      </c>
      <c r="D33" s="2546"/>
      <c r="E33" s="2546"/>
      <c r="F33" s="2546"/>
      <c r="G33" s="2546"/>
      <c r="H33" s="2546"/>
      <c r="I33" s="2546"/>
    </row>
    <row r="34" spans="1:10" ht="10.35" customHeight="1" x14ac:dyDescent="0.2">
      <c r="C34" s="2546"/>
      <c r="D34" s="2546"/>
      <c r="E34" s="2546"/>
      <c r="F34" s="2546"/>
      <c r="G34" s="2546"/>
      <c r="H34" s="2546"/>
      <c r="I34" s="2546"/>
    </row>
    <row r="35" spans="1:10" ht="7.5" customHeight="1" x14ac:dyDescent="0.2">
      <c r="C35" s="1059"/>
    </row>
    <row r="36" spans="1:10" ht="13.5" customHeight="1" x14ac:dyDescent="0.2">
      <c r="B36" s="1058"/>
      <c r="C36" s="2547" t="s">
        <v>1980</v>
      </c>
      <c r="D36" s="2546"/>
      <c r="E36" s="2546"/>
      <c r="F36" s="2546"/>
      <c r="G36" s="2546"/>
      <c r="H36" s="2546"/>
      <c r="I36" s="2546"/>
      <c r="J36" s="1060"/>
    </row>
    <row r="37" spans="1:10" ht="22.5" customHeight="1" x14ac:dyDescent="0.2">
      <c r="C37" s="2546"/>
      <c r="D37" s="2546"/>
      <c r="E37" s="2546"/>
      <c r="F37" s="2546"/>
      <c r="G37" s="2546"/>
      <c r="H37" s="2546"/>
      <c r="I37" s="2546"/>
      <c r="J37" s="1060"/>
    </row>
    <row r="38" spans="1:10" ht="7.5" customHeight="1" x14ac:dyDescent="0.2">
      <c r="C38" s="1059"/>
      <c r="D38" s="1061"/>
      <c r="E38" s="1062"/>
      <c r="F38" s="1063"/>
      <c r="G38" s="1062"/>
    </row>
    <row r="39" spans="1:10" ht="13.5" customHeight="1" x14ac:dyDescent="0.2">
      <c r="B39" s="1058"/>
      <c r="C39" s="2543" t="s">
        <v>882</v>
      </c>
      <c r="D39" s="2544"/>
      <c r="E39" s="2544"/>
      <c r="F39" s="2544"/>
      <c r="G39" s="2544"/>
      <c r="H39" s="2544"/>
      <c r="I39" s="2544"/>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2213</v>
      </c>
    </row>
    <row r="6" spans="1:2" x14ac:dyDescent="0.2">
      <c r="A6" s="1065">
        <v>2</v>
      </c>
      <c r="B6" s="329" t="s">
        <v>2214</v>
      </c>
    </row>
    <row r="7" spans="1:2" x14ac:dyDescent="0.2">
      <c r="A7" s="1065">
        <v>3</v>
      </c>
      <c r="B7" s="329" t="s">
        <v>2215</v>
      </c>
    </row>
    <row r="8" spans="1:2" x14ac:dyDescent="0.2">
      <c r="A8" s="1065"/>
      <c r="B8" s="329" t="s">
        <v>2216</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Bi County Special Educ Coop</v>
      </c>
    </row>
    <row r="65" spans="2:2" x14ac:dyDescent="0.2">
      <c r="B65" s="1067">
        <f>COVER!A13</f>
        <v>47098000061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2" t="s">
        <v>1611</v>
      </c>
    </row>
    <row r="23" spans="1:5" x14ac:dyDescent="0.2">
      <c r="A23" s="168"/>
      <c r="B23" s="162" t="s">
        <v>1854</v>
      </c>
      <c r="D23" s="167" t="s">
        <v>637</v>
      </c>
      <c r="E23" s="1832"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84" t="s">
        <v>1065</v>
      </c>
      <c r="B35" s="2284"/>
      <c r="C35" s="2284"/>
      <c r="D35" s="2284"/>
      <c r="E35" s="22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81" t="s">
        <v>691</v>
      </c>
      <c r="B40" s="2281"/>
      <c r="C40" s="2281"/>
      <c r="D40" s="2281"/>
      <c r="E40" s="2281"/>
    </row>
    <row r="41" spans="1:5" x14ac:dyDescent="0.2">
      <c r="A41" s="2282" t="s">
        <v>1608</v>
      </c>
      <c r="B41" s="2282"/>
      <c r="C41" s="2282"/>
      <c r="D41" s="2282"/>
      <c r="E41" s="2282"/>
    </row>
    <row r="42" spans="1:5" ht="12.75" customHeight="1" x14ac:dyDescent="0.2">
      <c r="A42" s="2283" t="s">
        <v>1022</v>
      </c>
      <c r="B42" s="2283"/>
      <c r="C42" s="2283"/>
      <c r="D42" s="2283"/>
      <c r="E42" s="228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1" t="s">
        <v>1773</v>
      </c>
    </row>
    <row r="60" spans="1:3" x14ac:dyDescent="0.2">
      <c r="A60" s="196"/>
      <c r="B60" s="1481"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3"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2"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567" t="s">
        <v>1685</v>
      </c>
      <c r="B18" s="256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361950</xdr:colOff>
                <xdr:row>1</xdr:row>
                <xdr:rowOff>114300</xdr:rowOff>
              </from>
              <to>
                <xdr:col>1</xdr:col>
                <xdr:colOff>1276350</xdr:colOff>
                <xdr:row>5</xdr:row>
                <xdr:rowOff>152400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1495425</xdr:colOff>
                <xdr:row>1</xdr:row>
                <xdr:rowOff>114300</xdr:rowOff>
              </from>
              <to>
                <xdr:col>1</xdr:col>
                <xdr:colOff>2409825</xdr:colOff>
                <xdr:row>5</xdr:row>
                <xdr:rowOff>152400</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68" t="s">
        <v>1690</v>
      </c>
      <c r="B1" s="2569"/>
      <c r="C1" s="2569"/>
      <c r="D1" s="2569"/>
      <c r="E1" s="2569"/>
      <c r="F1" s="2570"/>
    </row>
    <row r="2" spans="1:8" ht="45" customHeight="1" x14ac:dyDescent="0.2">
      <c r="A2" s="2578" t="s">
        <v>1984</v>
      </c>
      <c r="B2" s="2579"/>
      <c r="C2" s="2579"/>
      <c r="D2" s="2579"/>
      <c r="E2" s="2579"/>
      <c r="F2" s="2580"/>
      <c r="G2" s="1071"/>
      <c r="H2" s="1071"/>
    </row>
    <row r="3" spans="1:8" ht="57" customHeight="1" x14ac:dyDescent="0.2">
      <c r="A3" s="2581" t="s">
        <v>1686</v>
      </c>
      <c r="B3" s="2582"/>
      <c r="C3" s="2582"/>
      <c r="D3" s="2582"/>
      <c r="E3" s="2582"/>
      <c r="F3" s="2583"/>
      <c r="G3" s="1071"/>
      <c r="H3" s="1071"/>
    </row>
    <row r="4" spans="1:8" ht="14.25" customHeight="1" x14ac:dyDescent="0.2">
      <c r="A4" s="2587" t="s">
        <v>1985</v>
      </c>
      <c r="B4" s="2588"/>
      <c r="C4" s="2588"/>
      <c r="D4" s="2588"/>
      <c r="E4" s="2588"/>
      <c r="F4" s="2589"/>
      <c r="G4" s="1071"/>
      <c r="H4" s="1071"/>
    </row>
    <row r="5" spans="1:8" ht="14.25" customHeight="1" x14ac:dyDescent="0.2">
      <c r="A5" s="2590" t="s">
        <v>1981</v>
      </c>
      <c r="B5" s="2591"/>
      <c r="C5" s="2591"/>
      <c r="D5" s="2591"/>
      <c r="E5" s="2591"/>
      <c r="F5" s="2592"/>
      <c r="G5" s="1071"/>
      <c r="H5" s="1071"/>
    </row>
    <row r="6" spans="1:8" s="1072" customFormat="1" ht="41.25" customHeight="1" x14ac:dyDescent="0.2">
      <c r="A6" s="2584" t="s">
        <v>1691</v>
      </c>
      <c r="B6" s="2585"/>
      <c r="C6" s="2585"/>
      <c r="D6" s="2585"/>
      <c r="E6" s="2585"/>
      <c r="F6" s="2586"/>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1">
        <f>'Acct Summary 7-8'!C8</f>
        <v>6148295</v>
      </c>
      <c r="C8" s="1811">
        <f>'Acct Summary 7-8'!D8</f>
        <v>0</v>
      </c>
      <c r="D8" s="1811">
        <f>'Acct Summary 7-8'!F8</f>
        <v>0</v>
      </c>
      <c r="E8" s="1811">
        <f>'Acct Summary 7-8'!I8</f>
        <v>0</v>
      </c>
      <c r="F8" s="1811">
        <f>SUM(B8:E8)</f>
        <v>6148295</v>
      </c>
    </row>
    <row r="9" spans="1:8" s="1076" customFormat="1" ht="14.25" customHeight="1" thickBot="1" x14ac:dyDescent="0.25">
      <c r="A9" s="1075" t="s">
        <v>1369</v>
      </c>
      <c r="B9" s="1812">
        <f>'Acct Summary 7-8'!C17</f>
        <v>6070646</v>
      </c>
      <c r="C9" s="1812">
        <f>'Acct Summary 7-8'!D17</f>
        <v>0</v>
      </c>
      <c r="D9" s="1812">
        <f>'Acct Summary 7-8'!F17</f>
        <v>0</v>
      </c>
      <c r="E9" s="1811"/>
      <c r="F9" s="1811">
        <f>SUM(B9:E9)</f>
        <v>6070646</v>
      </c>
    </row>
    <row r="10" spans="1:8" s="1076" customFormat="1" ht="14.25" thickTop="1" thickBot="1" x14ac:dyDescent="0.25">
      <c r="A10" s="1077" t="s">
        <v>1370</v>
      </c>
      <c r="B10" s="1813">
        <f>(B8-B9)</f>
        <v>77649</v>
      </c>
      <c r="C10" s="1813">
        <f>(C8-C9)</f>
        <v>0</v>
      </c>
      <c r="D10" s="1813">
        <f>(D8-D9)</f>
        <v>0</v>
      </c>
      <c r="E10" s="1812">
        <f>(E8-E9)</f>
        <v>0</v>
      </c>
      <c r="F10" s="1814">
        <f>SUM(F8-F9)</f>
        <v>77649</v>
      </c>
    </row>
    <row r="11" spans="1:8" s="1076" customFormat="1" ht="14.25" thickTop="1" thickBot="1" x14ac:dyDescent="0.25">
      <c r="A11" s="1078" t="s">
        <v>1982</v>
      </c>
      <c r="B11" s="1815">
        <f>'Acct Summary 7-8'!C81</f>
        <v>125539</v>
      </c>
      <c r="C11" s="1815">
        <f>'Acct Summary 7-8'!D81</f>
        <v>0</v>
      </c>
      <c r="D11" s="1815">
        <f>'Acct Summary 7-8'!F81</f>
        <v>0</v>
      </c>
      <c r="E11" s="1815">
        <f>'Acct Summary 7-8'!I81</f>
        <v>0</v>
      </c>
      <c r="F11" s="1816">
        <f>SUM(B11:E11)</f>
        <v>125539</v>
      </c>
    </row>
    <row r="12" spans="1:8" ht="16.5" customHeight="1" thickTop="1" x14ac:dyDescent="0.2">
      <c r="A12" s="1079"/>
      <c r="B12" s="1080"/>
      <c r="C12" s="2572" t="str">
        <f>IF(AND(F10&lt;0,F11&gt;=0,ABS(F10*3)&gt;ABS(F11)),A16,IF(AND(F10&lt;0,F11&gt;0,ABS(F10*3)&lt;=ABS(F11)),A17,IF(AND(F10&lt;0,F11&lt;0),A16,IF(F11=0,A19,A18))))</f>
        <v>Balanced - no deficit reduction plan is required.</v>
      </c>
      <c r="D12" s="2573"/>
      <c r="E12" s="2573"/>
      <c r="F12" s="2574"/>
    </row>
    <row r="13" spans="1:8" ht="19.5" customHeight="1" x14ac:dyDescent="0.2">
      <c r="A13" s="1081"/>
      <c r="B13" s="1082"/>
      <c r="C13" s="2572"/>
      <c r="D13" s="2573"/>
      <c r="E13" s="2573"/>
      <c r="F13" s="2574"/>
      <c r="H13" s="1071"/>
    </row>
    <row r="14" spans="1:8" ht="19.5" customHeight="1" x14ac:dyDescent="0.2">
      <c r="A14" s="1081"/>
      <c r="B14" s="1082"/>
      <c r="C14" s="2572"/>
      <c r="D14" s="2573"/>
      <c r="E14" s="2573"/>
      <c r="F14" s="2574"/>
      <c r="H14" s="1071"/>
    </row>
    <row r="15" spans="1:8" ht="17.25" customHeight="1" x14ac:dyDescent="0.2">
      <c r="A15" s="1081"/>
      <c r="B15" s="1082"/>
      <c r="C15" s="2575"/>
      <c r="D15" s="2576"/>
      <c r="E15" s="2576"/>
      <c r="F15" s="2577"/>
      <c r="H15" s="1071"/>
    </row>
    <row r="16" spans="1:8" s="310" customFormat="1" ht="51.75" hidden="1" customHeight="1" x14ac:dyDescent="0.2">
      <c r="A16" s="2571" t="s">
        <v>1687</v>
      </c>
      <c r="B16" s="2571"/>
      <c r="C16" s="2571"/>
      <c r="D16" s="2571"/>
      <c r="E16" s="2571"/>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1"/>
      <c r="B2" s="1892"/>
      <c r="C2" s="1893"/>
      <c r="D2" s="1894"/>
    </row>
    <row r="3" spans="1:4" ht="36" customHeight="1" x14ac:dyDescent="0.2">
      <c r="A3" s="2593" t="s">
        <v>665</v>
      </c>
      <c r="B3" s="2594"/>
      <c r="C3" s="2594"/>
      <c r="D3" s="2595"/>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604" t="s">
        <v>1504</v>
      </c>
      <c r="D7" s="2605"/>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96" t="s">
        <v>1008</v>
      </c>
      <c r="B15" s="2597"/>
      <c r="C15" s="2597"/>
      <c r="D15" s="2598"/>
    </row>
    <row r="16" spans="1:4" s="665" customFormat="1" ht="24" customHeight="1" x14ac:dyDescent="0.2">
      <c r="A16" s="2599" t="s">
        <v>663</v>
      </c>
      <c r="B16" s="2600"/>
      <c r="C16" s="2600"/>
      <c r="D16" s="2601"/>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608" t="s">
        <v>314</v>
      </c>
      <c r="D21" s="2609"/>
    </row>
    <row r="22" spans="1:10" ht="12.75" x14ac:dyDescent="0.2">
      <c r="A22" s="1136"/>
      <c r="B22" s="1137">
        <v>2</v>
      </c>
      <c r="C22" s="2606" t="s">
        <v>1524</v>
      </c>
      <c r="D22" s="2607"/>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610" t="s">
        <v>536</v>
      </c>
      <c r="D43" s="2611"/>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602" t="s">
        <v>784</v>
      </c>
      <c r="D56" s="2603"/>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602" t="s">
        <v>1696</v>
      </c>
      <c r="D70" s="2603"/>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47098000061</v>
      </c>
    </row>
    <row r="3" spans="1:2" x14ac:dyDescent="0.2">
      <c r="A3" t="s">
        <v>956</v>
      </c>
      <c r="B3" s="138" t="str">
        <f>COVER!A15</f>
        <v>Whiteside/Carroll</v>
      </c>
    </row>
    <row r="4" spans="1:2" x14ac:dyDescent="0.2">
      <c r="A4" t="s">
        <v>1007</v>
      </c>
      <c r="B4" s="138" t="str">
        <f>COVER!A17</f>
        <v>Bi County Special Educ Coop</v>
      </c>
    </row>
    <row r="5" spans="1:2" x14ac:dyDescent="0.2">
      <c r="A5" t="s">
        <v>704</v>
      </c>
      <c r="B5" s="138" t="str">
        <f>COVER!A38</f>
        <v>Laurie A. Heston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135743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10204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10204</v>
      </c>
      <c r="C91" s="2" t="s">
        <v>573</v>
      </c>
      <c r="D91" s="2" t="str">
        <f t="shared" si="0"/>
        <v>Error?</v>
      </c>
    </row>
    <row r="92" spans="1:4" x14ac:dyDescent="0.2">
      <c r="A92" s="5">
        <v>31</v>
      </c>
      <c r="B92" s="138">
        <f>'Assets-Liab 5-6'!C39</f>
        <v>125539</v>
      </c>
      <c r="D92" s="2" t="str">
        <f t="shared" si="0"/>
        <v>Error?</v>
      </c>
    </row>
    <row r="93" spans="1:4" x14ac:dyDescent="0.2">
      <c r="A93" s="5">
        <v>32</v>
      </c>
      <c r="B93" s="138">
        <f>'Assets-Liab 5-6'!C41</f>
        <v>135743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1063774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1063774</v>
      </c>
      <c r="C279" s="2" t="s">
        <v>573</v>
      </c>
      <c r="D279" s="2" t="str">
        <f t="shared" si="3"/>
        <v>Error?</v>
      </c>
    </row>
    <row r="280" spans="1:4" x14ac:dyDescent="0.2">
      <c r="A280" s="5">
        <v>219</v>
      </c>
      <c r="B280" s="138">
        <f>'Assets-Liab 5-6'!M40</f>
        <v>1063774</v>
      </c>
      <c r="D280" s="2" t="str">
        <f t="shared" si="3"/>
        <v>Error?</v>
      </c>
    </row>
    <row r="281" spans="1:4" x14ac:dyDescent="0.2">
      <c r="A281" s="5">
        <v>220</v>
      </c>
      <c r="B281" s="138">
        <f>'Assets-Liab 5-6'!M41</f>
        <v>1063774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3638</v>
      </c>
      <c r="D719" s="2" t="str">
        <f t="shared" si="10"/>
        <v>Error?</v>
      </c>
    </row>
    <row r="720" spans="1:4" x14ac:dyDescent="0.2">
      <c r="A720" s="5">
        <v>659</v>
      </c>
      <c r="B720" s="138">
        <f>'Expenditures 15-22'!C33</f>
        <v>2173717</v>
      </c>
      <c r="C720" s="2" t="s">
        <v>573</v>
      </c>
      <c r="D720" s="2" t="str">
        <f t="shared" si="10"/>
        <v>Error?</v>
      </c>
    </row>
    <row r="721" spans="1:4" x14ac:dyDescent="0.2">
      <c r="A721" s="5">
        <v>660</v>
      </c>
      <c r="B721" s="138">
        <f>'Expenditures 15-22'!C36</f>
        <v>360295</v>
      </c>
      <c r="D721" s="2" t="str">
        <f t="shared" si="10"/>
        <v>Error?</v>
      </c>
    </row>
    <row r="722" spans="1:4" x14ac:dyDescent="0.2">
      <c r="A722" s="5">
        <v>661</v>
      </c>
      <c r="B722" s="138">
        <f>'Expenditures 15-22'!C37</f>
        <v>28324</v>
      </c>
      <c r="D722" s="2" t="str">
        <f t="shared" si="10"/>
        <v>Error?</v>
      </c>
    </row>
    <row r="723" spans="1:4" x14ac:dyDescent="0.2">
      <c r="A723" s="5">
        <v>662</v>
      </c>
      <c r="B723" s="138">
        <f>'Expenditures 15-22'!C38</f>
        <v>226685</v>
      </c>
      <c r="D723" s="2" t="str">
        <f t="shared" si="10"/>
        <v>Error?</v>
      </c>
    </row>
    <row r="724" spans="1:4" x14ac:dyDescent="0.2">
      <c r="A724" s="5">
        <v>663</v>
      </c>
      <c r="B724" s="138">
        <f>'Expenditures 15-22'!C39</f>
        <v>423596</v>
      </c>
      <c r="D724" s="2" t="str">
        <f t="shared" si="10"/>
        <v>Error?</v>
      </c>
    </row>
    <row r="725" spans="1:4" x14ac:dyDescent="0.2">
      <c r="A725" s="5">
        <v>664</v>
      </c>
      <c r="B725" s="138">
        <f>'Expenditures 15-22'!C40</f>
        <v>165368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1204268</v>
      </c>
      <c r="C727" s="2" t="s">
        <v>573</v>
      </c>
      <c r="D727" s="2" t="str">
        <f t="shared" si="10"/>
        <v>Error?</v>
      </c>
    </row>
    <row r="728" spans="1:4" x14ac:dyDescent="0.2">
      <c r="A728" s="5">
        <v>667</v>
      </c>
      <c r="B728" s="138">
        <f>'Expenditures 15-22'!C44</f>
        <v>75000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75000</v>
      </c>
      <c r="C731" s="2" t="s">
        <v>573</v>
      </c>
      <c r="D731" s="2" t="str">
        <f t="shared" si="10"/>
        <v>Error?</v>
      </c>
    </row>
    <row r="732" spans="1:4" x14ac:dyDescent="0.2">
      <c r="A732" s="5">
        <v>671</v>
      </c>
      <c r="B732" s="138">
        <f>'Expenditures 15-22'!C49</f>
        <v>266262</v>
      </c>
      <c r="D732" s="2" t="str">
        <f t="shared" si="10"/>
        <v>Error?</v>
      </c>
    </row>
    <row r="733" spans="1:4" x14ac:dyDescent="0.2">
      <c r="A733" s="5">
        <v>672</v>
      </c>
      <c r="B733" s="138">
        <f>'Expenditures 15-22'!C50</f>
        <v>116835</v>
      </c>
      <c r="D733" s="2" t="str">
        <f t="shared" si="10"/>
        <v>Error?</v>
      </c>
    </row>
    <row r="734" spans="1:4" x14ac:dyDescent="0.2">
      <c r="A734" s="5">
        <v>673</v>
      </c>
      <c r="B734" s="138">
        <f>'Expenditures 15-22'!C53</f>
        <v>383097</v>
      </c>
      <c r="C734" s="2" t="s">
        <v>573</v>
      </c>
      <c r="D734" s="2" t="str">
        <f t="shared" si="10"/>
        <v>Error?</v>
      </c>
    </row>
    <row r="735" spans="1:4" x14ac:dyDescent="0.2">
      <c r="A735" s="5">
        <v>674</v>
      </c>
      <c r="B735" s="138">
        <f>'Expenditures 15-22'!C55</f>
        <v>28002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28002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42679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42679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1733046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3906763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512</v>
      </c>
      <c r="D777" s="2" t="str">
        <f t="shared" si="11"/>
        <v>Error?</v>
      </c>
    </row>
    <row r="778" spans="1:4" x14ac:dyDescent="0.2">
      <c r="A778" s="5">
        <v>717</v>
      </c>
      <c r="B778" s="138">
        <f>'Expenditures 15-22'!D33</f>
        <v>518873</v>
      </c>
      <c r="C778" s="2" t="s">
        <v>573</v>
      </c>
      <c r="D778" s="2" t="str">
        <f t="shared" si="11"/>
        <v>Error?</v>
      </c>
    </row>
    <row r="779" spans="1:4" x14ac:dyDescent="0.2">
      <c r="A779" s="5">
        <v>718</v>
      </c>
      <c r="B779" s="138">
        <f>'Expenditures 15-22'!D36</f>
        <v>90214</v>
      </c>
      <c r="D779" s="2" t="str">
        <f t="shared" si="11"/>
        <v>Error?</v>
      </c>
    </row>
    <row r="780" spans="1:4" x14ac:dyDescent="0.2">
      <c r="A780" s="5">
        <v>719</v>
      </c>
      <c r="B780" s="138">
        <f>'Expenditures 15-22'!D37</f>
        <v>4572</v>
      </c>
      <c r="D780" s="2" t="str">
        <f t="shared" si="11"/>
        <v>Error?</v>
      </c>
    </row>
    <row r="781" spans="1:4" x14ac:dyDescent="0.2">
      <c r="A781" s="5">
        <v>720</v>
      </c>
      <c r="B781" s="138">
        <f>'Expenditures 15-22'!D38</f>
        <v>62743</v>
      </c>
      <c r="D781" s="2" t="str">
        <f t="shared" si="11"/>
        <v>Error?</v>
      </c>
    </row>
    <row r="782" spans="1:4" x14ac:dyDescent="0.2">
      <c r="A782" s="5">
        <v>721</v>
      </c>
      <c r="B782" s="138">
        <f>'Expenditures 15-22'!D39</f>
        <v>99539</v>
      </c>
      <c r="D782" s="2" t="str">
        <f t="shared" si="11"/>
        <v>Error?</v>
      </c>
    </row>
    <row r="783" spans="1:4" x14ac:dyDescent="0.2">
      <c r="A783" s="5">
        <v>722</v>
      </c>
      <c r="B783" s="138">
        <f>'Expenditures 15-22'!D40</f>
        <v>54324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311392</v>
      </c>
      <c r="C785" s="2" t="s">
        <v>573</v>
      </c>
      <c r="D785" s="2" t="str">
        <f t="shared" si="11"/>
        <v>Error?</v>
      </c>
    </row>
    <row r="786" spans="1:4" x14ac:dyDescent="0.2">
      <c r="A786" s="5">
        <v>725</v>
      </c>
      <c r="B786" s="138">
        <f>'Expenditures 15-22'!D44</f>
        <v>17980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17980</v>
      </c>
      <c r="C789" s="2" t="s">
        <v>573</v>
      </c>
      <c r="D789" s="2" t="str">
        <f t="shared" si="11"/>
        <v>Error?</v>
      </c>
    </row>
    <row r="790" spans="1:4" x14ac:dyDescent="0.2">
      <c r="A790" s="5">
        <v>729</v>
      </c>
      <c r="B790" s="138">
        <f>'Expenditures 15-22'!D49</f>
        <v>110721</v>
      </c>
      <c r="D790" s="2" t="str">
        <f t="shared" si="11"/>
        <v>Error?</v>
      </c>
    </row>
    <row r="791" spans="1:4" x14ac:dyDescent="0.2">
      <c r="A791" s="5">
        <v>730</v>
      </c>
      <c r="B791" s="138">
        <f>'Expenditures 15-22'!D50</f>
        <v>27565</v>
      </c>
      <c r="D791" s="2" t="str">
        <f t="shared" si="11"/>
        <v>Error?</v>
      </c>
    </row>
    <row r="792" spans="1:4" x14ac:dyDescent="0.2">
      <c r="A792" s="5">
        <v>731</v>
      </c>
      <c r="B792" s="138">
        <f>'Expenditures 15-22'!D53</f>
        <v>138286</v>
      </c>
      <c r="C792" s="2" t="s">
        <v>573</v>
      </c>
      <c r="D792" s="2" t="str">
        <f t="shared" si="11"/>
        <v>Error?</v>
      </c>
    </row>
    <row r="793" spans="1:4" x14ac:dyDescent="0.2">
      <c r="A793" s="5">
        <v>732</v>
      </c>
      <c r="B793" s="138">
        <f>'Expenditures 15-22'!D55</f>
        <v>12508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12508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15825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15825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495991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1014864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43637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78</v>
      </c>
      <c r="D835" s="2" t="str">
        <f t="shared" si="12"/>
        <v>Error?</v>
      </c>
    </row>
    <row r="836" spans="1:4" x14ac:dyDescent="0.2">
      <c r="A836" s="5">
        <v>775</v>
      </c>
      <c r="B836" s="138">
        <f>'Expenditures 15-22'!E33</f>
        <v>71855</v>
      </c>
      <c r="C836" s="2" t="s">
        <v>573</v>
      </c>
      <c r="D836" s="2" t="str">
        <f t="shared" si="12"/>
        <v>Error?</v>
      </c>
    </row>
    <row r="837" spans="1:4" x14ac:dyDescent="0.2">
      <c r="A837" s="5">
        <v>776</v>
      </c>
      <c r="B837" s="138">
        <f>'Expenditures 15-22'!E36</f>
        <v>8279</v>
      </c>
      <c r="D837" s="2" t="str">
        <f t="shared" si="12"/>
        <v>Error?</v>
      </c>
    </row>
    <row r="838" spans="1:4" x14ac:dyDescent="0.2">
      <c r="A838" s="5">
        <v>777</v>
      </c>
      <c r="B838" s="138">
        <f>'Expenditures 15-22'!E37</f>
        <v>4067</v>
      </c>
      <c r="D838" s="2" t="str">
        <f t="shared" si="12"/>
        <v>Error?</v>
      </c>
    </row>
    <row r="839" spans="1:4" x14ac:dyDescent="0.2">
      <c r="A839" s="5">
        <v>778</v>
      </c>
      <c r="B839" s="138">
        <f>'Expenditures 15-22'!E38</f>
        <v>77018</v>
      </c>
      <c r="D839" s="2" t="str">
        <f t="shared" si="12"/>
        <v>Error?</v>
      </c>
    </row>
    <row r="840" spans="1:4" x14ac:dyDescent="0.2">
      <c r="A840" s="5">
        <v>779</v>
      </c>
      <c r="B840" s="138">
        <f>'Expenditures 15-22'!E39</f>
        <v>10594</v>
      </c>
      <c r="D840" s="2" t="str">
        <f t="shared" si="12"/>
        <v>Error?</v>
      </c>
    </row>
    <row r="841" spans="1:4" x14ac:dyDescent="0.2">
      <c r="A841" s="5">
        <v>780</v>
      </c>
      <c r="B841" s="138">
        <f>'Expenditures 15-22'!E40</f>
        <v>6780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106738</v>
      </c>
      <c r="C843" s="2" t="s">
        <v>573</v>
      </c>
      <c r="D843" s="2" t="str">
        <f t="shared" si="12"/>
        <v>Error?</v>
      </c>
    </row>
    <row r="844" spans="1:4" x14ac:dyDescent="0.2">
      <c r="A844" s="5">
        <v>783</v>
      </c>
      <c r="B844" s="138">
        <f>'Expenditures 15-22'!E44</f>
        <v>82288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82288</v>
      </c>
      <c r="C847" s="2" t="s">
        <v>573</v>
      </c>
      <c r="D847" s="2" t="str">
        <f t="shared" si="12"/>
        <v>Error?</v>
      </c>
    </row>
    <row r="848" spans="1:4" x14ac:dyDescent="0.2">
      <c r="A848" s="5">
        <v>787</v>
      </c>
      <c r="B848" s="138">
        <f>'Expenditures 15-22'!E49</f>
        <v>75213</v>
      </c>
      <c r="D848" s="2" t="str">
        <f t="shared" si="12"/>
        <v>Error?</v>
      </c>
    </row>
    <row r="849" spans="1:4" x14ac:dyDescent="0.2">
      <c r="A849" s="5">
        <v>788</v>
      </c>
      <c r="B849" s="138">
        <f>'Expenditures 15-22'!E50</f>
        <v>5756</v>
      </c>
      <c r="D849" s="2" t="str">
        <f t="shared" si="12"/>
        <v>Error?</v>
      </c>
    </row>
    <row r="850" spans="1:4" x14ac:dyDescent="0.2">
      <c r="A850" s="5">
        <v>789</v>
      </c>
      <c r="B850" s="138">
        <f>'Expenditures 15-22'!E53</f>
        <v>85860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1184</v>
      </c>
      <c r="D855" s="2" t="str">
        <f t="shared" si="12"/>
        <v>Error?</v>
      </c>
    </row>
    <row r="856" spans="1:4" x14ac:dyDescent="0.2">
      <c r="A856" s="5">
        <v>795</v>
      </c>
      <c r="B856" s="138">
        <f>'Expenditures 15-22'!E61</f>
        <v>66970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68154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2724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2724</v>
      </c>
      <c r="C869" s="2" t="s">
        <v>573</v>
      </c>
      <c r="D869" s="2" t="str">
        <f t="shared" si="12"/>
        <v>Error?</v>
      </c>
    </row>
    <row r="870" spans="1:4" x14ac:dyDescent="0.2">
      <c r="A870" s="5">
        <v>809</v>
      </c>
      <c r="B870" s="138">
        <f>'Expenditures 15-22'!E73</f>
        <v>27346</v>
      </c>
      <c r="D870" s="2" t="str">
        <f t="shared" si="12"/>
        <v>Error?</v>
      </c>
    </row>
    <row r="871" spans="1:4" x14ac:dyDescent="0.2">
      <c r="A871" s="5">
        <v>810</v>
      </c>
      <c r="B871" s="138">
        <f>'Expenditures 15-22'!E74</f>
        <v>373110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733901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32233</v>
      </c>
      <c r="C894" s="2" t="s">
        <v>573</v>
      </c>
      <c r="D894" s="2" t="str">
        <f t="shared" si="12"/>
        <v>Error?</v>
      </c>
    </row>
    <row r="895" spans="1:4" x14ac:dyDescent="0.2">
      <c r="A895" s="5">
        <v>834</v>
      </c>
      <c r="B895" s="138">
        <f>'Expenditures 15-22'!F36</f>
        <v>871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2950</v>
      </c>
      <c r="D897" s="2" t="str">
        <f t="shared" si="13"/>
        <v>Error?</v>
      </c>
    </row>
    <row r="898" spans="1:4" x14ac:dyDescent="0.2">
      <c r="A898" s="5">
        <v>837</v>
      </c>
      <c r="B898" s="138">
        <f>'Expenditures 15-22'!F39</f>
        <v>6478</v>
      </c>
      <c r="D898" s="2" t="str">
        <f t="shared" si="13"/>
        <v>Error?</v>
      </c>
    </row>
    <row r="899" spans="1:4" x14ac:dyDescent="0.2">
      <c r="A899" s="5">
        <v>838</v>
      </c>
      <c r="B899" s="138">
        <f>'Expenditures 15-22'!F40</f>
        <v>2537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12836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83090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83090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15641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15641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43885</v>
      </c>
      <c r="D925" s="2" t="str">
        <f t="shared" si="13"/>
        <v>Error?</v>
      </c>
    </row>
    <row r="926" spans="1:4" x14ac:dyDescent="0.2">
      <c r="A926" s="10">
        <v>865</v>
      </c>
      <c r="D926" s="2" t="str">
        <f t="shared" si="13"/>
        <v>OK</v>
      </c>
    </row>
    <row r="927" spans="1:4" x14ac:dyDescent="0.2">
      <c r="A927" s="5">
        <v>866</v>
      </c>
      <c r="B927" s="138">
        <f>'Expenditures 15-22'!F72</f>
        <v>43885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155452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187685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24295</v>
      </c>
      <c r="C952" s="2" t="s">
        <v>573</v>
      </c>
      <c r="D952" s="2" t="str">
        <f t="shared" si="13"/>
        <v>Error?</v>
      </c>
    </row>
    <row r="953" spans="1:4" x14ac:dyDescent="0.2">
      <c r="A953" s="5">
        <v>892</v>
      </c>
      <c r="B953" s="138">
        <f>'Expenditures 15-22'!G36</f>
        <v>4248</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10620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6372</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21240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28676</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28676</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49916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74211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153222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153222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43637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4228</v>
      </c>
      <c r="C1107" s="2" t="s">
        <v>573</v>
      </c>
      <c r="D1107" s="2" t="str">
        <f t="shared" si="16"/>
        <v>Error?</v>
      </c>
    </row>
    <row r="1108" spans="1:4" x14ac:dyDescent="0.2">
      <c r="A1108" s="5">
        <v>1047</v>
      </c>
      <c r="B1108" s="138">
        <f>'Expenditures 15-22'!K33</f>
        <v>2820973</v>
      </c>
      <c r="C1108" s="2" t="s">
        <v>573</v>
      </c>
      <c r="D1108" s="2" t="str">
        <f t="shared" si="16"/>
        <v>Error?</v>
      </c>
    </row>
    <row r="1109" spans="1:4" x14ac:dyDescent="0.2">
      <c r="A1109" s="5">
        <v>1048</v>
      </c>
      <c r="B1109" s="138">
        <f>'Expenditures 15-22'!K36</f>
        <v>463907</v>
      </c>
      <c r="C1109" s="2" t="s">
        <v>573</v>
      </c>
      <c r="D1109" s="2" t="str">
        <f t="shared" si="16"/>
        <v>Error?</v>
      </c>
    </row>
    <row r="1110" spans="1:4" x14ac:dyDescent="0.2">
      <c r="A1110" s="5">
        <v>1049</v>
      </c>
      <c r="B1110" s="138">
        <f>'Expenditures 15-22'!K37</f>
        <v>36963</v>
      </c>
      <c r="C1110" s="2" t="s">
        <v>573</v>
      </c>
      <c r="D1110" s="2" t="str">
        <f t="shared" si="16"/>
        <v>Error?</v>
      </c>
    </row>
    <row r="1111" spans="1:4" x14ac:dyDescent="0.2">
      <c r="A1111" s="5">
        <v>1050</v>
      </c>
      <c r="B1111" s="138">
        <f>'Expenditures 15-22'!K38</f>
        <v>380016</v>
      </c>
      <c r="C1111" s="2" t="s">
        <v>573</v>
      </c>
      <c r="D1111" s="2" t="str">
        <f t="shared" si="16"/>
        <v>Error?</v>
      </c>
    </row>
    <row r="1112" spans="1:4" x14ac:dyDescent="0.2">
      <c r="A1112" s="5">
        <v>1051</v>
      </c>
      <c r="B1112" s="138">
        <f>'Expenditures 15-22'!K39</f>
        <v>540207</v>
      </c>
      <c r="C1112" s="2" t="s">
        <v>573</v>
      </c>
      <c r="D1112" s="2" t="str">
        <f t="shared" si="16"/>
        <v>Error?</v>
      </c>
    </row>
    <row r="1113" spans="1:4" x14ac:dyDescent="0.2">
      <c r="A1113" s="5">
        <v>1052</v>
      </c>
      <c r="B1113" s="138">
        <f>'Expenditures 15-22'!K40</f>
        <v>235381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1656474</v>
      </c>
      <c r="C1115" s="2" t="s">
        <v>573</v>
      </c>
      <c r="D1115" s="2" t="str">
        <f t="shared" si="16"/>
        <v>Error?</v>
      </c>
    </row>
    <row r="1116" spans="1:4" x14ac:dyDescent="0.2">
      <c r="A1116" s="5">
        <v>1055</v>
      </c>
      <c r="B1116" s="138">
        <f>'Expenditures 15-22'!K44</f>
        <v>175268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175268</v>
      </c>
      <c r="C1119" s="2" t="s">
        <v>573</v>
      </c>
      <c r="D1119" s="2" t="str">
        <f t="shared" si="16"/>
        <v>Error?</v>
      </c>
    </row>
    <row r="1120" spans="1:4" x14ac:dyDescent="0.2">
      <c r="A1120" s="5">
        <v>1059</v>
      </c>
      <c r="B1120" s="138">
        <f>'Expenditures 15-22'!K49</f>
        <v>563962</v>
      </c>
      <c r="C1120" s="2" t="s">
        <v>573</v>
      </c>
      <c r="D1120" s="2" t="str">
        <f t="shared" si="16"/>
        <v>Error?</v>
      </c>
    </row>
    <row r="1121" spans="1:4" x14ac:dyDescent="0.2">
      <c r="A1121" s="5">
        <v>1060</v>
      </c>
      <c r="B1121" s="138">
        <f>'Expenditures 15-22'!K50</f>
        <v>150156</v>
      </c>
      <c r="C1121" s="2" t="s">
        <v>573</v>
      </c>
      <c r="D1121" s="2" t="str">
        <f t="shared" si="16"/>
        <v>Error?</v>
      </c>
    </row>
    <row r="1122" spans="1:4" x14ac:dyDescent="0.2">
      <c r="A1122" s="5">
        <v>1061</v>
      </c>
      <c r="B1122" s="138">
        <f>'Expenditures 15-22'!K53</f>
        <v>719009</v>
      </c>
      <c r="C1122" s="2" t="s">
        <v>573</v>
      </c>
      <c r="D1122" s="2" t="str">
        <f t="shared" si="16"/>
        <v>Error?</v>
      </c>
    </row>
    <row r="1123" spans="1:4" x14ac:dyDescent="0.2">
      <c r="A1123" s="5">
        <v>1062</v>
      </c>
      <c r="B1123" s="138">
        <f>'Expenditures 15-22'!K55</f>
        <v>40510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40510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59688</v>
      </c>
      <c r="C1127" s="2" t="s">
        <v>573</v>
      </c>
      <c r="D1127" s="2" t="str">
        <f t="shared" si="16"/>
        <v>Error?</v>
      </c>
    </row>
    <row r="1128" spans="1:4" x14ac:dyDescent="0.2">
      <c r="A1128" s="5">
        <v>1067</v>
      </c>
      <c r="B1128" s="138">
        <f>'Expenditures 15-22'!K61</f>
        <v>82611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142299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2724</v>
      </c>
      <c r="C1137" s="2" t="s">
        <v>573</v>
      </c>
      <c r="D1137" s="2" t="str">
        <f t="shared" si="16"/>
        <v>Error?</v>
      </c>
    </row>
    <row r="1138" spans="1:4" x14ac:dyDescent="0.2">
      <c r="A1138" s="10">
        <v>1077</v>
      </c>
      <c r="D1138" s="2" t="str">
        <f t="shared" si="16"/>
        <v>OK</v>
      </c>
    </row>
    <row r="1139" spans="1:4" x14ac:dyDescent="0.2">
      <c r="A1139" s="5">
        <v>1078</v>
      </c>
      <c r="B1139" s="138">
        <f>'Expenditures 15-22'!K71</f>
        <v>43885</v>
      </c>
      <c r="C1139" s="2" t="s">
        <v>573</v>
      </c>
      <c r="D1139" s="2" t="str">
        <f t="shared" si="16"/>
        <v>Error?</v>
      </c>
    </row>
    <row r="1140" spans="1:4" x14ac:dyDescent="0.2">
      <c r="A1140" s="10">
        <v>1079</v>
      </c>
      <c r="D1140" s="2" t="str">
        <f t="shared" si="16"/>
        <v>OK</v>
      </c>
    </row>
    <row r="1141" spans="1:4" x14ac:dyDescent="0.2">
      <c r="A1141" s="5">
        <v>1080</v>
      </c>
      <c r="B1141" s="138">
        <f>'Expenditures 15-22'!K72</f>
        <v>46609</v>
      </c>
      <c r="C1141" s="2" t="s">
        <v>573</v>
      </c>
      <c r="D1141" s="2" t="str">
        <f t="shared" si="16"/>
        <v>Error?</v>
      </c>
    </row>
    <row r="1142" spans="1:4" x14ac:dyDescent="0.2">
      <c r="A1142" s="5">
        <v>1081</v>
      </c>
      <c r="B1142" s="138">
        <f>'Expenditures 15-22'!K73</f>
        <v>27346</v>
      </c>
      <c r="C1142" s="2" t="s">
        <v>573</v>
      </c>
      <c r="D1142" s="2" t="str">
        <f t="shared" si="16"/>
        <v>Error?</v>
      </c>
    </row>
    <row r="1143" spans="1:4" x14ac:dyDescent="0.2">
      <c r="A1143" s="5">
        <v>1082</v>
      </c>
      <c r="B1143" s="138">
        <f>'Expenditures 15-22'!K74</f>
        <v>2807515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442158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6070646</v>
      </c>
      <c r="C1152" s="2" t="s">
        <v>573</v>
      </c>
      <c r="D1152" s="2" t="str">
        <f t="shared" si="17"/>
        <v>Error?</v>
      </c>
    </row>
    <row r="1153" spans="1:4" x14ac:dyDescent="0.2">
      <c r="A1153" s="5">
        <v>1092</v>
      </c>
      <c r="B1153" s="138">
        <f>'Expenditures 15-22'!K115</f>
        <v>77649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47890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125539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989563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989563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74211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74211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1063774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1063774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833818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833818</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36479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36479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870297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870297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193477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193477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153222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442158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2664827</v>
      </c>
      <c r="C2551" s="2" t="s">
        <v>573</v>
      </c>
      <c r="D2551" s="2" t="str">
        <f t="shared" si="38"/>
        <v>Error?</v>
      </c>
    </row>
    <row r="2552" spans="1:4" x14ac:dyDescent="0.2">
      <c r="A2552" s="10">
        <v>2491</v>
      </c>
      <c r="D2552" s="2" t="str">
        <f t="shared" si="38"/>
        <v>OK</v>
      </c>
    </row>
    <row r="2553" spans="1:4" x14ac:dyDescent="0.2">
      <c r="A2553" s="5">
        <v>2492</v>
      </c>
      <c r="B2553" s="138">
        <f>'Acct Summary 7-8'!C6</f>
        <v>567593</v>
      </c>
      <c r="C2553" s="2" t="s">
        <v>573</v>
      </c>
      <c r="D2553" s="2" t="str">
        <f t="shared" si="38"/>
        <v>Error?</v>
      </c>
    </row>
    <row r="2554" spans="1:4" x14ac:dyDescent="0.2">
      <c r="A2554" s="5">
        <v>2493</v>
      </c>
      <c r="B2554" s="138">
        <f>'Acct Summary 7-8'!C7</f>
        <v>2835187</v>
      </c>
      <c r="C2554" s="2" t="s">
        <v>573</v>
      </c>
      <c r="D2554" s="2" t="str">
        <f t="shared" si="38"/>
        <v>Error?</v>
      </c>
    </row>
    <row r="2555" spans="1:4" x14ac:dyDescent="0.2">
      <c r="A2555" s="5">
        <v>2494</v>
      </c>
      <c r="B2555" s="138">
        <f>'Acct Summary 7-8'!C8</f>
        <v>6148295</v>
      </c>
      <c r="C2555" s="2" t="s">
        <v>573</v>
      </c>
      <c r="D2555" s="2" t="str">
        <f t="shared" si="38"/>
        <v>Error?</v>
      </c>
    </row>
    <row r="2556" spans="1:4" x14ac:dyDescent="0.2">
      <c r="A2556" s="5">
        <v>2495</v>
      </c>
      <c r="B2556" s="138">
        <f>'Acct Summary 7-8'!C12</f>
        <v>2820973</v>
      </c>
      <c r="C2556" s="2" t="s">
        <v>573</v>
      </c>
      <c r="D2556" s="2" t="str">
        <f t="shared" si="38"/>
        <v>Error?</v>
      </c>
    </row>
    <row r="2557" spans="1:4" x14ac:dyDescent="0.2">
      <c r="A2557" s="5">
        <v>2496</v>
      </c>
      <c r="B2557" s="138">
        <f>'Acct Summary 7-8'!C13</f>
        <v>2807515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442158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6070646</v>
      </c>
      <c r="C2561" s="2" t="s">
        <v>573</v>
      </c>
      <c r="D2561" s="2" t="str">
        <f t="shared" si="39"/>
        <v>Error?</v>
      </c>
    </row>
    <row r="2562" spans="1:4" x14ac:dyDescent="0.2">
      <c r="A2562" s="5">
        <v>2501</v>
      </c>
      <c r="B2562" s="138">
        <f>'Acct Summary 7-8'!C20</f>
        <v>77649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4891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4891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288936</v>
      </c>
      <c r="C2789" s="2" t="s">
        <v>573</v>
      </c>
      <c r="D2789" s="2" t="str">
        <f t="shared" si="42"/>
        <v>Error?</v>
      </c>
    </row>
    <row r="2790" spans="1:4" x14ac:dyDescent="0.2">
      <c r="A2790" s="5">
        <v>2729</v>
      </c>
      <c r="B2790" s="138">
        <f>'Expenditures 15-22'!E102</f>
        <v>288936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4722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4722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288936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153222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442158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4722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77649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1945641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459415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26789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23262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20790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2475897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80688</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135743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1832564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7980859</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1832564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7903210</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125539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73100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142524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94282</v>
      </c>
      <c r="D5081" s="2" t="str">
        <f t="shared" si="78"/>
        <v>Error?</v>
      </c>
    </row>
    <row r="5082" spans="1:4" x14ac:dyDescent="0.2">
      <c r="A5082" s="5">
        <v>5021</v>
      </c>
      <c r="B5082" s="138">
        <f>'Revenues 9-14'!C33</f>
        <v>2560902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2655184</v>
      </c>
      <c r="C5087" s="2" t="s">
        <v>573</v>
      </c>
      <c r="D5087" s="2" t="str">
        <f t="shared" si="78"/>
        <v>Error?</v>
      </c>
    </row>
    <row r="5088" spans="1:4" x14ac:dyDescent="0.2">
      <c r="A5088" s="5">
        <v>5027</v>
      </c>
      <c r="B5088" s="138">
        <f>'Revenues 9-14'!C65</f>
        <v>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362</v>
      </c>
      <c r="D5119" s="2" t="str">
        <f t="shared" ref="D5119:D5182" si="79">IF(ISBLANK(B5119),"OK",IF(A5119-B5119=0,"OK","Error?"))</f>
        <v>Error?</v>
      </c>
    </row>
    <row r="5120" spans="1:4" x14ac:dyDescent="0.2">
      <c r="A5120" s="5">
        <v>5059</v>
      </c>
      <c r="B5120" s="138">
        <f>'Revenues 9-14'!C108</f>
        <v>9590</v>
      </c>
      <c r="C5120" s="2" t="s">
        <v>573</v>
      </c>
      <c r="D5120" s="2" t="str">
        <f t="shared" si="79"/>
        <v>Error?</v>
      </c>
    </row>
    <row r="5121" spans="1:4" x14ac:dyDescent="0.2">
      <c r="A5121" s="5">
        <v>5060</v>
      </c>
      <c r="B5121" s="138">
        <f>'Revenues 9-14'!C109</f>
        <v>2664827</v>
      </c>
      <c r="C5121" s="2" t="s">
        <v>573</v>
      </c>
      <c r="D5121" s="2" t="str">
        <f t="shared" si="79"/>
        <v>Error?</v>
      </c>
    </row>
    <row r="5122" spans="1:4" x14ac:dyDescent="0.2">
      <c r="A5122" s="5">
        <v>5061</v>
      </c>
      <c r="B5122" s="138">
        <f>'Revenues 9-14'!C111</f>
        <v>728</v>
      </c>
      <c r="D5122" s="2" t="str">
        <f t="shared" si="79"/>
        <v>Error?</v>
      </c>
    </row>
    <row r="5123" spans="1:4" x14ac:dyDescent="0.2">
      <c r="A5123" s="5">
        <v>5062</v>
      </c>
      <c r="B5123" s="138">
        <f>'Revenues 9-14'!C112</f>
        <v>79960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80688</v>
      </c>
      <c r="C5125" s="2" t="s">
        <v>573</v>
      </c>
      <c r="D5125" s="2" t="str">
        <f t="shared" si="79"/>
        <v>Error?</v>
      </c>
    </row>
    <row r="5126" spans="1:4" x14ac:dyDescent="0.2">
      <c r="A5126" s="5">
        <v>5065</v>
      </c>
      <c r="B5126" s="138">
        <f>'Revenues 9-14'!C117</f>
        <v>567593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567593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567593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48407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2571156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2619563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2835187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2835187</v>
      </c>
      <c r="C5326" s="2" t="s">
        <v>573</v>
      </c>
      <c r="D5326" s="2" t="str">
        <f t="shared" si="82"/>
        <v>Error?</v>
      </c>
    </row>
    <row r="5327" spans="1:5" x14ac:dyDescent="0.2">
      <c r="A5327" s="5">
        <v>5266</v>
      </c>
      <c r="B5327" s="138">
        <f>'Revenues 9-14'!C268</f>
        <v>6148295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2742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77649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0.6185249205426202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297211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224438</v>
      </c>
      <c r="D7251" s="2" t="str">
        <f t="shared" si="112"/>
        <v>Error?</v>
      </c>
    </row>
    <row r="7252" spans="1:4" x14ac:dyDescent="0.2">
      <c r="A7252">
        <f t="shared" si="113"/>
        <v>7191</v>
      </c>
      <c r="B7252" s="138">
        <f>'Expenditures 15-22'!D9</f>
        <v>58946</v>
      </c>
      <c r="D7252" s="2" t="str">
        <f t="shared" si="112"/>
        <v>Error?</v>
      </c>
    </row>
    <row r="7253" spans="1:4" x14ac:dyDescent="0.2">
      <c r="A7253">
        <f t="shared" si="113"/>
        <v>7192</v>
      </c>
      <c r="B7253" s="138">
        <f>'Expenditures 15-22'!E9</f>
        <v>1351</v>
      </c>
      <c r="D7253" s="2" t="str">
        <f t="shared" si="112"/>
        <v>Error?</v>
      </c>
    </row>
    <row r="7254" spans="1:4" x14ac:dyDescent="0.2">
      <c r="A7254">
        <f t="shared" si="113"/>
        <v>7193</v>
      </c>
      <c r="B7254" s="138">
        <f>'Expenditures 15-22'!F9</f>
        <v>8971</v>
      </c>
      <c r="D7254" s="2" t="str">
        <f t="shared" si="112"/>
        <v>Error?</v>
      </c>
    </row>
    <row r="7255" spans="1:4" x14ac:dyDescent="0.2">
      <c r="A7255">
        <f t="shared" si="113"/>
        <v>7194</v>
      </c>
      <c r="B7255" s="138">
        <f>'Expenditures 15-22'!G9</f>
        <v>3505</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36479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635" t="s">
        <v>1191</v>
      </c>
      <c r="B2" s="2635"/>
      <c r="C2" s="2635"/>
      <c r="D2" s="2635"/>
      <c r="E2" s="2635"/>
      <c r="F2" s="2635"/>
      <c r="G2" s="2635"/>
      <c r="H2" s="2635"/>
      <c r="I2" s="2635"/>
      <c r="J2" s="2635"/>
      <c r="K2" s="2635"/>
      <c r="L2" s="2635"/>
    </row>
    <row r="3" spans="1:29" ht="13.5" customHeight="1" x14ac:dyDescent="0.2">
      <c r="A3" s="2621" t="s">
        <v>1190</v>
      </c>
      <c r="B3" s="2621"/>
      <c r="C3" s="2621"/>
      <c r="D3" s="2621"/>
      <c r="E3" s="2621"/>
      <c r="F3" s="2621"/>
      <c r="G3" s="2621"/>
      <c r="H3" s="2621"/>
      <c r="I3" s="2621"/>
      <c r="J3" s="2621"/>
      <c r="K3" s="2621"/>
      <c r="L3" s="2621"/>
    </row>
    <row r="4" spans="1:29" ht="13.5" customHeight="1" x14ac:dyDescent="0.2">
      <c r="A4" s="2635" t="s">
        <v>1986</v>
      </c>
      <c r="B4" s="2652"/>
      <c r="C4" s="2652"/>
      <c r="D4" s="2652"/>
      <c r="E4" s="2652"/>
      <c r="F4" s="2652"/>
      <c r="G4" s="2652"/>
      <c r="H4" s="2652"/>
      <c r="I4" s="2652"/>
      <c r="J4" s="2652"/>
      <c r="K4" s="2652"/>
      <c r="L4" s="265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615" t="str">
        <f>COVER!A17</f>
        <v>Bi County Special Educ Coop</v>
      </c>
      <c r="B7" s="2616"/>
      <c r="C7" s="2616"/>
      <c r="D7" s="2653"/>
      <c r="E7" s="2654">
        <f>COVER!A13</f>
        <v>47098000061</v>
      </c>
      <c r="F7" s="2655"/>
      <c r="G7" s="2622" t="str">
        <f>COVER!T23</f>
        <v>066-005027</v>
      </c>
      <c r="H7" s="2623"/>
      <c r="I7" s="2623"/>
      <c r="J7" s="2623"/>
      <c r="K7" s="2623"/>
      <c r="L7" s="262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625"/>
      <c r="B9" s="2626"/>
      <c r="C9" s="2626"/>
      <c r="D9" s="2626"/>
      <c r="E9" s="2626"/>
      <c r="F9" s="2627"/>
      <c r="G9" s="2628" t="str">
        <f>COVER!T13</f>
        <v>Gorenz and Associates, Ltd.</v>
      </c>
      <c r="H9" s="2629"/>
      <c r="I9" s="2629"/>
      <c r="J9" s="2629"/>
      <c r="K9" s="2629"/>
      <c r="L9" s="2630"/>
    </row>
    <row r="10" spans="1:29" ht="13.5" customHeight="1" x14ac:dyDescent="0.2">
      <c r="A10" s="2612" t="str">
        <f>COVER!A38</f>
        <v>Laurie A. Heston</v>
      </c>
      <c r="B10" s="2613"/>
      <c r="C10" s="2613"/>
      <c r="D10" s="2613"/>
      <c r="E10" s="2613"/>
      <c r="F10" s="2614"/>
      <c r="G10" s="2628" t="str">
        <f>COVER!T17</f>
        <v>4200 N Knoxville Ave</v>
      </c>
      <c r="H10" s="2641"/>
      <c r="I10" s="2641"/>
      <c r="J10" s="2641"/>
      <c r="K10" s="2641"/>
      <c r="L10" s="2642"/>
    </row>
    <row r="11" spans="1:29" ht="13.5" customHeight="1" x14ac:dyDescent="0.2">
      <c r="A11" s="1181" t="s">
        <v>1519</v>
      </c>
      <c r="B11" s="1182"/>
      <c r="C11" s="1183"/>
      <c r="D11" s="1188"/>
      <c r="E11" s="1183"/>
      <c r="F11" s="1187"/>
      <c r="G11" s="2628" t="str">
        <f>COVER!T19</f>
        <v>Peoria</v>
      </c>
      <c r="H11" s="2641"/>
      <c r="I11" s="2641"/>
      <c r="J11" s="2641"/>
      <c r="K11" s="2641"/>
      <c r="L11" s="2642"/>
    </row>
    <row r="12" spans="1:29" ht="13.5" customHeight="1" x14ac:dyDescent="0.2">
      <c r="A12" s="2646" t="s">
        <v>1518</v>
      </c>
      <c r="B12" s="2647"/>
      <c r="C12" s="2647"/>
      <c r="D12" s="2647"/>
      <c r="E12" s="2647"/>
      <c r="F12" s="2648"/>
      <c r="G12" s="2643"/>
      <c r="H12" s="2644"/>
      <c r="I12" s="2644"/>
      <c r="J12" s="2644"/>
      <c r="K12" s="2644"/>
      <c r="L12" s="2645"/>
    </row>
    <row r="13" spans="1:29" ht="13.5" customHeight="1" x14ac:dyDescent="0.2">
      <c r="A13" s="2628"/>
      <c r="B13" s="2641"/>
      <c r="C13" s="2641"/>
      <c r="D13" s="2641"/>
      <c r="E13" s="2641"/>
      <c r="F13" s="2642"/>
      <c r="G13" s="2636" t="s">
        <v>1520</v>
      </c>
      <c r="H13" s="2637"/>
      <c r="I13" s="2649" t="str">
        <f>COVER!T25</f>
        <v>jhohulin@gorenzcpa.com</v>
      </c>
      <c r="J13" s="2650"/>
      <c r="K13" s="2650"/>
      <c r="L13" s="2651"/>
    </row>
    <row r="14" spans="1:29" ht="13.5" customHeight="1" x14ac:dyDescent="0.2">
      <c r="A14" s="2628" t="str">
        <f>COVER!A19</f>
        <v>2317 E Lincolnway, Ste. A</v>
      </c>
      <c r="B14" s="2641"/>
      <c r="C14" s="2641"/>
      <c r="D14" s="2641"/>
      <c r="E14" s="2641"/>
      <c r="F14" s="2642"/>
      <c r="G14" s="1192" t="s">
        <v>1185</v>
      </c>
      <c r="H14" s="1190"/>
      <c r="I14" s="1190"/>
      <c r="J14" s="1190"/>
      <c r="K14" s="1190"/>
      <c r="L14" s="1191"/>
    </row>
    <row r="15" spans="1:29" ht="13.5" customHeight="1" x14ac:dyDescent="0.2">
      <c r="A15" s="2628" t="str">
        <f>COVER!A21</f>
        <v>Sterling</v>
      </c>
      <c r="B15" s="2641"/>
      <c r="C15" s="2641"/>
      <c r="D15" s="2641"/>
      <c r="E15" s="2641"/>
      <c r="F15" s="2642"/>
      <c r="G15" s="2638" t="str">
        <f>COVER!T15</f>
        <v>Jason Hohulin, CPA</v>
      </c>
      <c r="H15" s="2639"/>
      <c r="I15" s="2639"/>
      <c r="J15" s="2639"/>
      <c r="K15" s="2639"/>
      <c r="L15" s="2640"/>
    </row>
    <row r="16" spans="1:29" ht="12.2" customHeight="1" x14ac:dyDescent="0.2">
      <c r="A16" s="2618">
        <f>COVER!A25</f>
        <v>61081</v>
      </c>
      <c r="B16" s="2619"/>
      <c r="C16" s="2619"/>
      <c r="D16" s="2619"/>
      <c r="E16" s="2619"/>
      <c r="F16" s="2620"/>
      <c r="G16" s="2631"/>
      <c r="H16" s="2632"/>
      <c r="I16" s="2632"/>
      <c r="J16" s="2632"/>
      <c r="K16" s="2632"/>
      <c r="L16" s="2633"/>
    </row>
    <row r="17" spans="1:13" ht="12.2" customHeight="1" x14ac:dyDescent="0.2">
      <c r="A17" s="2634"/>
      <c r="B17" s="2619"/>
      <c r="C17" s="2619"/>
      <c r="D17" s="2619"/>
      <c r="E17" s="2619"/>
      <c r="F17" s="2620"/>
      <c r="G17" s="1192" t="s">
        <v>1184</v>
      </c>
      <c r="H17" s="1190"/>
      <c r="I17" s="1190"/>
      <c r="J17" s="1190"/>
      <c r="K17" s="1194" t="s">
        <v>1183</v>
      </c>
      <c r="L17" s="1187"/>
      <c r="M17" s="1180"/>
    </row>
    <row r="18" spans="1:13" ht="12.2" customHeight="1" x14ac:dyDescent="0.2">
      <c r="A18" s="2612"/>
      <c r="B18" s="2613"/>
      <c r="C18" s="2613"/>
      <c r="D18" s="2613"/>
      <c r="E18" s="2613"/>
      <c r="F18" s="2614"/>
      <c r="G18" s="2615" t="str">
        <f>COVER!T21</f>
        <v>309-685-7621</v>
      </c>
      <c r="H18" s="2616"/>
      <c r="I18" s="2616"/>
      <c r="J18" s="2616"/>
      <c r="K18" s="2615" t="str">
        <f>COVER!X21</f>
        <v>309-685-4758</v>
      </c>
      <c r="L18" s="261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2070</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2070</v>
      </c>
      <c r="C26" s="1199" t="s">
        <v>1699</v>
      </c>
    </row>
    <row r="27" spans="1:13" s="1195" customFormat="1" ht="9" customHeight="1" x14ac:dyDescent="0.2">
      <c r="B27" s="1200"/>
      <c r="C27" s="1199"/>
    </row>
    <row r="28" spans="1:13" s="1195" customFormat="1" ht="12.2" customHeight="1" x14ac:dyDescent="0.2">
      <c r="A28" s="1202"/>
      <c r="B28" s="1198" t="s">
        <v>2070</v>
      </c>
      <c r="C28" s="1199" t="s">
        <v>1700</v>
      </c>
    </row>
    <row r="29" spans="1:13" s="1195" customFormat="1" ht="9" customHeight="1" x14ac:dyDescent="0.2">
      <c r="A29" s="1202"/>
      <c r="B29" s="1200"/>
      <c r="C29" s="1199"/>
    </row>
    <row r="30" spans="1:13" s="1195" customFormat="1" ht="12.2" customHeight="1" x14ac:dyDescent="0.2">
      <c r="B30" s="1198" t="s">
        <v>2070</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2070</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2070</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2070</v>
      </c>
      <c r="C38" s="1199" t="s">
        <v>1566</v>
      </c>
    </row>
    <row r="39" spans="1:8" ht="9" customHeight="1" x14ac:dyDescent="0.2">
      <c r="B39" s="1200"/>
      <c r="C39" s="1203"/>
    </row>
    <row r="40" spans="1:8" s="1195" customFormat="1" ht="13.5" customHeight="1" x14ac:dyDescent="0.2">
      <c r="B40" s="1198" t="s">
        <v>2070</v>
      </c>
      <c r="C40" s="1199" t="s">
        <v>1567</v>
      </c>
    </row>
    <row r="41" spans="1:8" ht="9" customHeight="1" x14ac:dyDescent="0.2">
      <c r="A41" s="1204"/>
      <c r="B41" s="1200"/>
      <c r="C41" s="1203"/>
    </row>
    <row r="42" spans="1:8" s="1195" customFormat="1" ht="13.5" customHeight="1" x14ac:dyDescent="0.2">
      <c r="B42" s="1198" t="s">
        <v>2070</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0"/>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656" t="str">
        <f>'Single Audit Cover'!A7</f>
        <v>Bi County Special Educ Coop</v>
      </c>
      <c r="B1" s="2652"/>
      <c r="C1" s="2652"/>
      <c r="D1" s="2652"/>
    </row>
    <row r="2" spans="1:11" s="1209" customFormat="1" ht="12.75" x14ac:dyDescent="0.2">
      <c r="A2" s="2657">
        <f>'Single Audit Cover'!E7</f>
        <v>47098000061</v>
      </c>
      <c r="B2" s="2658"/>
      <c r="C2" s="2658"/>
      <c r="D2" s="2658"/>
    </row>
    <row r="3" spans="1:11" s="1209" customFormat="1" ht="12.75" x14ac:dyDescent="0.2">
      <c r="A3" s="2656" t="s">
        <v>1513</v>
      </c>
      <c r="B3" s="2652"/>
      <c r="C3" s="2652"/>
      <c r="D3" s="265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660" t="str">
        <f>'Single Audit Cover'!A7</f>
        <v>Bi County Special Educ Coop</v>
      </c>
      <c r="B1" s="2660"/>
      <c r="C1" s="2660"/>
      <c r="D1" s="2660"/>
      <c r="E1" s="2660"/>
    </row>
    <row r="2" spans="1:5" x14ac:dyDescent="0.2">
      <c r="A2" s="2661">
        <f>'Single Audit Cover'!E7</f>
        <v>47098000061</v>
      </c>
      <c r="B2" s="2661"/>
      <c r="C2" s="2661"/>
      <c r="D2" s="2661"/>
      <c r="E2" s="2661"/>
    </row>
    <row r="3" spans="1:5" ht="4.5" customHeight="1" x14ac:dyDescent="0.2"/>
    <row r="4" spans="1:5" x14ac:dyDescent="0.2">
      <c r="A4" s="2660" t="s">
        <v>1245</v>
      </c>
      <c r="B4" s="2660"/>
      <c r="C4" s="2660"/>
      <c r="D4" s="2660"/>
      <c r="E4" s="2660"/>
    </row>
    <row r="5" spans="1:5" x14ac:dyDescent="0.2">
      <c r="A5" s="2663" t="str">
        <f>'Single Audit Cover'!A4</f>
        <v>Year Ending June 30, 2019</v>
      </c>
      <c r="B5" s="2663"/>
      <c r="C5" s="2663"/>
      <c r="D5" s="2663"/>
      <c r="E5" s="2663"/>
    </row>
    <row r="6" spans="1:5" x14ac:dyDescent="0.2">
      <c r="A6" s="2660" t="s">
        <v>1244</v>
      </c>
      <c r="B6" s="2660"/>
      <c r="C6" s="2660"/>
      <c r="D6" s="2660"/>
      <c r="E6" s="2660"/>
    </row>
    <row r="8" spans="1:5" x14ac:dyDescent="0.2">
      <c r="A8" s="1254" t="s">
        <v>1243</v>
      </c>
    </row>
    <row r="10" spans="1:5" x14ac:dyDescent="0.2">
      <c r="A10" s="1255" t="s">
        <v>1242</v>
      </c>
      <c r="B10" s="1256" t="s">
        <v>1241</v>
      </c>
      <c r="C10" s="1256"/>
      <c r="D10" s="1257">
        <f>SUM('Acct Summary 7-8'!C7:K7)</f>
        <v>2835187</v>
      </c>
    </row>
    <row r="11" spans="1:5" ht="18" customHeight="1" x14ac:dyDescent="0.2">
      <c r="A11" s="1255" t="s">
        <v>1240</v>
      </c>
      <c r="B11" s="1256"/>
      <c r="C11" s="1256"/>
    </row>
    <row r="12" spans="1:5" x14ac:dyDescent="0.2">
      <c r="A12" s="1255" t="s">
        <v>1239</v>
      </c>
      <c r="B12" s="1256" t="s">
        <v>1238</v>
      </c>
      <c r="C12" s="1256"/>
      <c r="D12" s="1258">
        <f>SUM('Revenues 9-14'!C112:D112,'Revenues 9-14'!F112:G112)</f>
        <v>79960</v>
      </c>
    </row>
    <row r="13" spans="1:5" x14ac:dyDescent="0.2">
      <c r="A13" s="1255" t="s">
        <v>1237</v>
      </c>
      <c r="B13" s="1256"/>
      <c r="C13" s="1256"/>
    </row>
    <row r="14" spans="1:5" x14ac:dyDescent="0.2">
      <c r="A14" s="1255" t="s">
        <v>1727</v>
      </c>
      <c r="B14" s="1256"/>
      <c r="C14" s="1256"/>
      <c r="D14" s="1258">
        <f>'ICR Computation 30'!E11</f>
        <v>2742</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-142524</v>
      </c>
    </row>
    <row r="19" spans="1:4" ht="13.5" thickBot="1" x14ac:dyDescent="0.25">
      <c r="A19" s="1259" t="s">
        <v>1235</v>
      </c>
      <c r="D19" s="1260">
        <f>SUM(D10:D17)</f>
        <v>2775365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662"/>
      <c r="B24" s="2662"/>
      <c r="D24" s="1262"/>
    </row>
    <row r="25" spans="1:4" x14ac:dyDescent="0.2">
      <c r="A25" s="2659"/>
      <c r="B25" s="2659"/>
      <c r="D25" s="1262"/>
    </row>
    <row r="26" spans="1:4" x14ac:dyDescent="0.2">
      <c r="A26" s="2659"/>
      <c r="B26" s="2659"/>
      <c r="D26" s="1262"/>
    </row>
    <row r="27" spans="1:4" x14ac:dyDescent="0.2">
      <c r="A27" s="2659"/>
      <c r="B27" s="2659"/>
      <c r="D27" s="1262"/>
    </row>
    <row r="28" spans="1:4" x14ac:dyDescent="0.2">
      <c r="A28" s="2659"/>
      <c r="B28" s="2659"/>
      <c r="D28" s="1262"/>
    </row>
    <row r="29" spans="1:4" x14ac:dyDescent="0.2">
      <c r="A29" s="2659"/>
      <c r="B29" s="2659"/>
      <c r="D29" s="1262"/>
    </row>
    <row r="30" spans="1:4" x14ac:dyDescent="0.2">
      <c r="A30" s="2659"/>
      <c r="B30" s="2659"/>
      <c r="D30" s="1262"/>
    </row>
    <row r="32" spans="1:4" x14ac:dyDescent="0.2">
      <c r="A32" s="1254" t="s">
        <v>1233</v>
      </c>
      <c r="D32" s="1257">
        <f>SUM(D19:D30)</f>
        <v>2775365</v>
      </c>
    </row>
    <row r="33" spans="1:4" x14ac:dyDescent="0.2">
      <c r="D33" s="1263"/>
    </row>
    <row r="34" spans="1:4" x14ac:dyDescent="0.2">
      <c r="A34" s="317" t="s">
        <v>1232</v>
      </c>
    </row>
    <row r="35" spans="1:4" x14ac:dyDescent="0.2">
      <c r="A35" s="317" t="s">
        <v>1231</v>
      </c>
      <c r="B35" s="1252" t="s">
        <v>1230</v>
      </c>
      <c r="D35" s="1264">
        <v>2772623</v>
      </c>
    </row>
    <row r="37" spans="1:4" x14ac:dyDescent="0.2">
      <c r="A37" s="1254" t="s">
        <v>1229</v>
      </c>
    </row>
    <row r="39" spans="1:4" ht="13.35" customHeight="1" x14ac:dyDescent="0.2">
      <c r="A39" s="1261" t="s">
        <v>1228</v>
      </c>
    </row>
    <row r="40" spans="1:4" x14ac:dyDescent="0.2">
      <c r="A40" s="2659" t="s">
        <v>2085</v>
      </c>
      <c r="B40" s="2659"/>
      <c r="D40" s="1262">
        <v>2742</v>
      </c>
    </row>
    <row r="41" spans="1:4" x14ac:dyDescent="0.2">
      <c r="A41" s="2659"/>
      <c r="B41" s="2659"/>
      <c r="D41" s="1265"/>
    </row>
    <row r="42" spans="1:4" x14ac:dyDescent="0.2">
      <c r="A42" s="2659"/>
      <c r="B42" s="2659"/>
      <c r="D42" s="1265"/>
    </row>
    <row r="43" spans="1:4" x14ac:dyDescent="0.2">
      <c r="A43" s="2659"/>
      <c r="B43" s="2659"/>
      <c r="D43" s="1265"/>
    </row>
    <row r="44" spans="1:4" x14ac:dyDescent="0.2">
      <c r="A44" s="2659"/>
      <c r="B44" s="2659"/>
      <c r="D44" s="1265"/>
    </row>
    <row r="45" spans="1:4" x14ac:dyDescent="0.2">
      <c r="A45" s="2659"/>
      <c r="B45" s="2659"/>
      <c r="D45" s="1265"/>
    </row>
    <row r="47" spans="1:4" x14ac:dyDescent="0.2">
      <c r="B47" s="1266" t="s">
        <v>1227</v>
      </c>
      <c r="C47" s="1266"/>
      <c r="D47" s="1267">
        <f>SUM(D35:D45)</f>
        <v>2775365</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621" t="str">
        <f>'Single Audit Cover'!A7</f>
        <v>Bi County Special Educ Coop</v>
      </c>
      <c r="C1" s="2664"/>
      <c r="D1" s="2664"/>
      <c r="E1" s="2664"/>
      <c r="F1" s="2664"/>
      <c r="G1" s="2664"/>
      <c r="H1" s="2664"/>
      <c r="I1" s="2664"/>
      <c r="J1" s="2664"/>
      <c r="K1" s="2664"/>
      <c r="L1" s="2664"/>
      <c r="M1" s="2664"/>
    </row>
    <row r="2" spans="2:14" ht="15" x14ac:dyDescent="0.2">
      <c r="B2" s="2665">
        <f>'Single Audit Cover'!E7</f>
        <v>47098000061</v>
      </c>
      <c r="C2" s="2665"/>
      <c r="D2" s="2665"/>
      <c r="E2" s="2665"/>
      <c r="F2" s="2665"/>
      <c r="G2" s="2665"/>
      <c r="H2" s="2665"/>
      <c r="I2" s="2665"/>
      <c r="J2" s="2665"/>
      <c r="K2" s="2665"/>
      <c r="L2" s="2665"/>
      <c r="M2" s="2665"/>
      <c r="N2" s="1295"/>
    </row>
    <row r="3" spans="2:14" ht="15" x14ac:dyDescent="0.2">
      <c r="B3" s="2666" t="s">
        <v>1219</v>
      </c>
      <c r="C3" s="2666"/>
      <c r="D3" s="2666"/>
      <c r="E3" s="2666"/>
      <c r="F3" s="2666"/>
      <c r="G3" s="2666"/>
      <c r="H3" s="2666"/>
      <c r="I3" s="2666"/>
      <c r="J3" s="2666"/>
      <c r="K3" s="2666"/>
      <c r="L3" s="2666"/>
      <c r="M3" s="2666"/>
      <c r="N3" s="1295"/>
    </row>
    <row r="4" spans="2:14" ht="15" x14ac:dyDescent="0.2">
      <c r="B4" s="2667" t="str">
        <f>'Single Audit Cover'!A4</f>
        <v>Year Ending June 30, 2019</v>
      </c>
      <c r="C4" s="2667"/>
      <c r="D4" s="2667"/>
      <c r="E4" s="2667"/>
      <c r="F4" s="2667"/>
      <c r="G4" s="2667"/>
      <c r="H4" s="2667"/>
      <c r="I4" s="2667"/>
      <c r="J4" s="2667"/>
      <c r="K4" s="2667"/>
      <c r="L4" s="2667"/>
      <c r="M4" s="2667"/>
      <c r="N4" s="1295"/>
    </row>
    <row r="6" spans="2:14" x14ac:dyDescent="0.2">
      <c r="B6" s="1296"/>
      <c r="C6" s="1297"/>
      <c r="D6" s="1298" t="s">
        <v>1265</v>
      </c>
      <c r="E6" s="1299" t="s">
        <v>527</v>
      </c>
      <c r="F6" s="1300"/>
      <c r="G6" s="1301" t="s">
        <v>1731</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1836</v>
      </c>
      <c r="I8" s="1312" t="s">
        <v>1262</v>
      </c>
      <c r="J8" s="1311" t="s">
        <v>1987</v>
      </c>
      <c r="K8" s="1312" t="s">
        <v>1261</v>
      </c>
      <c r="L8" s="1313" t="s">
        <v>1257</v>
      </c>
      <c r="M8" s="1314" t="s">
        <v>30</v>
      </c>
    </row>
    <row r="9" spans="2:14" ht="14.25" x14ac:dyDescent="0.2">
      <c r="B9" s="1318" t="s">
        <v>1259</v>
      </c>
      <c r="C9" s="1306" t="s">
        <v>1732</v>
      </c>
      <c r="D9" s="1307" t="s">
        <v>1733</v>
      </c>
      <c r="E9" s="1315" t="s">
        <v>1836</v>
      </c>
      <c r="F9" s="1316" t="s">
        <v>1987</v>
      </c>
      <c r="G9" s="1317" t="s">
        <v>1836</v>
      </c>
      <c r="H9" s="1310" t="s">
        <v>1582</v>
      </c>
      <c r="I9" s="1312" t="s">
        <v>1987</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c r="C12" s="1334"/>
      <c r="D12" s="1335"/>
      <c r="E12" s="1336"/>
      <c r="F12" s="1336"/>
      <c r="G12" s="1336"/>
      <c r="H12" s="1336"/>
      <c r="I12" s="1336"/>
      <c r="J12" s="1336"/>
      <c r="K12" s="1336"/>
      <c r="L12" s="1333">
        <f t="shared" ref="L12:L27" si="0">+G12+I12+K12</f>
        <v>0</v>
      </c>
      <c r="M12" s="1336"/>
    </row>
    <row r="13" spans="2:14" ht="20.100000000000001" customHeight="1" x14ac:dyDescent="0.2">
      <c r="B13" s="1330" t="s">
        <v>2068</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1"/>
      <c r="C29" s="1342"/>
      <c r="D29" s="1343"/>
      <c r="E29" s="1251"/>
      <c r="F29" s="1251"/>
      <c r="G29" s="1244"/>
      <c r="H29" s="1244"/>
      <c r="I29" s="1244"/>
      <c r="J29" s="1244"/>
      <c r="K29" s="1244"/>
      <c r="L29" s="1244"/>
      <c r="M29" s="1251"/>
      <c r="N29" s="1337"/>
    </row>
    <row r="30" spans="2:14" ht="13.5" customHeight="1" x14ac:dyDescent="0.2">
      <c r="B30" s="1276" t="s">
        <v>1734</v>
      </c>
      <c r="C30" s="1342"/>
      <c r="D30" s="1343"/>
      <c r="E30" s="1251"/>
      <c r="F30" s="1251"/>
      <c r="G30" s="1244"/>
      <c r="H30" s="1244"/>
      <c r="I30" s="1244"/>
      <c r="J30" s="1244"/>
      <c r="K30" s="1244"/>
      <c r="L30" s="1244"/>
      <c r="M30" s="1251"/>
      <c r="N30" s="1337"/>
    </row>
    <row r="31" spans="2:14" ht="8.25" customHeight="1" x14ac:dyDescent="0.2">
      <c r="B31" s="1276"/>
      <c r="C31" s="1342"/>
      <c r="D31" s="1343"/>
      <c r="E31" s="1251"/>
      <c r="F31" s="1251"/>
      <c r="G31" s="1244"/>
      <c r="H31" s="1244"/>
      <c r="I31" s="1244"/>
      <c r="J31" s="1244"/>
      <c r="K31" s="1244"/>
      <c r="L31" s="1244"/>
      <c r="M31" s="1251"/>
      <c r="N31" s="1337"/>
    </row>
    <row r="32" spans="2:14" x14ac:dyDescent="0.2">
      <c r="B32" s="1344" t="s">
        <v>1837</v>
      </c>
      <c r="C32" s="1345"/>
      <c r="D32" s="1346"/>
      <c r="E32" s="1347"/>
      <c r="F32" s="1347"/>
      <c r="G32" s="1347"/>
      <c r="H32" s="1347"/>
      <c r="I32" s="317"/>
      <c r="J32" s="317"/>
    </row>
    <row r="33" spans="2:13" x14ac:dyDescent="0.2">
      <c r="B33" s="1271"/>
      <c r="C33" s="1348"/>
      <c r="D33" s="1349"/>
      <c r="E33" s="1272"/>
      <c r="F33" s="1272"/>
      <c r="G33" s="317"/>
      <c r="H33" s="317"/>
      <c r="I33" s="317"/>
      <c r="J33" s="317"/>
    </row>
    <row r="34" spans="2:13" ht="13.5" customHeight="1" x14ac:dyDescent="0.2">
      <c r="B34" s="1270"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1735</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1736</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1737</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1738</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pageSetUpPr fitToPage="1"/>
  </sheetPr>
  <dimension ref="A1:AD121"/>
  <sheetViews>
    <sheetView showGridLines="0" zoomScaleNormal="100" workbookViewId="0">
      <pane xSplit="2" ySplit="10" topLeftCell="C11" activePane="bottomRight" state="frozen"/>
      <selection activeCell="T21" sqref="T21:W21"/>
      <selection pane="topRight" activeCell="T21" sqref="T21:W21"/>
      <selection pane="bottomLeft" activeCell="T21" sqref="T21:W21"/>
      <selection pane="bottomRight" activeCell="C11" sqref="C11"/>
    </sheetView>
  </sheetViews>
  <sheetFormatPr defaultColWidth="16.7109375" defaultRowHeight="15" x14ac:dyDescent="0.2"/>
  <cols>
    <col min="1" max="1" width="6.42578125" style="2099" customWidth="1"/>
    <col min="2" max="2" width="51.42578125" style="1935" customWidth="1"/>
    <col min="3" max="3" width="9.85546875" style="1935" customWidth="1"/>
    <col min="4" max="4" width="1.28515625" style="1935" customWidth="1"/>
    <col min="5" max="5" width="11" style="1935" customWidth="1"/>
    <col min="6" max="6" width="3" style="2101" customWidth="1"/>
    <col min="7" max="7" width="13.140625" style="1935" customWidth="1"/>
    <col min="8" max="8" width="2.42578125" style="1935" customWidth="1"/>
    <col min="9" max="9" width="13.140625" style="1935" customWidth="1"/>
    <col min="10" max="10" width="3.85546875" style="2101" customWidth="1"/>
    <col min="11" max="11" width="12.5703125" style="1935" customWidth="1"/>
    <col min="12" max="12" width="1.85546875" style="1935" customWidth="1"/>
    <col min="13" max="13" width="13.28515625" style="1935" customWidth="1"/>
    <col min="14" max="14" width="5.140625" style="1935" bestFit="1" customWidth="1"/>
    <col min="15" max="15" width="14.42578125" style="1935" customWidth="1"/>
    <col min="16" max="16" width="4" style="1935" customWidth="1"/>
    <col min="17" max="17" width="10.85546875" style="1935" customWidth="1"/>
    <col min="18" max="18" width="4.140625" style="2101" customWidth="1"/>
    <col min="19" max="19" width="11.85546875" style="1935" customWidth="1"/>
    <col min="20" max="20" width="1.85546875" style="1935" customWidth="1"/>
    <col min="21" max="21" width="15" style="1935" customWidth="1"/>
    <col min="22" max="22" width="10.7109375" style="1935" hidden="1" customWidth="1"/>
    <col min="23" max="23" width="12.42578125" style="1935" hidden="1" customWidth="1"/>
    <col min="24" max="24" width="14.28515625" style="1935" hidden="1" customWidth="1"/>
    <col min="25" max="25" width="14.42578125" style="1935" hidden="1" customWidth="1"/>
    <col min="26" max="26" width="15" style="1935" hidden="1" customWidth="1"/>
    <col min="27" max="27" width="16.28515625" style="1935" hidden="1" customWidth="1"/>
    <col min="28" max="28" width="12.42578125" style="1935" hidden="1" customWidth="1"/>
    <col min="29" max="29" width="0" style="1935" hidden="1" customWidth="1"/>
    <col min="30" max="30" width="2.85546875" style="1935" customWidth="1"/>
    <col min="31" max="249" width="16.7109375" style="1935"/>
    <col min="250" max="250" width="6.42578125" style="1935" customWidth="1"/>
    <col min="251" max="251" width="51.42578125" style="1935" customWidth="1"/>
    <col min="252" max="252" width="9.85546875" style="1935" customWidth="1"/>
    <col min="253" max="253" width="1.28515625" style="1935" customWidth="1"/>
    <col min="254" max="254" width="11" style="1935" customWidth="1"/>
    <col min="255" max="255" width="3" style="1935" customWidth="1"/>
    <col min="256" max="256" width="11.7109375" style="1935" customWidth="1"/>
    <col min="257" max="257" width="2.42578125" style="1935" customWidth="1"/>
    <col min="258" max="258" width="11.42578125" style="1935" customWidth="1"/>
    <col min="259" max="259" width="3.85546875" style="1935" customWidth="1"/>
    <col min="260" max="260" width="11.5703125" style="1935" customWidth="1"/>
    <col min="261" max="261" width="1.85546875" style="1935" customWidth="1"/>
    <col min="262" max="262" width="13.28515625" style="1935" customWidth="1"/>
    <col min="263" max="263" width="3.85546875" style="1935" customWidth="1"/>
    <col min="264" max="264" width="14.42578125" style="1935" customWidth="1"/>
    <col min="265" max="265" width="4" style="1935" customWidth="1"/>
    <col min="266" max="266" width="10.85546875" style="1935" customWidth="1"/>
    <col min="267" max="267" width="4.140625" style="1935" customWidth="1"/>
    <col min="268" max="268" width="11.85546875" style="1935" customWidth="1"/>
    <col min="269" max="269" width="1.85546875" style="1935" customWidth="1"/>
    <col min="270" max="270" width="10.7109375" style="1935" customWidth="1"/>
    <col min="271" max="279" width="0" style="1935" hidden="1" customWidth="1"/>
    <col min="280" max="283" width="16.7109375" style="1935"/>
    <col min="284" max="284" width="19.5703125" style="1935" customWidth="1"/>
    <col min="285" max="505" width="16.7109375" style="1935"/>
    <col min="506" max="506" width="6.42578125" style="1935" customWidth="1"/>
    <col min="507" max="507" width="51.42578125" style="1935" customWidth="1"/>
    <col min="508" max="508" width="9.85546875" style="1935" customWidth="1"/>
    <col min="509" max="509" width="1.28515625" style="1935" customWidth="1"/>
    <col min="510" max="510" width="11" style="1935" customWidth="1"/>
    <col min="511" max="511" width="3" style="1935" customWidth="1"/>
    <col min="512" max="512" width="11.7109375" style="1935" customWidth="1"/>
    <col min="513" max="513" width="2.42578125" style="1935" customWidth="1"/>
    <col min="514" max="514" width="11.42578125" style="1935" customWidth="1"/>
    <col min="515" max="515" width="3.85546875" style="1935" customWidth="1"/>
    <col min="516" max="516" width="11.5703125" style="1935" customWidth="1"/>
    <col min="517" max="517" width="1.85546875" style="1935" customWidth="1"/>
    <col min="518" max="518" width="13.28515625" style="1935" customWidth="1"/>
    <col min="519" max="519" width="3.85546875" style="1935" customWidth="1"/>
    <col min="520" max="520" width="14.42578125" style="1935" customWidth="1"/>
    <col min="521" max="521" width="4" style="1935" customWidth="1"/>
    <col min="522" max="522" width="10.85546875" style="1935" customWidth="1"/>
    <col min="523" max="523" width="4.140625" style="1935" customWidth="1"/>
    <col min="524" max="524" width="11.85546875" style="1935" customWidth="1"/>
    <col min="525" max="525" width="1.85546875" style="1935" customWidth="1"/>
    <col min="526" max="526" width="10.7109375" style="1935" customWidth="1"/>
    <col min="527" max="535" width="0" style="1935" hidden="1" customWidth="1"/>
    <col min="536" max="539" width="16.7109375" style="1935"/>
    <col min="540" max="540" width="19.5703125" style="1935" customWidth="1"/>
    <col min="541" max="761" width="16.7109375" style="1935"/>
    <col min="762" max="762" width="6.42578125" style="1935" customWidth="1"/>
    <col min="763" max="763" width="51.42578125" style="1935" customWidth="1"/>
    <col min="764" max="764" width="9.85546875" style="1935" customWidth="1"/>
    <col min="765" max="765" width="1.28515625" style="1935" customWidth="1"/>
    <col min="766" max="766" width="11" style="1935" customWidth="1"/>
    <col min="767" max="767" width="3" style="1935" customWidth="1"/>
    <col min="768" max="768" width="11.7109375" style="1935" customWidth="1"/>
    <col min="769" max="769" width="2.42578125" style="1935" customWidth="1"/>
    <col min="770" max="770" width="11.42578125" style="1935" customWidth="1"/>
    <col min="771" max="771" width="3.85546875" style="1935" customWidth="1"/>
    <col min="772" max="772" width="11.5703125" style="1935" customWidth="1"/>
    <col min="773" max="773" width="1.85546875" style="1935" customWidth="1"/>
    <col min="774" max="774" width="13.28515625" style="1935" customWidth="1"/>
    <col min="775" max="775" width="3.85546875" style="1935" customWidth="1"/>
    <col min="776" max="776" width="14.42578125" style="1935" customWidth="1"/>
    <col min="777" max="777" width="4" style="1935" customWidth="1"/>
    <col min="778" max="778" width="10.85546875" style="1935" customWidth="1"/>
    <col min="779" max="779" width="4.140625" style="1935" customWidth="1"/>
    <col min="780" max="780" width="11.85546875" style="1935" customWidth="1"/>
    <col min="781" max="781" width="1.85546875" style="1935" customWidth="1"/>
    <col min="782" max="782" width="10.7109375" style="1935" customWidth="1"/>
    <col min="783" max="791" width="0" style="1935" hidden="1" customWidth="1"/>
    <col min="792" max="795" width="16.7109375" style="1935"/>
    <col min="796" max="796" width="19.5703125" style="1935" customWidth="1"/>
    <col min="797" max="1017" width="16.7109375" style="1935"/>
    <col min="1018" max="1018" width="6.42578125" style="1935" customWidth="1"/>
    <col min="1019" max="1019" width="51.42578125" style="1935" customWidth="1"/>
    <col min="1020" max="1020" width="9.85546875" style="1935" customWidth="1"/>
    <col min="1021" max="1021" width="1.28515625" style="1935" customWidth="1"/>
    <col min="1022" max="1022" width="11" style="1935" customWidth="1"/>
    <col min="1023" max="1023" width="3" style="1935" customWidth="1"/>
    <col min="1024" max="1024" width="11.7109375" style="1935" customWidth="1"/>
    <col min="1025" max="1025" width="2.42578125" style="1935" customWidth="1"/>
    <col min="1026" max="1026" width="11.42578125" style="1935" customWidth="1"/>
    <col min="1027" max="1027" width="3.85546875" style="1935" customWidth="1"/>
    <col min="1028" max="1028" width="11.5703125" style="1935" customWidth="1"/>
    <col min="1029" max="1029" width="1.85546875" style="1935" customWidth="1"/>
    <col min="1030" max="1030" width="13.28515625" style="1935" customWidth="1"/>
    <col min="1031" max="1031" width="3.85546875" style="1935" customWidth="1"/>
    <col min="1032" max="1032" width="14.42578125" style="1935" customWidth="1"/>
    <col min="1033" max="1033" width="4" style="1935" customWidth="1"/>
    <col min="1034" max="1034" width="10.85546875" style="1935" customWidth="1"/>
    <col min="1035" max="1035" width="4.140625" style="1935" customWidth="1"/>
    <col min="1036" max="1036" width="11.85546875" style="1935" customWidth="1"/>
    <col min="1037" max="1037" width="1.85546875" style="1935" customWidth="1"/>
    <col min="1038" max="1038" width="10.7109375" style="1935" customWidth="1"/>
    <col min="1039" max="1047" width="0" style="1935" hidden="1" customWidth="1"/>
    <col min="1048" max="1051" width="16.7109375" style="1935"/>
    <col min="1052" max="1052" width="19.5703125" style="1935" customWidth="1"/>
    <col min="1053" max="1273" width="16.7109375" style="1935"/>
    <col min="1274" max="1274" width="6.42578125" style="1935" customWidth="1"/>
    <col min="1275" max="1275" width="51.42578125" style="1935" customWidth="1"/>
    <col min="1276" max="1276" width="9.85546875" style="1935" customWidth="1"/>
    <col min="1277" max="1277" width="1.28515625" style="1935" customWidth="1"/>
    <col min="1278" max="1278" width="11" style="1935" customWidth="1"/>
    <col min="1279" max="1279" width="3" style="1935" customWidth="1"/>
    <col min="1280" max="1280" width="11.7109375" style="1935" customWidth="1"/>
    <col min="1281" max="1281" width="2.42578125" style="1935" customWidth="1"/>
    <col min="1282" max="1282" width="11.42578125" style="1935" customWidth="1"/>
    <col min="1283" max="1283" width="3.85546875" style="1935" customWidth="1"/>
    <col min="1284" max="1284" width="11.5703125" style="1935" customWidth="1"/>
    <col min="1285" max="1285" width="1.85546875" style="1935" customWidth="1"/>
    <col min="1286" max="1286" width="13.28515625" style="1935" customWidth="1"/>
    <col min="1287" max="1287" width="3.85546875" style="1935" customWidth="1"/>
    <col min="1288" max="1288" width="14.42578125" style="1935" customWidth="1"/>
    <col min="1289" max="1289" width="4" style="1935" customWidth="1"/>
    <col min="1290" max="1290" width="10.85546875" style="1935" customWidth="1"/>
    <col min="1291" max="1291" width="4.140625" style="1935" customWidth="1"/>
    <col min="1292" max="1292" width="11.85546875" style="1935" customWidth="1"/>
    <col min="1293" max="1293" width="1.85546875" style="1935" customWidth="1"/>
    <col min="1294" max="1294" width="10.7109375" style="1935" customWidth="1"/>
    <col min="1295" max="1303" width="0" style="1935" hidden="1" customWidth="1"/>
    <col min="1304" max="1307" width="16.7109375" style="1935"/>
    <col min="1308" max="1308" width="19.5703125" style="1935" customWidth="1"/>
    <col min="1309" max="1529" width="16.7109375" style="1935"/>
    <col min="1530" max="1530" width="6.42578125" style="1935" customWidth="1"/>
    <col min="1531" max="1531" width="51.42578125" style="1935" customWidth="1"/>
    <col min="1532" max="1532" width="9.85546875" style="1935" customWidth="1"/>
    <col min="1533" max="1533" width="1.28515625" style="1935" customWidth="1"/>
    <col min="1534" max="1534" width="11" style="1935" customWidth="1"/>
    <col min="1535" max="1535" width="3" style="1935" customWidth="1"/>
    <col min="1536" max="1536" width="11.7109375" style="1935" customWidth="1"/>
    <col min="1537" max="1537" width="2.42578125" style="1935" customWidth="1"/>
    <col min="1538" max="1538" width="11.42578125" style="1935" customWidth="1"/>
    <col min="1539" max="1539" width="3.85546875" style="1935" customWidth="1"/>
    <col min="1540" max="1540" width="11.5703125" style="1935" customWidth="1"/>
    <col min="1541" max="1541" width="1.85546875" style="1935" customWidth="1"/>
    <col min="1542" max="1542" width="13.28515625" style="1935" customWidth="1"/>
    <col min="1543" max="1543" width="3.85546875" style="1935" customWidth="1"/>
    <col min="1544" max="1544" width="14.42578125" style="1935" customWidth="1"/>
    <col min="1545" max="1545" width="4" style="1935" customWidth="1"/>
    <col min="1546" max="1546" width="10.85546875" style="1935" customWidth="1"/>
    <col min="1547" max="1547" width="4.140625" style="1935" customWidth="1"/>
    <col min="1548" max="1548" width="11.85546875" style="1935" customWidth="1"/>
    <col min="1549" max="1549" width="1.85546875" style="1935" customWidth="1"/>
    <col min="1550" max="1550" width="10.7109375" style="1935" customWidth="1"/>
    <col min="1551" max="1559" width="0" style="1935" hidden="1" customWidth="1"/>
    <col min="1560" max="1563" width="16.7109375" style="1935"/>
    <col min="1564" max="1564" width="19.5703125" style="1935" customWidth="1"/>
    <col min="1565" max="1785" width="16.7109375" style="1935"/>
    <col min="1786" max="1786" width="6.42578125" style="1935" customWidth="1"/>
    <col min="1787" max="1787" width="51.42578125" style="1935" customWidth="1"/>
    <col min="1788" max="1788" width="9.85546875" style="1935" customWidth="1"/>
    <col min="1789" max="1789" width="1.28515625" style="1935" customWidth="1"/>
    <col min="1790" max="1790" width="11" style="1935" customWidth="1"/>
    <col min="1791" max="1791" width="3" style="1935" customWidth="1"/>
    <col min="1792" max="1792" width="11.7109375" style="1935" customWidth="1"/>
    <col min="1793" max="1793" width="2.42578125" style="1935" customWidth="1"/>
    <col min="1794" max="1794" width="11.42578125" style="1935" customWidth="1"/>
    <col min="1795" max="1795" width="3.85546875" style="1935" customWidth="1"/>
    <col min="1796" max="1796" width="11.5703125" style="1935" customWidth="1"/>
    <col min="1797" max="1797" width="1.85546875" style="1935" customWidth="1"/>
    <col min="1798" max="1798" width="13.28515625" style="1935" customWidth="1"/>
    <col min="1799" max="1799" width="3.85546875" style="1935" customWidth="1"/>
    <col min="1800" max="1800" width="14.42578125" style="1935" customWidth="1"/>
    <col min="1801" max="1801" width="4" style="1935" customWidth="1"/>
    <col min="1802" max="1802" width="10.85546875" style="1935" customWidth="1"/>
    <col min="1803" max="1803" width="4.140625" style="1935" customWidth="1"/>
    <col min="1804" max="1804" width="11.85546875" style="1935" customWidth="1"/>
    <col min="1805" max="1805" width="1.85546875" style="1935" customWidth="1"/>
    <col min="1806" max="1806" width="10.7109375" style="1935" customWidth="1"/>
    <col min="1807" max="1815" width="0" style="1935" hidden="1" customWidth="1"/>
    <col min="1816" max="1819" width="16.7109375" style="1935"/>
    <col min="1820" max="1820" width="19.5703125" style="1935" customWidth="1"/>
    <col min="1821" max="2041" width="16.7109375" style="1935"/>
    <col min="2042" max="2042" width="6.42578125" style="1935" customWidth="1"/>
    <col min="2043" max="2043" width="51.42578125" style="1935" customWidth="1"/>
    <col min="2044" max="2044" width="9.85546875" style="1935" customWidth="1"/>
    <col min="2045" max="2045" width="1.28515625" style="1935" customWidth="1"/>
    <col min="2046" max="2046" width="11" style="1935" customWidth="1"/>
    <col min="2047" max="2047" width="3" style="1935" customWidth="1"/>
    <col min="2048" max="2048" width="11.7109375" style="1935" customWidth="1"/>
    <col min="2049" max="2049" width="2.42578125" style="1935" customWidth="1"/>
    <col min="2050" max="2050" width="11.42578125" style="1935" customWidth="1"/>
    <col min="2051" max="2051" width="3.85546875" style="1935" customWidth="1"/>
    <col min="2052" max="2052" width="11.5703125" style="1935" customWidth="1"/>
    <col min="2053" max="2053" width="1.85546875" style="1935" customWidth="1"/>
    <col min="2054" max="2054" width="13.28515625" style="1935" customWidth="1"/>
    <col min="2055" max="2055" width="3.85546875" style="1935" customWidth="1"/>
    <col min="2056" max="2056" width="14.42578125" style="1935" customWidth="1"/>
    <col min="2057" max="2057" width="4" style="1935" customWidth="1"/>
    <col min="2058" max="2058" width="10.85546875" style="1935" customWidth="1"/>
    <col min="2059" max="2059" width="4.140625" style="1935" customWidth="1"/>
    <col min="2060" max="2060" width="11.85546875" style="1935" customWidth="1"/>
    <col min="2061" max="2061" width="1.85546875" style="1935" customWidth="1"/>
    <col min="2062" max="2062" width="10.7109375" style="1935" customWidth="1"/>
    <col min="2063" max="2071" width="0" style="1935" hidden="1" customWidth="1"/>
    <col min="2072" max="2075" width="16.7109375" style="1935"/>
    <col min="2076" max="2076" width="19.5703125" style="1935" customWidth="1"/>
    <col min="2077" max="2297" width="16.7109375" style="1935"/>
    <col min="2298" max="2298" width="6.42578125" style="1935" customWidth="1"/>
    <col min="2299" max="2299" width="51.42578125" style="1935" customWidth="1"/>
    <col min="2300" max="2300" width="9.85546875" style="1935" customWidth="1"/>
    <col min="2301" max="2301" width="1.28515625" style="1935" customWidth="1"/>
    <col min="2302" max="2302" width="11" style="1935" customWidth="1"/>
    <col min="2303" max="2303" width="3" style="1935" customWidth="1"/>
    <col min="2304" max="2304" width="11.7109375" style="1935" customWidth="1"/>
    <col min="2305" max="2305" width="2.42578125" style="1935" customWidth="1"/>
    <col min="2306" max="2306" width="11.42578125" style="1935" customWidth="1"/>
    <col min="2307" max="2307" width="3.85546875" style="1935" customWidth="1"/>
    <col min="2308" max="2308" width="11.5703125" style="1935" customWidth="1"/>
    <col min="2309" max="2309" width="1.85546875" style="1935" customWidth="1"/>
    <col min="2310" max="2310" width="13.28515625" style="1935" customWidth="1"/>
    <col min="2311" max="2311" width="3.85546875" style="1935" customWidth="1"/>
    <col min="2312" max="2312" width="14.42578125" style="1935" customWidth="1"/>
    <col min="2313" max="2313" width="4" style="1935" customWidth="1"/>
    <col min="2314" max="2314" width="10.85546875" style="1935" customWidth="1"/>
    <col min="2315" max="2315" width="4.140625" style="1935" customWidth="1"/>
    <col min="2316" max="2316" width="11.85546875" style="1935" customWidth="1"/>
    <col min="2317" max="2317" width="1.85546875" style="1935" customWidth="1"/>
    <col min="2318" max="2318" width="10.7109375" style="1935" customWidth="1"/>
    <col min="2319" max="2327" width="0" style="1935" hidden="1" customWidth="1"/>
    <col min="2328" max="2331" width="16.7109375" style="1935"/>
    <col min="2332" max="2332" width="19.5703125" style="1935" customWidth="1"/>
    <col min="2333" max="2553" width="16.7109375" style="1935"/>
    <col min="2554" max="2554" width="6.42578125" style="1935" customWidth="1"/>
    <col min="2555" max="2555" width="51.42578125" style="1935" customWidth="1"/>
    <col min="2556" max="2556" width="9.85546875" style="1935" customWidth="1"/>
    <col min="2557" max="2557" width="1.28515625" style="1935" customWidth="1"/>
    <col min="2558" max="2558" width="11" style="1935" customWidth="1"/>
    <col min="2559" max="2559" width="3" style="1935" customWidth="1"/>
    <col min="2560" max="2560" width="11.7109375" style="1935" customWidth="1"/>
    <col min="2561" max="2561" width="2.42578125" style="1935" customWidth="1"/>
    <col min="2562" max="2562" width="11.42578125" style="1935" customWidth="1"/>
    <col min="2563" max="2563" width="3.85546875" style="1935" customWidth="1"/>
    <col min="2564" max="2564" width="11.5703125" style="1935" customWidth="1"/>
    <col min="2565" max="2565" width="1.85546875" style="1935" customWidth="1"/>
    <col min="2566" max="2566" width="13.28515625" style="1935" customWidth="1"/>
    <col min="2567" max="2567" width="3.85546875" style="1935" customWidth="1"/>
    <col min="2568" max="2568" width="14.42578125" style="1935" customWidth="1"/>
    <col min="2569" max="2569" width="4" style="1935" customWidth="1"/>
    <col min="2570" max="2570" width="10.85546875" style="1935" customWidth="1"/>
    <col min="2571" max="2571" width="4.140625" style="1935" customWidth="1"/>
    <col min="2572" max="2572" width="11.85546875" style="1935" customWidth="1"/>
    <col min="2573" max="2573" width="1.85546875" style="1935" customWidth="1"/>
    <col min="2574" max="2574" width="10.7109375" style="1935" customWidth="1"/>
    <col min="2575" max="2583" width="0" style="1935" hidden="1" customWidth="1"/>
    <col min="2584" max="2587" width="16.7109375" style="1935"/>
    <col min="2588" max="2588" width="19.5703125" style="1935" customWidth="1"/>
    <col min="2589" max="2809" width="16.7109375" style="1935"/>
    <col min="2810" max="2810" width="6.42578125" style="1935" customWidth="1"/>
    <col min="2811" max="2811" width="51.42578125" style="1935" customWidth="1"/>
    <col min="2812" max="2812" width="9.85546875" style="1935" customWidth="1"/>
    <col min="2813" max="2813" width="1.28515625" style="1935" customWidth="1"/>
    <col min="2814" max="2814" width="11" style="1935" customWidth="1"/>
    <col min="2815" max="2815" width="3" style="1935" customWidth="1"/>
    <col min="2816" max="2816" width="11.7109375" style="1935" customWidth="1"/>
    <col min="2817" max="2817" width="2.42578125" style="1935" customWidth="1"/>
    <col min="2818" max="2818" width="11.42578125" style="1935" customWidth="1"/>
    <col min="2819" max="2819" width="3.85546875" style="1935" customWidth="1"/>
    <col min="2820" max="2820" width="11.5703125" style="1935" customWidth="1"/>
    <col min="2821" max="2821" width="1.85546875" style="1935" customWidth="1"/>
    <col min="2822" max="2822" width="13.28515625" style="1935" customWidth="1"/>
    <col min="2823" max="2823" width="3.85546875" style="1935" customWidth="1"/>
    <col min="2824" max="2824" width="14.42578125" style="1935" customWidth="1"/>
    <col min="2825" max="2825" width="4" style="1935" customWidth="1"/>
    <col min="2826" max="2826" width="10.85546875" style="1935" customWidth="1"/>
    <col min="2827" max="2827" width="4.140625" style="1935" customWidth="1"/>
    <col min="2828" max="2828" width="11.85546875" style="1935" customWidth="1"/>
    <col min="2829" max="2829" width="1.85546875" style="1935" customWidth="1"/>
    <col min="2830" max="2830" width="10.7109375" style="1935" customWidth="1"/>
    <col min="2831" max="2839" width="0" style="1935" hidden="1" customWidth="1"/>
    <col min="2840" max="2843" width="16.7109375" style="1935"/>
    <col min="2844" max="2844" width="19.5703125" style="1935" customWidth="1"/>
    <col min="2845" max="3065" width="16.7109375" style="1935"/>
    <col min="3066" max="3066" width="6.42578125" style="1935" customWidth="1"/>
    <col min="3067" max="3067" width="51.42578125" style="1935" customWidth="1"/>
    <col min="3068" max="3068" width="9.85546875" style="1935" customWidth="1"/>
    <col min="3069" max="3069" width="1.28515625" style="1935" customWidth="1"/>
    <col min="3070" max="3070" width="11" style="1935" customWidth="1"/>
    <col min="3071" max="3071" width="3" style="1935" customWidth="1"/>
    <col min="3072" max="3072" width="11.7109375" style="1935" customWidth="1"/>
    <col min="3073" max="3073" width="2.42578125" style="1935" customWidth="1"/>
    <col min="3074" max="3074" width="11.42578125" style="1935" customWidth="1"/>
    <col min="3075" max="3075" width="3.85546875" style="1935" customWidth="1"/>
    <col min="3076" max="3076" width="11.5703125" style="1935" customWidth="1"/>
    <col min="3077" max="3077" width="1.85546875" style="1935" customWidth="1"/>
    <col min="3078" max="3078" width="13.28515625" style="1935" customWidth="1"/>
    <col min="3079" max="3079" width="3.85546875" style="1935" customWidth="1"/>
    <col min="3080" max="3080" width="14.42578125" style="1935" customWidth="1"/>
    <col min="3081" max="3081" width="4" style="1935" customWidth="1"/>
    <col min="3082" max="3082" width="10.85546875" style="1935" customWidth="1"/>
    <col min="3083" max="3083" width="4.140625" style="1935" customWidth="1"/>
    <col min="3084" max="3084" width="11.85546875" style="1935" customWidth="1"/>
    <col min="3085" max="3085" width="1.85546875" style="1935" customWidth="1"/>
    <col min="3086" max="3086" width="10.7109375" style="1935" customWidth="1"/>
    <col min="3087" max="3095" width="0" style="1935" hidden="1" customWidth="1"/>
    <col min="3096" max="3099" width="16.7109375" style="1935"/>
    <col min="3100" max="3100" width="19.5703125" style="1935" customWidth="1"/>
    <col min="3101" max="3321" width="16.7109375" style="1935"/>
    <col min="3322" max="3322" width="6.42578125" style="1935" customWidth="1"/>
    <col min="3323" max="3323" width="51.42578125" style="1935" customWidth="1"/>
    <col min="3324" max="3324" width="9.85546875" style="1935" customWidth="1"/>
    <col min="3325" max="3325" width="1.28515625" style="1935" customWidth="1"/>
    <col min="3326" max="3326" width="11" style="1935" customWidth="1"/>
    <col min="3327" max="3327" width="3" style="1935" customWidth="1"/>
    <col min="3328" max="3328" width="11.7109375" style="1935" customWidth="1"/>
    <col min="3329" max="3329" width="2.42578125" style="1935" customWidth="1"/>
    <col min="3330" max="3330" width="11.42578125" style="1935" customWidth="1"/>
    <col min="3331" max="3331" width="3.85546875" style="1935" customWidth="1"/>
    <col min="3332" max="3332" width="11.5703125" style="1935" customWidth="1"/>
    <col min="3333" max="3333" width="1.85546875" style="1935" customWidth="1"/>
    <col min="3334" max="3334" width="13.28515625" style="1935" customWidth="1"/>
    <col min="3335" max="3335" width="3.85546875" style="1935" customWidth="1"/>
    <col min="3336" max="3336" width="14.42578125" style="1935" customWidth="1"/>
    <col min="3337" max="3337" width="4" style="1935" customWidth="1"/>
    <col min="3338" max="3338" width="10.85546875" style="1935" customWidth="1"/>
    <col min="3339" max="3339" width="4.140625" style="1935" customWidth="1"/>
    <col min="3340" max="3340" width="11.85546875" style="1935" customWidth="1"/>
    <col min="3341" max="3341" width="1.85546875" style="1935" customWidth="1"/>
    <col min="3342" max="3342" width="10.7109375" style="1935" customWidth="1"/>
    <col min="3343" max="3351" width="0" style="1935" hidden="1" customWidth="1"/>
    <col min="3352" max="3355" width="16.7109375" style="1935"/>
    <col min="3356" max="3356" width="19.5703125" style="1935" customWidth="1"/>
    <col min="3357" max="3577" width="16.7109375" style="1935"/>
    <col min="3578" max="3578" width="6.42578125" style="1935" customWidth="1"/>
    <col min="3579" max="3579" width="51.42578125" style="1935" customWidth="1"/>
    <col min="3580" max="3580" width="9.85546875" style="1935" customWidth="1"/>
    <col min="3581" max="3581" width="1.28515625" style="1935" customWidth="1"/>
    <col min="3582" max="3582" width="11" style="1935" customWidth="1"/>
    <col min="3583" max="3583" width="3" style="1935" customWidth="1"/>
    <col min="3584" max="3584" width="11.7109375" style="1935" customWidth="1"/>
    <col min="3585" max="3585" width="2.42578125" style="1935" customWidth="1"/>
    <col min="3586" max="3586" width="11.42578125" style="1935" customWidth="1"/>
    <col min="3587" max="3587" width="3.85546875" style="1935" customWidth="1"/>
    <col min="3588" max="3588" width="11.5703125" style="1935" customWidth="1"/>
    <col min="3589" max="3589" width="1.85546875" style="1935" customWidth="1"/>
    <col min="3590" max="3590" width="13.28515625" style="1935" customWidth="1"/>
    <col min="3591" max="3591" width="3.85546875" style="1935" customWidth="1"/>
    <col min="3592" max="3592" width="14.42578125" style="1935" customWidth="1"/>
    <col min="3593" max="3593" width="4" style="1935" customWidth="1"/>
    <col min="3594" max="3594" width="10.85546875" style="1935" customWidth="1"/>
    <col min="3595" max="3595" width="4.140625" style="1935" customWidth="1"/>
    <col min="3596" max="3596" width="11.85546875" style="1935" customWidth="1"/>
    <col min="3597" max="3597" width="1.85546875" style="1935" customWidth="1"/>
    <col min="3598" max="3598" width="10.7109375" style="1935" customWidth="1"/>
    <col min="3599" max="3607" width="0" style="1935" hidden="1" customWidth="1"/>
    <col min="3608" max="3611" width="16.7109375" style="1935"/>
    <col min="3612" max="3612" width="19.5703125" style="1935" customWidth="1"/>
    <col min="3613" max="3833" width="16.7109375" style="1935"/>
    <col min="3834" max="3834" width="6.42578125" style="1935" customWidth="1"/>
    <col min="3835" max="3835" width="51.42578125" style="1935" customWidth="1"/>
    <col min="3836" max="3836" width="9.85546875" style="1935" customWidth="1"/>
    <col min="3837" max="3837" width="1.28515625" style="1935" customWidth="1"/>
    <col min="3838" max="3838" width="11" style="1935" customWidth="1"/>
    <col min="3839" max="3839" width="3" style="1935" customWidth="1"/>
    <col min="3840" max="3840" width="11.7109375" style="1935" customWidth="1"/>
    <col min="3841" max="3841" width="2.42578125" style="1935" customWidth="1"/>
    <col min="3842" max="3842" width="11.42578125" style="1935" customWidth="1"/>
    <col min="3843" max="3843" width="3.85546875" style="1935" customWidth="1"/>
    <col min="3844" max="3844" width="11.5703125" style="1935" customWidth="1"/>
    <col min="3845" max="3845" width="1.85546875" style="1935" customWidth="1"/>
    <col min="3846" max="3846" width="13.28515625" style="1935" customWidth="1"/>
    <col min="3847" max="3847" width="3.85546875" style="1935" customWidth="1"/>
    <col min="3848" max="3848" width="14.42578125" style="1935" customWidth="1"/>
    <col min="3849" max="3849" width="4" style="1935" customWidth="1"/>
    <col min="3850" max="3850" width="10.85546875" style="1935" customWidth="1"/>
    <col min="3851" max="3851" width="4.140625" style="1935" customWidth="1"/>
    <col min="3852" max="3852" width="11.85546875" style="1935" customWidth="1"/>
    <col min="3853" max="3853" width="1.85546875" style="1935" customWidth="1"/>
    <col min="3854" max="3854" width="10.7109375" style="1935" customWidth="1"/>
    <col min="3855" max="3863" width="0" style="1935" hidden="1" customWidth="1"/>
    <col min="3864" max="3867" width="16.7109375" style="1935"/>
    <col min="3868" max="3868" width="19.5703125" style="1935" customWidth="1"/>
    <col min="3869" max="4089" width="16.7109375" style="1935"/>
    <col min="4090" max="4090" width="6.42578125" style="1935" customWidth="1"/>
    <col min="4091" max="4091" width="51.42578125" style="1935" customWidth="1"/>
    <col min="4092" max="4092" width="9.85546875" style="1935" customWidth="1"/>
    <col min="4093" max="4093" width="1.28515625" style="1935" customWidth="1"/>
    <col min="4094" max="4094" width="11" style="1935" customWidth="1"/>
    <col min="4095" max="4095" width="3" style="1935" customWidth="1"/>
    <col min="4096" max="4096" width="11.7109375" style="1935" customWidth="1"/>
    <col min="4097" max="4097" width="2.42578125" style="1935" customWidth="1"/>
    <col min="4098" max="4098" width="11.42578125" style="1935" customWidth="1"/>
    <col min="4099" max="4099" width="3.85546875" style="1935" customWidth="1"/>
    <col min="4100" max="4100" width="11.5703125" style="1935" customWidth="1"/>
    <col min="4101" max="4101" width="1.85546875" style="1935" customWidth="1"/>
    <col min="4102" max="4102" width="13.28515625" style="1935" customWidth="1"/>
    <col min="4103" max="4103" width="3.85546875" style="1935" customWidth="1"/>
    <col min="4104" max="4104" width="14.42578125" style="1935" customWidth="1"/>
    <col min="4105" max="4105" width="4" style="1935" customWidth="1"/>
    <col min="4106" max="4106" width="10.85546875" style="1935" customWidth="1"/>
    <col min="4107" max="4107" width="4.140625" style="1935" customWidth="1"/>
    <col min="4108" max="4108" width="11.85546875" style="1935" customWidth="1"/>
    <col min="4109" max="4109" width="1.85546875" style="1935" customWidth="1"/>
    <col min="4110" max="4110" width="10.7109375" style="1935" customWidth="1"/>
    <col min="4111" max="4119" width="0" style="1935" hidden="1" customWidth="1"/>
    <col min="4120" max="4123" width="16.7109375" style="1935"/>
    <col min="4124" max="4124" width="19.5703125" style="1935" customWidth="1"/>
    <col min="4125" max="4345" width="16.7109375" style="1935"/>
    <col min="4346" max="4346" width="6.42578125" style="1935" customWidth="1"/>
    <col min="4347" max="4347" width="51.42578125" style="1935" customWidth="1"/>
    <col min="4348" max="4348" width="9.85546875" style="1935" customWidth="1"/>
    <col min="4349" max="4349" width="1.28515625" style="1935" customWidth="1"/>
    <col min="4350" max="4350" width="11" style="1935" customWidth="1"/>
    <col min="4351" max="4351" width="3" style="1935" customWidth="1"/>
    <col min="4352" max="4352" width="11.7109375" style="1935" customWidth="1"/>
    <col min="4353" max="4353" width="2.42578125" style="1935" customWidth="1"/>
    <col min="4354" max="4354" width="11.42578125" style="1935" customWidth="1"/>
    <col min="4355" max="4355" width="3.85546875" style="1935" customWidth="1"/>
    <col min="4356" max="4356" width="11.5703125" style="1935" customWidth="1"/>
    <col min="4357" max="4357" width="1.85546875" style="1935" customWidth="1"/>
    <col min="4358" max="4358" width="13.28515625" style="1935" customWidth="1"/>
    <col min="4359" max="4359" width="3.85546875" style="1935" customWidth="1"/>
    <col min="4360" max="4360" width="14.42578125" style="1935" customWidth="1"/>
    <col min="4361" max="4361" width="4" style="1935" customWidth="1"/>
    <col min="4362" max="4362" width="10.85546875" style="1935" customWidth="1"/>
    <col min="4363" max="4363" width="4.140625" style="1935" customWidth="1"/>
    <col min="4364" max="4364" width="11.85546875" style="1935" customWidth="1"/>
    <col min="4365" max="4365" width="1.85546875" style="1935" customWidth="1"/>
    <col min="4366" max="4366" width="10.7109375" style="1935" customWidth="1"/>
    <col min="4367" max="4375" width="0" style="1935" hidden="1" customWidth="1"/>
    <col min="4376" max="4379" width="16.7109375" style="1935"/>
    <col min="4380" max="4380" width="19.5703125" style="1935" customWidth="1"/>
    <col min="4381" max="4601" width="16.7109375" style="1935"/>
    <col min="4602" max="4602" width="6.42578125" style="1935" customWidth="1"/>
    <col min="4603" max="4603" width="51.42578125" style="1935" customWidth="1"/>
    <col min="4604" max="4604" width="9.85546875" style="1935" customWidth="1"/>
    <col min="4605" max="4605" width="1.28515625" style="1935" customWidth="1"/>
    <col min="4606" max="4606" width="11" style="1935" customWidth="1"/>
    <col min="4607" max="4607" width="3" style="1935" customWidth="1"/>
    <col min="4608" max="4608" width="11.7109375" style="1935" customWidth="1"/>
    <col min="4609" max="4609" width="2.42578125" style="1935" customWidth="1"/>
    <col min="4610" max="4610" width="11.42578125" style="1935" customWidth="1"/>
    <col min="4611" max="4611" width="3.85546875" style="1935" customWidth="1"/>
    <col min="4612" max="4612" width="11.5703125" style="1935" customWidth="1"/>
    <col min="4613" max="4613" width="1.85546875" style="1935" customWidth="1"/>
    <col min="4614" max="4614" width="13.28515625" style="1935" customWidth="1"/>
    <col min="4615" max="4615" width="3.85546875" style="1935" customWidth="1"/>
    <col min="4616" max="4616" width="14.42578125" style="1935" customWidth="1"/>
    <col min="4617" max="4617" width="4" style="1935" customWidth="1"/>
    <col min="4618" max="4618" width="10.85546875" style="1935" customWidth="1"/>
    <col min="4619" max="4619" width="4.140625" style="1935" customWidth="1"/>
    <col min="4620" max="4620" width="11.85546875" style="1935" customWidth="1"/>
    <col min="4621" max="4621" width="1.85546875" style="1935" customWidth="1"/>
    <col min="4622" max="4622" width="10.7109375" style="1935" customWidth="1"/>
    <col min="4623" max="4631" width="0" style="1935" hidden="1" customWidth="1"/>
    <col min="4632" max="4635" width="16.7109375" style="1935"/>
    <col min="4636" max="4636" width="19.5703125" style="1935" customWidth="1"/>
    <col min="4637" max="4857" width="16.7109375" style="1935"/>
    <col min="4858" max="4858" width="6.42578125" style="1935" customWidth="1"/>
    <col min="4859" max="4859" width="51.42578125" style="1935" customWidth="1"/>
    <col min="4860" max="4860" width="9.85546875" style="1935" customWidth="1"/>
    <col min="4861" max="4861" width="1.28515625" style="1935" customWidth="1"/>
    <col min="4862" max="4862" width="11" style="1935" customWidth="1"/>
    <col min="4863" max="4863" width="3" style="1935" customWidth="1"/>
    <col min="4864" max="4864" width="11.7109375" style="1935" customWidth="1"/>
    <col min="4865" max="4865" width="2.42578125" style="1935" customWidth="1"/>
    <col min="4866" max="4866" width="11.42578125" style="1935" customWidth="1"/>
    <col min="4867" max="4867" width="3.85546875" style="1935" customWidth="1"/>
    <col min="4868" max="4868" width="11.5703125" style="1935" customWidth="1"/>
    <col min="4869" max="4869" width="1.85546875" style="1935" customWidth="1"/>
    <col min="4870" max="4870" width="13.28515625" style="1935" customWidth="1"/>
    <col min="4871" max="4871" width="3.85546875" style="1935" customWidth="1"/>
    <col min="4872" max="4872" width="14.42578125" style="1935" customWidth="1"/>
    <col min="4873" max="4873" width="4" style="1935" customWidth="1"/>
    <col min="4874" max="4874" width="10.85546875" style="1935" customWidth="1"/>
    <col min="4875" max="4875" width="4.140625" style="1935" customWidth="1"/>
    <col min="4876" max="4876" width="11.85546875" style="1935" customWidth="1"/>
    <col min="4877" max="4877" width="1.85546875" style="1935" customWidth="1"/>
    <col min="4878" max="4878" width="10.7109375" style="1935" customWidth="1"/>
    <col min="4879" max="4887" width="0" style="1935" hidden="1" customWidth="1"/>
    <col min="4888" max="4891" width="16.7109375" style="1935"/>
    <col min="4892" max="4892" width="19.5703125" style="1935" customWidth="1"/>
    <col min="4893" max="5113" width="16.7109375" style="1935"/>
    <col min="5114" max="5114" width="6.42578125" style="1935" customWidth="1"/>
    <col min="5115" max="5115" width="51.42578125" style="1935" customWidth="1"/>
    <col min="5116" max="5116" width="9.85546875" style="1935" customWidth="1"/>
    <col min="5117" max="5117" width="1.28515625" style="1935" customWidth="1"/>
    <col min="5118" max="5118" width="11" style="1935" customWidth="1"/>
    <col min="5119" max="5119" width="3" style="1935" customWidth="1"/>
    <col min="5120" max="5120" width="11.7109375" style="1935" customWidth="1"/>
    <col min="5121" max="5121" width="2.42578125" style="1935" customWidth="1"/>
    <col min="5122" max="5122" width="11.42578125" style="1935" customWidth="1"/>
    <col min="5123" max="5123" width="3.85546875" style="1935" customWidth="1"/>
    <col min="5124" max="5124" width="11.5703125" style="1935" customWidth="1"/>
    <col min="5125" max="5125" width="1.85546875" style="1935" customWidth="1"/>
    <col min="5126" max="5126" width="13.28515625" style="1935" customWidth="1"/>
    <col min="5127" max="5127" width="3.85546875" style="1935" customWidth="1"/>
    <col min="5128" max="5128" width="14.42578125" style="1935" customWidth="1"/>
    <col min="5129" max="5129" width="4" style="1935" customWidth="1"/>
    <col min="5130" max="5130" width="10.85546875" style="1935" customWidth="1"/>
    <col min="5131" max="5131" width="4.140625" style="1935" customWidth="1"/>
    <col min="5132" max="5132" width="11.85546875" style="1935" customWidth="1"/>
    <col min="5133" max="5133" width="1.85546875" style="1935" customWidth="1"/>
    <col min="5134" max="5134" width="10.7109375" style="1935" customWidth="1"/>
    <col min="5135" max="5143" width="0" style="1935" hidden="1" customWidth="1"/>
    <col min="5144" max="5147" width="16.7109375" style="1935"/>
    <col min="5148" max="5148" width="19.5703125" style="1935" customWidth="1"/>
    <col min="5149" max="5369" width="16.7109375" style="1935"/>
    <col min="5370" max="5370" width="6.42578125" style="1935" customWidth="1"/>
    <col min="5371" max="5371" width="51.42578125" style="1935" customWidth="1"/>
    <col min="5372" max="5372" width="9.85546875" style="1935" customWidth="1"/>
    <col min="5373" max="5373" width="1.28515625" style="1935" customWidth="1"/>
    <col min="5374" max="5374" width="11" style="1935" customWidth="1"/>
    <col min="5375" max="5375" width="3" style="1935" customWidth="1"/>
    <col min="5376" max="5376" width="11.7109375" style="1935" customWidth="1"/>
    <col min="5377" max="5377" width="2.42578125" style="1935" customWidth="1"/>
    <col min="5378" max="5378" width="11.42578125" style="1935" customWidth="1"/>
    <col min="5379" max="5379" width="3.85546875" style="1935" customWidth="1"/>
    <col min="5380" max="5380" width="11.5703125" style="1935" customWidth="1"/>
    <col min="5381" max="5381" width="1.85546875" style="1935" customWidth="1"/>
    <col min="5382" max="5382" width="13.28515625" style="1935" customWidth="1"/>
    <col min="5383" max="5383" width="3.85546875" style="1935" customWidth="1"/>
    <col min="5384" max="5384" width="14.42578125" style="1935" customWidth="1"/>
    <col min="5385" max="5385" width="4" style="1935" customWidth="1"/>
    <col min="5386" max="5386" width="10.85546875" style="1935" customWidth="1"/>
    <col min="5387" max="5387" width="4.140625" style="1935" customWidth="1"/>
    <col min="5388" max="5388" width="11.85546875" style="1935" customWidth="1"/>
    <col min="5389" max="5389" width="1.85546875" style="1935" customWidth="1"/>
    <col min="5390" max="5390" width="10.7109375" style="1935" customWidth="1"/>
    <col min="5391" max="5399" width="0" style="1935" hidden="1" customWidth="1"/>
    <col min="5400" max="5403" width="16.7109375" style="1935"/>
    <col min="5404" max="5404" width="19.5703125" style="1935" customWidth="1"/>
    <col min="5405" max="5625" width="16.7109375" style="1935"/>
    <col min="5626" max="5626" width="6.42578125" style="1935" customWidth="1"/>
    <col min="5627" max="5627" width="51.42578125" style="1935" customWidth="1"/>
    <col min="5628" max="5628" width="9.85546875" style="1935" customWidth="1"/>
    <col min="5629" max="5629" width="1.28515625" style="1935" customWidth="1"/>
    <col min="5630" max="5630" width="11" style="1935" customWidth="1"/>
    <col min="5631" max="5631" width="3" style="1935" customWidth="1"/>
    <col min="5632" max="5632" width="11.7109375" style="1935" customWidth="1"/>
    <col min="5633" max="5633" width="2.42578125" style="1935" customWidth="1"/>
    <col min="5634" max="5634" width="11.42578125" style="1935" customWidth="1"/>
    <col min="5635" max="5635" width="3.85546875" style="1935" customWidth="1"/>
    <col min="5636" max="5636" width="11.5703125" style="1935" customWidth="1"/>
    <col min="5637" max="5637" width="1.85546875" style="1935" customWidth="1"/>
    <col min="5638" max="5638" width="13.28515625" style="1935" customWidth="1"/>
    <col min="5639" max="5639" width="3.85546875" style="1935" customWidth="1"/>
    <col min="5640" max="5640" width="14.42578125" style="1935" customWidth="1"/>
    <col min="5641" max="5641" width="4" style="1935" customWidth="1"/>
    <col min="5642" max="5642" width="10.85546875" style="1935" customWidth="1"/>
    <col min="5643" max="5643" width="4.140625" style="1935" customWidth="1"/>
    <col min="5644" max="5644" width="11.85546875" style="1935" customWidth="1"/>
    <col min="5645" max="5645" width="1.85546875" style="1935" customWidth="1"/>
    <col min="5646" max="5646" width="10.7109375" style="1935" customWidth="1"/>
    <col min="5647" max="5655" width="0" style="1935" hidden="1" customWidth="1"/>
    <col min="5656" max="5659" width="16.7109375" style="1935"/>
    <col min="5660" max="5660" width="19.5703125" style="1935" customWidth="1"/>
    <col min="5661" max="5881" width="16.7109375" style="1935"/>
    <col min="5882" max="5882" width="6.42578125" style="1935" customWidth="1"/>
    <col min="5883" max="5883" width="51.42578125" style="1935" customWidth="1"/>
    <col min="5884" max="5884" width="9.85546875" style="1935" customWidth="1"/>
    <col min="5885" max="5885" width="1.28515625" style="1935" customWidth="1"/>
    <col min="5886" max="5886" width="11" style="1935" customWidth="1"/>
    <col min="5887" max="5887" width="3" style="1935" customWidth="1"/>
    <col min="5888" max="5888" width="11.7109375" style="1935" customWidth="1"/>
    <col min="5889" max="5889" width="2.42578125" style="1935" customWidth="1"/>
    <col min="5890" max="5890" width="11.42578125" style="1935" customWidth="1"/>
    <col min="5891" max="5891" width="3.85546875" style="1935" customWidth="1"/>
    <col min="5892" max="5892" width="11.5703125" style="1935" customWidth="1"/>
    <col min="5893" max="5893" width="1.85546875" style="1935" customWidth="1"/>
    <col min="5894" max="5894" width="13.28515625" style="1935" customWidth="1"/>
    <col min="5895" max="5895" width="3.85546875" style="1935" customWidth="1"/>
    <col min="5896" max="5896" width="14.42578125" style="1935" customWidth="1"/>
    <col min="5897" max="5897" width="4" style="1935" customWidth="1"/>
    <col min="5898" max="5898" width="10.85546875" style="1935" customWidth="1"/>
    <col min="5899" max="5899" width="4.140625" style="1935" customWidth="1"/>
    <col min="5900" max="5900" width="11.85546875" style="1935" customWidth="1"/>
    <col min="5901" max="5901" width="1.85546875" style="1935" customWidth="1"/>
    <col min="5902" max="5902" width="10.7109375" style="1935" customWidth="1"/>
    <col min="5903" max="5911" width="0" style="1935" hidden="1" customWidth="1"/>
    <col min="5912" max="5915" width="16.7109375" style="1935"/>
    <col min="5916" max="5916" width="19.5703125" style="1935" customWidth="1"/>
    <col min="5917" max="6137" width="16.7109375" style="1935"/>
    <col min="6138" max="6138" width="6.42578125" style="1935" customWidth="1"/>
    <col min="6139" max="6139" width="51.42578125" style="1935" customWidth="1"/>
    <col min="6140" max="6140" width="9.85546875" style="1935" customWidth="1"/>
    <col min="6141" max="6141" width="1.28515625" style="1935" customWidth="1"/>
    <col min="6142" max="6142" width="11" style="1935" customWidth="1"/>
    <col min="6143" max="6143" width="3" style="1935" customWidth="1"/>
    <col min="6144" max="6144" width="11.7109375" style="1935" customWidth="1"/>
    <col min="6145" max="6145" width="2.42578125" style="1935" customWidth="1"/>
    <col min="6146" max="6146" width="11.42578125" style="1935" customWidth="1"/>
    <col min="6147" max="6147" width="3.85546875" style="1935" customWidth="1"/>
    <col min="6148" max="6148" width="11.5703125" style="1935" customWidth="1"/>
    <col min="6149" max="6149" width="1.85546875" style="1935" customWidth="1"/>
    <col min="6150" max="6150" width="13.28515625" style="1935" customWidth="1"/>
    <col min="6151" max="6151" width="3.85546875" style="1935" customWidth="1"/>
    <col min="6152" max="6152" width="14.42578125" style="1935" customWidth="1"/>
    <col min="6153" max="6153" width="4" style="1935" customWidth="1"/>
    <col min="6154" max="6154" width="10.85546875" style="1935" customWidth="1"/>
    <col min="6155" max="6155" width="4.140625" style="1935" customWidth="1"/>
    <col min="6156" max="6156" width="11.85546875" style="1935" customWidth="1"/>
    <col min="6157" max="6157" width="1.85546875" style="1935" customWidth="1"/>
    <col min="6158" max="6158" width="10.7109375" style="1935" customWidth="1"/>
    <col min="6159" max="6167" width="0" style="1935" hidden="1" customWidth="1"/>
    <col min="6168" max="6171" width="16.7109375" style="1935"/>
    <col min="6172" max="6172" width="19.5703125" style="1935" customWidth="1"/>
    <col min="6173" max="6393" width="16.7109375" style="1935"/>
    <col min="6394" max="6394" width="6.42578125" style="1935" customWidth="1"/>
    <col min="6395" max="6395" width="51.42578125" style="1935" customWidth="1"/>
    <col min="6396" max="6396" width="9.85546875" style="1935" customWidth="1"/>
    <col min="6397" max="6397" width="1.28515625" style="1935" customWidth="1"/>
    <col min="6398" max="6398" width="11" style="1935" customWidth="1"/>
    <col min="6399" max="6399" width="3" style="1935" customWidth="1"/>
    <col min="6400" max="6400" width="11.7109375" style="1935" customWidth="1"/>
    <col min="6401" max="6401" width="2.42578125" style="1935" customWidth="1"/>
    <col min="6402" max="6402" width="11.42578125" style="1935" customWidth="1"/>
    <col min="6403" max="6403" width="3.85546875" style="1935" customWidth="1"/>
    <col min="6404" max="6404" width="11.5703125" style="1935" customWidth="1"/>
    <col min="6405" max="6405" width="1.85546875" style="1935" customWidth="1"/>
    <col min="6406" max="6406" width="13.28515625" style="1935" customWidth="1"/>
    <col min="6407" max="6407" width="3.85546875" style="1935" customWidth="1"/>
    <col min="6408" max="6408" width="14.42578125" style="1935" customWidth="1"/>
    <col min="6409" max="6409" width="4" style="1935" customWidth="1"/>
    <col min="6410" max="6410" width="10.85546875" style="1935" customWidth="1"/>
    <col min="6411" max="6411" width="4.140625" style="1935" customWidth="1"/>
    <col min="6412" max="6412" width="11.85546875" style="1935" customWidth="1"/>
    <col min="6413" max="6413" width="1.85546875" style="1935" customWidth="1"/>
    <col min="6414" max="6414" width="10.7109375" style="1935" customWidth="1"/>
    <col min="6415" max="6423" width="0" style="1935" hidden="1" customWidth="1"/>
    <col min="6424" max="6427" width="16.7109375" style="1935"/>
    <col min="6428" max="6428" width="19.5703125" style="1935" customWidth="1"/>
    <col min="6429" max="6649" width="16.7109375" style="1935"/>
    <col min="6650" max="6650" width="6.42578125" style="1935" customWidth="1"/>
    <col min="6651" max="6651" width="51.42578125" style="1935" customWidth="1"/>
    <col min="6652" max="6652" width="9.85546875" style="1935" customWidth="1"/>
    <col min="6653" max="6653" width="1.28515625" style="1935" customWidth="1"/>
    <col min="6654" max="6654" width="11" style="1935" customWidth="1"/>
    <col min="6655" max="6655" width="3" style="1935" customWidth="1"/>
    <col min="6656" max="6656" width="11.7109375" style="1935" customWidth="1"/>
    <col min="6657" max="6657" width="2.42578125" style="1935" customWidth="1"/>
    <col min="6658" max="6658" width="11.42578125" style="1935" customWidth="1"/>
    <col min="6659" max="6659" width="3.85546875" style="1935" customWidth="1"/>
    <col min="6660" max="6660" width="11.5703125" style="1935" customWidth="1"/>
    <col min="6661" max="6661" width="1.85546875" style="1935" customWidth="1"/>
    <col min="6662" max="6662" width="13.28515625" style="1935" customWidth="1"/>
    <col min="6663" max="6663" width="3.85546875" style="1935" customWidth="1"/>
    <col min="6664" max="6664" width="14.42578125" style="1935" customWidth="1"/>
    <col min="6665" max="6665" width="4" style="1935" customWidth="1"/>
    <col min="6666" max="6666" width="10.85546875" style="1935" customWidth="1"/>
    <col min="6667" max="6667" width="4.140625" style="1935" customWidth="1"/>
    <col min="6668" max="6668" width="11.85546875" style="1935" customWidth="1"/>
    <col min="6669" max="6669" width="1.85546875" style="1935" customWidth="1"/>
    <col min="6670" max="6670" width="10.7109375" style="1935" customWidth="1"/>
    <col min="6671" max="6679" width="0" style="1935" hidden="1" customWidth="1"/>
    <col min="6680" max="6683" width="16.7109375" style="1935"/>
    <col min="6684" max="6684" width="19.5703125" style="1935" customWidth="1"/>
    <col min="6685" max="6905" width="16.7109375" style="1935"/>
    <col min="6906" max="6906" width="6.42578125" style="1935" customWidth="1"/>
    <col min="6907" max="6907" width="51.42578125" style="1935" customWidth="1"/>
    <col min="6908" max="6908" width="9.85546875" style="1935" customWidth="1"/>
    <col min="6909" max="6909" width="1.28515625" style="1935" customWidth="1"/>
    <col min="6910" max="6910" width="11" style="1935" customWidth="1"/>
    <col min="6911" max="6911" width="3" style="1935" customWidth="1"/>
    <col min="6912" max="6912" width="11.7109375" style="1935" customWidth="1"/>
    <col min="6913" max="6913" width="2.42578125" style="1935" customWidth="1"/>
    <col min="6914" max="6914" width="11.42578125" style="1935" customWidth="1"/>
    <col min="6915" max="6915" width="3.85546875" style="1935" customWidth="1"/>
    <col min="6916" max="6916" width="11.5703125" style="1935" customWidth="1"/>
    <col min="6917" max="6917" width="1.85546875" style="1935" customWidth="1"/>
    <col min="6918" max="6918" width="13.28515625" style="1935" customWidth="1"/>
    <col min="6919" max="6919" width="3.85546875" style="1935" customWidth="1"/>
    <col min="6920" max="6920" width="14.42578125" style="1935" customWidth="1"/>
    <col min="6921" max="6921" width="4" style="1935" customWidth="1"/>
    <col min="6922" max="6922" width="10.85546875" style="1935" customWidth="1"/>
    <col min="6923" max="6923" width="4.140625" style="1935" customWidth="1"/>
    <col min="6924" max="6924" width="11.85546875" style="1935" customWidth="1"/>
    <col min="6925" max="6925" width="1.85546875" style="1935" customWidth="1"/>
    <col min="6926" max="6926" width="10.7109375" style="1935" customWidth="1"/>
    <col min="6927" max="6935" width="0" style="1935" hidden="1" customWidth="1"/>
    <col min="6936" max="6939" width="16.7109375" style="1935"/>
    <col min="6940" max="6940" width="19.5703125" style="1935" customWidth="1"/>
    <col min="6941" max="7161" width="16.7109375" style="1935"/>
    <col min="7162" max="7162" width="6.42578125" style="1935" customWidth="1"/>
    <col min="7163" max="7163" width="51.42578125" style="1935" customWidth="1"/>
    <col min="7164" max="7164" width="9.85546875" style="1935" customWidth="1"/>
    <col min="7165" max="7165" width="1.28515625" style="1935" customWidth="1"/>
    <col min="7166" max="7166" width="11" style="1935" customWidth="1"/>
    <col min="7167" max="7167" width="3" style="1935" customWidth="1"/>
    <col min="7168" max="7168" width="11.7109375" style="1935" customWidth="1"/>
    <col min="7169" max="7169" width="2.42578125" style="1935" customWidth="1"/>
    <col min="7170" max="7170" width="11.42578125" style="1935" customWidth="1"/>
    <col min="7171" max="7171" width="3.85546875" style="1935" customWidth="1"/>
    <col min="7172" max="7172" width="11.5703125" style="1935" customWidth="1"/>
    <col min="7173" max="7173" width="1.85546875" style="1935" customWidth="1"/>
    <col min="7174" max="7174" width="13.28515625" style="1935" customWidth="1"/>
    <col min="7175" max="7175" width="3.85546875" style="1935" customWidth="1"/>
    <col min="7176" max="7176" width="14.42578125" style="1935" customWidth="1"/>
    <col min="7177" max="7177" width="4" style="1935" customWidth="1"/>
    <col min="7178" max="7178" width="10.85546875" style="1935" customWidth="1"/>
    <col min="7179" max="7179" width="4.140625" style="1935" customWidth="1"/>
    <col min="7180" max="7180" width="11.85546875" style="1935" customWidth="1"/>
    <col min="7181" max="7181" width="1.85546875" style="1935" customWidth="1"/>
    <col min="7182" max="7182" width="10.7109375" style="1935" customWidth="1"/>
    <col min="7183" max="7191" width="0" style="1935" hidden="1" customWidth="1"/>
    <col min="7192" max="7195" width="16.7109375" style="1935"/>
    <col min="7196" max="7196" width="19.5703125" style="1935" customWidth="1"/>
    <col min="7197" max="7417" width="16.7109375" style="1935"/>
    <col min="7418" max="7418" width="6.42578125" style="1935" customWidth="1"/>
    <col min="7419" max="7419" width="51.42578125" style="1935" customWidth="1"/>
    <col min="7420" max="7420" width="9.85546875" style="1935" customWidth="1"/>
    <col min="7421" max="7421" width="1.28515625" style="1935" customWidth="1"/>
    <col min="7422" max="7422" width="11" style="1935" customWidth="1"/>
    <col min="7423" max="7423" width="3" style="1935" customWidth="1"/>
    <col min="7424" max="7424" width="11.7109375" style="1935" customWidth="1"/>
    <col min="7425" max="7425" width="2.42578125" style="1935" customWidth="1"/>
    <col min="7426" max="7426" width="11.42578125" style="1935" customWidth="1"/>
    <col min="7427" max="7427" width="3.85546875" style="1935" customWidth="1"/>
    <col min="7428" max="7428" width="11.5703125" style="1935" customWidth="1"/>
    <col min="7429" max="7429" width="1.85546875" style="1935" customWidth="1"/>
    <col min="7430" max="7430" width="13.28515625" style="1935" customWidth="1"/>
    <col min="7431" max="7431" width="3.85546875" style="1935" customWidth="1"/>
    <col min="7432" max="7432" width="14.42578125" style="1935" customWidth="1"/>
    <col min="7433" max="7433" width="4" style="1935" customWidth="1"/>
    <col min="7434" max="7434" width="10.85546875" style="1935" customWidth="1"/>
    <col min="7435" max="7435" width="4.140625" style="1935" customWidth="1"/>
    <col min="7436" max="7436" width="11.85546875" style="1935" customWidth="1"/>
    <col min="7437" max="7437" width="1.85546875" style="1935" customWidth="1"/>
    <col min="7438" max="7438" width="10.7109375" style="1935" customWidth="1"/>
    <col min="7439" max="7447" width="0" style="1935" hidden="1" customWidth="1"/>
    <col min="7448" max="7451" width="16.7109375" style="1935"/>
    <col min="7452" max="7452" width="19.5703125" style="1935" customWidth="1"/>
    <col min="7453" max="7673" width="16.7109375" style="1935"/>
    <col min="7674" max="7674" width="6.42578125" style="1935" customWidth="1"/>
    <col min="7675" max="7675" width="51.42578125" style="1935" customWidth="1"/>
    <col min="7676" max="7676" width="9.85546875" style="1935" customWidth="1"/>
    <col min="7677" max="7677" width="1.28515625" style="1935" customWidth="1"/>
    <col min="7678" max="7678" width="11" style="1935" customWidth="1"/>
    <col min="7679" max="7679" width="3" style="1935" customWidth="1"/>
    <col min="7680" max="7680" width="11.7109375" style="1935" customWidth="1"/>
    <col min="7681" max="7681" width="2.42578125" style="1935" customWidth="1"/>
    <col min="7682" max="7682" width="11.42578125" style="1935" customWidth="1"/>
    <col min="7683" max="7683" width="3.85546875" style="1935" customWidth="1"/>
    <col min="7684" max="7684" width="11.5703125" style="1935" customWidth="1"/>
    <col min="7685" max="7685" width="1.85546875" style="1935" customWidth="1"/>
    <col min="7686" max="7686" width="13.28515625" style="1935" customWidth="1"/>
    <col min="7687" max="7687" width="3.85546875" style="1935" customWidth="1"/>
    <col min="7688" max="7688" width="14.42578125" style="1935" customWidth="1"/>
    <col min="7689" max="7689" width="4" style="1935" customWidth="1"/>
    <col min="7690" max="7690" width="10.85546875" style="1935" customWidth="1"/>
    <col min="7691" max="7691" width="4.140625" style="1935" customWidth="1"/>
    <col min="7692" max="7692" width="11.85546875" style="1935" customWidth="1"/>
    <col min="7693" max="7693" width="1.85546875" style="1935" customWidth="1"/>
    <col min="7694" max="7694" width="10.7109375" style="1935" customWidth="1"/>
    <col min="7695" max="7703" width="0" style="1935" hidden="1" customWidth="1"/>
    <col min="7704" max="7707" width="16.7109375" style="1935"/>
    <col min="7708" max="7708" width="19.5703125" style="1935" customWidth="1"/>
    <col min="7709" max="7929" width="16.7109375" style="1935"/>
    <col min="7930" max="7930" width="6.42578125" style="1935" customWidth="1"/>
    <col min="7931" max="7931" width="51.42578125" style="1935" customWidth="1"/>
    <col min="7932" max="7932" width="9.85546875" style="1935" customWidth="1"/>
    <col min="7933" max="7933" width="1.28515625" style="1935" customWidth="1"/>
    <col min="7934" max="7934" width="11" style="1935" customWidth="1"/>
    <col min="7935" max="7935" width="3" style="1935" customWidth="1"/>
    <col min="7936" max="7936" width="11.7109375" style="1935" customWidth="1"/>
    <col min="7937" max="7937" width="2.42578125" style="1935" customWidth="1"/>
    <col min="7938" max="7938" width="11.42578125" style="1935" customWidth="1"/>
    <col min="7939" max="7939" width="3.85546875" style="1935" customWidth="1"/>
    <col min="7940" max="7940" width="11.5703125" style="1935" customWidth="1"/>
    <col min="7941" max="7941" width="1.85546875" style="1935" customWidth="1"/>
    <col min="7942" max="7942" width="13.28515625" style="1935" customWidth="1"/>
    <col min="7943" max="7943" width="3.85546875" style="1935" customWidth="1"/>
    <col min="7944" max="7944" width="14.42578125" style="1935" customWidth="1"/>
    <col min="7945" max="7945" width="4" style="1935" customWidth="1"/>
    <col min="7946" max="7946" width="10.85546875" style="1935" customWidth="1"/>
    <col min="7947" max="7947" width="4.140625" style="1935" customWidth="1"/>
    <col min="7948" max="7948" width="11.85546875" style="1935" customWidth="1"/>
    <col min="7949" max="7949" width="1.85546875" style="1935" customWidth="1"/>
    <col min="7950" max="7950" width="10.7109375" style="1935" customWidth="1"/>
    <col min="7951" max="7959" width="0" style="1935" hidden="1" customWidth="1"/>
    <col min="7960" max="7963" width="16.7109375" style="1935"/>
    <col min="7964" max="7964" width="19.5703125" style="1935" customWidth="1"/>
    <col min="7965" max="8185" width="16.7109375" style="1935"/>
    <col min="8186" max="8186" width="6.42578125" style="1935" customWidth="1"/>
    <col min="8187" max="8187" width="51.42578125" style="1935" customWidth="1"/>
    <col min="8188" max="8188" width="9.85546875" style="1935" customWidth="1"/>
    <col min="8189" max="8189" width="1.28515625" style="1935" customWidth="1"/>
    <col min="8190" max="8190" width="11" style="1935" customWidth="1"/>
    <col min="8191" max="8191" width="3" style="1935" customWidth="1"/>
    <col min="8192" max="8192" width="11.7109375" style="1935" customWidth="1"/>
    <col min="8193" max="8193" width="2.42578125" style="1935" customWidth="1"/>
    <col min="8194" max="8194" width="11.42578125" style="1935" customWidth="1"/>
    <col min="8195" max="8195" width="3.85546875" style="1935" customWidth="1"/>
    <col min="8196" max="8196" width="11.5703125" style="1935" customWidth="1"/>
    <col min="8197" max="8197" width="1.85546875" style="1935" customWidth="1"/>
    <col min="8198" max="8198" width="13.28515625" style="1935" customWidth="1"/>
    <col min="8199" max="8199" width="3.85546875" style="1935" customWidth="1"/>
    <col min="8200" max="8200" width="14.42578125" style="1935" customWidth="1"/>
    <col min="8201" max="8201" width="4" style="1935" customWidth="1"/>
    <col min="8202" max="8202" width="10.85546875" style="1935" customWidth="1"/>
    <col min="8203" max="8203" width="4.140625" style="1935" customWidth="1"/>
    <col min="8204" max="8204" width="11.85546875" style="1935" customWidth="1"/>
    <col min="8205" max="8205" width="1.85546875" style="1935" customWidth="1"/>
    <col min="8206" max="8206" width="10.7109375" style="1935" customWidth="1"/>
    <col min="8207" max="8215" width="0" style="1935" hidden="1" customWidth="1"/>
    <col min="8216" max="8219" width="16.7109375" style="1935"/>
    <col min="8220" max="8220" width="19.5703125" style="1935" customWidth="1"/>
    <col min="8221" max="8441" width="16.7109375" style="1935"/>
    <col min="8442" max="8442" width="6.42578125" style="1935" customWidth="1"/>
    <col min="8443" max="8443" width="51.42578125" style="1935" customWidth="1"/>
    <col min="8444" max="8444" width="9.85546875" style="1935" customWidth="1"/>
    <col min="8445" max="8445" width="1.28515625" style="1935" customWidth="1"/>
    <col min="8446" max="8446" width="11" style="1935" customWidth="1"/>
    <col min="8447" max="8447" width="3" style="1935" customWidth="1"/>
    <col min="8448" max="8448" width="11.7109375" style="1935" customWidth="1"/>
    <col min="8449" max="8449" width="2.42578125" style="1935" customWidth="1"/>
    <col min="8450" max="8450" width="11.42578125" style="1935" customWidth="1"/>
    <col min="8451" max="8451" width="3.85546875" style="1935" customWidth="1"/>
    <col min="8452" max="8452" width="11.5703125" style="1935" customWidth="1"/>
    <col min="8453" max="8453" width="1.85546875" style="1935" customWidth="1"/>
    <col min="8454" max="8454" width="13.28515625" style="1935" customWidth="1"/>
    <col min="8455" max="8455" width="3.85546875" style="1935" customWidth="1"/>
    <col min="8456" max="8456" width="14.42578125" style="1935" customWidth="1"/>
    <col min="8457" max="8457" width="4" style="1935" customWidth="1"/>
    <col min="8458" max="8458" width="10.85546875" style="1935" customWidth="1"/>
    <col min="8459" max="8459" width="4.140625" style="1935" customWidth="1"/>
    <col min="8460" max="8460" width="11.85546875" style="1935" customWidth="1"/>
    <col min="8461" max="8461" width="1.85546875" style="1935" customWidth="1"/>
    <col min="8462" max="8462" width="10.7109375" style="1935" customWidth="1"/>
    <col min="8463" max="8471" width="0" style="1935" hidden="1" customWidth="1"/>
    <col min="8472" max="8475" width="16.7109375" style="1935"/>
    <col min="8476" max="8476" width="19.5703125" style="1935" customWidth="1"/>
    <col min="8477" max="8697" width="16.7109375" style="1935"/>
    <col min="8698" max="8698" width="6.42578125" style="1935" customWidth="1"/>
    <col min="8699" max="8699" width="51.42578125" style="1935" customWidth="1"/>
    <col min="8700" max="8700" width="9.85546875" style="1935" customWidth="1"/>
    <col min="8701" max="8701" width="1.28515625" style="1935" customWidth="1"/>
    <col min="8702" max="8702" width="11" style="1935" customWidth="1"/>
    <col min="8703" max="8703" width="3" style="1935" customWidth="1"/>
    <col min="8704" max="8704" width="11.7109375" style="1935" customWidth="1"/>
    <col min="8705" max="8705" width="2.42578125" style="1935" customWidth="1"/>
    <col min="8706" max="8706" width="11.42578125" style="1935" customWidth="1"/>
    <col min="8707" max="8707" width="3.85546875" style="1935" customWidth="1"/>
    <col min="8708" max="8708" width="11.5703125" style="1935" customWidth="1"/>
    <col min="8709" max="8709" width="1.85546875" style="1935" customWidth="1"/>
    <col min="8710" max="8710" width="13.28515625" style="1935" customWidth="1"/>
    <col min="8711" max="8711" width="3.85546875" style="1935" customWidth="1"/>
    <col min="8712" max="8712" width="14.42578125" style="1935" customWidth="1"/>
    <col min="8713" max="8713" width="4" style="1935" customWidth="1"/>
    <col min="8714" max="8714" width="10.85546875" style="1935" customWidth="1"/>
    <col min="8715" max="8715" width="4.140625" style="1935" customWidth="1"/>
    <col min="8716" max="8716" width="11.85546875" style="1935" customWidth="1"/>
    <col min="8717" max="8717" width="1.85546875" style="1935" customWidth="1"/>
    <col min="8718" max="8718" width="10.7109375" style="1935" customWidth="1"/>
    <col min="8719" max="8727" width="0" style="1935" hidden="1" customWidth="1"/>
    <col min="8728" max="8731" width="16.7109375" style="1935"/>
    <col min="8732" max="8732" width="19.5703125" style="1935" customWidth="1"/>
    <col min="8733" max="8953" width="16.7109375" style="1935"/>
    <col min="8954" max="8954" width="6.42578125" style="1935" customWidth="1"/>
    <col min="8955" max="8955" width="51.42578125" style="1935" customWidth="1"/>
    <col min="8956" max="8956" width="9.85546875" style="1935" customWidth="1"/>
    <col min="8957" max="8957" width="1.28515625" style="1935" customWidth="1"/>
    <col min="8958" max="8958" width="11" style="1935" customWidth="1"/>
    <col min="8959" max="8959" width="3" style="1935" customWidth="1"/>
    <col min="8960" max="8960" width="11.7109375" style="1935" customWidth="1"/>
    <col min="8961" max="8961" width="2.42578125" style="1935" customWidth="1"/>
    <col min="8962" max="8962" width="11.42578125" style="1935" customWidth="1"/>
    <col min="8963" max="8963" width="3.85546875" style="1935" customWidth="1"/>
    <col min="8964" max="8964" width="11.5703125" style="1935" customWidth="1"/>
    <col min="8965" max="8965" width="1.85546875" style="1935" customWidth="1"/>
    <col min="8966" max="8966" width="13.28515625" style="1935" customWidth="1"/>
    <col min="8967" max="8967" width="3.85546875" style="1935" customWidth="1"/>
    <col min="8968" max="8968" width="14.42578125" style="1935" customWidth="1"/>
    <col min="8969" max="8969" width="4" style="1935" customWidth="1"/>
    <col min="8970" max="8970" width="10.85546875" style="1935" customWidth="1"/>
    <col min="8971" max="8971" width="4.140625" style="1935" customWidth="1"/>
    <col min="8972" max="8972" width="11.85546875" style="1935" customWidth="1"/>
    <col min="8973" max="8973" width="1.85546875" style="1935" customWidth="1"/>
    <col min="8974" max="8974" width="10.7109375" style="1935" customWidth="1"/>
    <col min="8975" max="8983" width="0" style="1935" hidden="1" customWidth="1"/>
    <col min="8984" max="8987" width="16.7109375" style="1935"/>
    <col min="8988" max="8988" width="19.5703125" style="1935" customWidth="1"/>
    <col min="8989" max="9209" width="16.7109375" style="1935"/>
    <col min="9210" max="9210" width="6.42578125" style="1935" customWidth="1"/>
    <col min="9211" max="9211" width="51.42578125" style="1935" customWidth="1"/>
    <col min="9212" max="9212" width="9.85546875" style="1935" customWidth="1"/>
    <col min="9213" max="9213" width="1.28515625" style="1935" customWidth="1"/>
    <col min="9214" max="9214" width="11" style="1935" customWidth="1"/>
    <col min="9215" max="9215" width="3" style="1935" customWidth="1"/>
    <col min="9216" max="9216" width="11.7109375" style="1935" customWidth="1"/>
    <col min="9217" max="9217" width="2.42578125" style="1935" customWidth="1"/>
    <col min="9218" max="9218" width="11.42578125" style="1935" customWidth="1"/>
    <col min="9219" max="9219" width="3.85546875" style="1935" customWidth="1"/>
    <col min="9220" max="9220" width="11.5703125" style="1935" customWidth="1"/>
    <col min="9221" max="9221" width="1.85546875" style="1935" customWidth="1"/>
    <col min="9222" max="9222" width="13.28515625" style="1935" customWidth="1"/>
    <col min="9223" max="9223" width="3.85546875" style="1935" customWidth="1"/>
    <col min="9224" max="9224" width="14.42578125" style="1935" customWidth="1"/>
    <col min="9225" max="9225" width="4" style="1935" customWidth="1"/>
    <col min="9226" max="9226" width="10.85546875" style="1935" customWidth="1"/>
    <col min="9227" max="9227" width="4.140625" style="1935" customWidth="1"/>
    <col min="9228" max="9228" width="11.85546875" style="1935" customWidth="1"/>
    <col min="9229" max="9229" width="1.85546875" style="1935" customWidth="1"/>
    <col min="9230" max="9230" width="10.7109375" style="1935" customWidth="1"/>
    <col min="9231" max="9239" width="0" style="1935" hidden="1" customWidth="1"/>
    <col min="9240" max="9243" width="16.7109375" style="1935"/>
    <col min="9244" max="9244" width="19.5703125" style="1935" customWidth="1"/>
    <col min="9245" max="9465" width="16.7109375" style="1935"/>
    <col min="9466" max="9466" width="6.42578125" style="1935" customWidth="1"/>
    <col min="9467" max="9467" width="51.42578125" style="1935" customWidth="1"/>
    <col min="9468" max="9468" width="9.85546875" style="1935" customWidth="1"/>
    <col min="9469" max="9469" width="1.28515625" style="1935" customWidth="1"/>
    <col min="9470" max="9470" width="11" style="1935" customWidth="1"/>
    <col min="9471" max="9471" width="3" style="1935" customWidth="1"/>
    <col min="9472" max="9472" width="11.7109375" style="1935" customWidth="1"/>
    <col min="9473" max="9473" width="2.42578125" style="1935" customWidth="1"/>
    <col min="9474" max="9474" width="11.42578125" style="1935" customWidth="1"/>
    <col min="9475" max="9475" width="3.85546875" style="1935" customWidth="1"/>
    <col min="9476" max="9476" width="11.5703125" style="1935" customWidth="1"/>
    <col min="9477" max="9477" width="1.85546875" style="1935" customWidth="1"/>
    <col min="9478" max="9478" width="13.28515625" style="1935" customWidth="1"/>
    <col min="9479" max="9479" width="3.85546875" style="1935" customWidth="1"/>
    <col min="9480" max="9480" width="14.42578125" style="1935" customWidth="1"/>
    <col min="9481" max="9481" width="4" style="1935" customWidth="1"/>
    <col min="9482" max="9482" width="10.85546875" style="1935" customWidth="1"/>
    <col min="9483" max="9483" width="4.140625" style="1935" customWidth="1"/>
    <col min="9484" max="9484" width="11.85546875" style="1935" customWidth="1"/>
    <col min="9485" max="9485" width="1.85546875" style="1935" customWidth="1"/>
    <col min="9486" max="9486" width="10.7109375" style="1935" customWidth="1"/>
    <col min="9487" max="9495" width="0" style="1935" hidden="1" customWidth="1"/>
    <col min="9496" max="9499" width="16.7109375" style="1935"/>
    <col min="9500" max="9500" width="19.5703125" style="1935" customWidth="1"/>
    <col min="9501" max="9721" width="16.7109375" style="1935"/>
    <col min="9722" max="9722" width="6.42578125" style="1935" customWidth="1"/>
    <col min="9723" max="9723" width="51.42578125" style="1935" customWidth="1"/>
    <col min="9724" max="9724" width="9.85546875" style="1935" customWidth="1"/>
    <col min="9725" max="9725" width="1.28515625" style="1935" customWidth="1"/>
    <col min="9726" max="9726" width="11" style="1935" customWidth="1"/>
    <col min="9727" max="9727" width="3" style="1935" customWidth="1"/>
    <col min="9728" max="9728" width="11.7109375" style="1935" customWidth="1"/>
    <col min="9729" max="9729" width="2.42578125" style="1935" customWidth="1"/>
    <col min="9730" max="9730" width="11.42578125" style="1935" customWidth="1"/>
    <col min="9731" max="9731" width="3.85546875" style="1935" customWidth="1"/>
    <col min="9732" max="9732" width="11.5703125" style="1935" customWidth="1"/>
    <col min="9733" max="9733" width="1.85546875" style="1935" customWidth="1"/>
    <col min="9734" max="9734" width="13.28515625" style="1935" customWidth="1"/>
    <col min="9735" max="9735" width="3.85546875" style="1935" customWidth="1"/>
    <col min="9736" max="9736" width="14.42578125" style="1935" customWidth="1"/>
    <col min="9737" max="9737" width="4" style="1935" customWidth="1"/>
    <col min="9738" max="9738" width="10.85546875" style="1935" customWidth="1"/>
    <col min="9739" max="9739" width="4.140625" style="1935" customWidth="1"/>
    <col min="9740" max="9740" width="11.85546875" style="1935" customWidth="1"/>
    <col min="9741" max="9741" width="1.85546875" style="1935" customWidth="1"/>
    <col min="9742" max="9742" width="10.7109375" style="1935" customWidth="1"/>
    <col min="9743" max="9751" width="0" style="1935" hidden="1" customWidth="1"/>
    <col min="9752" max="9755" width="16.7109375" style="1935"/>
    <col min="9756" max="9756" width="19.5703125" style="1935" customWidth="1"/>
    <col min="9757" max="9977" width="16.7109375" style="1935"/>
    <col min="9978" max="9978" width="6.42578125" style="1935" customWidth="1"/>
    <col min="9979" max="9979" width="51.42578125" style="1935" customWidth="1"/>
    <col min="9980" max="9980" width="9.85546875" style="1935" customWidth="1"/>
    <col min="9981" max="9981" width="1.28515625" style="1935" customWidth="1"/>
    <col min="9982" max="9982" width="11" style="1935" customWidth="1"/>
    <col min="9983" max="9983" width="3" style="1935" customWidth="1"/>
    <col min="9984" max="9984" width="11.7109375" style="1935" customWidth="1"/>
    <col min="9985" max="9985" width="2.42578125" style="1935" customWidth="1"/>
    <col min="9986" max="9986" width="11.42578125" style="1935" customWidth="1"/>
    <col min="9987" max="9987" width="3.85546875" style="1935" customWidth="1"/>
    <col min="9988" max="9988" width="11.5703125" style="1935" customWidth="1"/>
    <col min="9989" max="9989" width="1.85546875" style="1935" customWidth="1"/>
    <col min="9990" max="9990" width="13.28515625" style="1935" customWidth="1"/>
    <col min="9991" max="9991" width="3.85546875" style="1935" customWidth="1"/>
    <col min="9992" max="9992" width="14.42578125" style="1935" customWidth="1"/>
    <col min="9993" max="9993" width="4" style="1935" customWidth="1"/>
    <col min="9994" max="9994" width="10.85546875" style="1935" customWidth="1"/>
    <col min="9995" max="9995" width="4.140625" style="1935" customWidth="1"/>
    <col min="9996" max="9996" width="11.85546875" style="1935" customWidth="1"/>
    <col min="9997" max="9997" width="1.85546875" style="1935" customWidth="1"/>
    <col min="9998" max="9998" width="10.7109375" style="1935" customWidth="1"/>
    <col min="9999" max="10007" width="0" style="1935" hidden="1" customWidth="1"/>
    <col min="10008" max="10011" width="16.7109375" style="1935"/>
    <col min="10012" max="10012" width="19.5703125" style="1935" customWidth="1"/>
    <col min="10013" max="10233" width="16.7109375" style="1935"/>
    <col min="10234" max="10234" width="6.42578125" style="1935" customWidth="1"/>
    <col min="10235" max="10235" width="51.42578125" style="1935" customWidth="1"/>
    <col min="10236" max="10236" width="9.85546875" style="1935" customWidth="1"/>
    <col min="10237" max="10237" width="1.28515625" style="1935" customWidth="1"/>
    <col min="10238" max="10238" width="11" style="1935" customWidth="1"/>
    <col min="10239" max="10239" width="3" style="1935" customWidth="1"/>
    <col min="10240" max="10240" width="11.7109375" style="1935" customWidth="1"/>
    <col min="10241" max="10241" width="2.42578125" style="1935" customWidth="1"/>
    <col min="10242" max="10242" width="11.42578125" style="1935" customWidth="1"/>
    <col min="10243" max="10243" width="3.85546875" style="1935" customWidth="1"/>
    <col min="10244" max="10244" width="11.5703125" style="1935" customWidth="1"/>
    <col min="10245" max="10245" width="1.85546875" style="1935" customWidth="1"/>
    <col min="10246" max="10246" width="13.28515625" style="1935" customWidth="1"/>
    <col min="10247" max="10247" width="3.85546875" style="1935" customWidth="1"/>
    <col min="10248" max="10248" width="14.42578125" style="1935" customWidth="1"/>
    <col min="10249" max="10249" width="4" style="1935" customWidth="1"/>
    <col min="10250" max="10250" width="10.85546875" style="1935" customWidth="1"/>
    <col min="10251" max="10251" width="4.140625" style="1935" customWidth="1"/>
    <col min="10252" max="10252" width="11.85546875" style="1935" customWidth="1"/>
    <col min="10253" max="10253" width="1.85546875" style="1935" customWidth="1"/>
    <col min="10254" max="10254" width="10.7109375" style="1935" customWidth="1"/>
    <col min="10255" max="10263" width="0" style="1935" hidden="1" customWidth="1"/>
    <col min="10264" max="10267" width="16.7109375" style="1935"/>
    <col min="10268" max="10268" width="19.5703125" style="1935" customWidth="1"/>
    <col min="10269" max="10489" width="16.7109375" style="1935"/>
    <col min="10490" max="10490" width="6.42578125" style="1935" customWidth="1"/>
    <col min="10491" max="10491" width="51.42578125" style="1935" customWidth="1"/>
    <col min="10492" max="10492" width="9.85546875" style="1935" customWidth="1"/>
    <col min="10493" max="10493" width="1.28515625" style="1935" customWidth="1"/>
    <col min="10494" max="10494" width="11" style="1935" customWidth="1"/>
    <col min="10495" max="10495" width="3" style="1935" customWidth="1"/>
    <col min="10496" max="10496" width="11.7109375" style="1935" customWidth="1"/>
    <col min="10497" max="10497" width="2.42578125" style="1935" customWidth="1"/>
    <col min="10498" max="10498" width="11.42578125" style="1935" customWidth="1"/>
    <col min="10499" max="10499" width="3.85546875" style="1935" customWidth="1"/>
    <col min="10500" max="10500" width="11.5703125" style="1935" customWidth="1"/>
    <col min="10501" max="10501" width="1.85546875" style="1935" customWidth="1"/>
    <col min="10502" max="10502" width="13.28515625" style="1935" customWidth="1"/>
    <col min="10503" max="10503" width="3.85546875" style="1935" customWidth="1"/>
    <col min="10504" max="10504" width="14.42578125" style="1935" customWidth="1"/>
    <col min="10505" max="10505" width="4" style="1935" customWidth="1"/>
    <col min="10506" max="10506" width="10.85546875" style="1935" customWidth="1"/>
    <col min="10507" max="10507" width="4.140625" style="1935" customWidth="1"/>
    <col min="10508" max="10508" width="11.85546875" style="1935" customWidth="1"/>
    <col min="10509" max="10509" width="1.85546875" style="1935" customWidth="1"/>
    <col min="10510" max="10510" width="10.7109375" style="1935" customWidth="1"/>
    <col min="10511" max="10519" width="0" style="1935" hidden="1" customWidth="1"/>
    <col min="10520" max="10523" width="16.7109375" style="1935"/>
    <col min="10524" max="10524" width="19.5703125" style="1935" customWidth="1"/>
    <col min="10525" max="10745" width="16.7109375" style="1935"/>
    <col min="10746" max="10746" width="6.42578125" style="1935" customWidth="1"/>
    <col min="10747" max="10747" width="51.42578125" style="1935" customWidth="1"/>
    <col min="10748" max="10748" width="9.85546875" style="1935" customWidth="1"/>
    <col min="10749" max="10749" width="1.28515625" style="1935" customWidth="1"/>
    <col min="10750" max="10750" width="11" style="1935" customWidth="1"/>
    <col min="10751" max="10751" width="3" style="1935" customWidth="1"/>
    <col min="10752" max="10752" width="11.7109375" style="1935" customWidth="1"/>
    <col min="10753" max="10753" width="2.42578125" style="1935" customWidth="1"/>
    <col min="10754" max="10754" width="11.42578125" style="1935" customWidth="1"/>
    <col min="10755" max="10755" width="3.85546875" style="1935" customWidth="1"/>
    <col min="10756" max="10756" width="11.5703125" style="1935" customWidth="1"/>
    <col min="10757" max="10757" width="1.85546875" style="1935" customWidth="1"/>
    <col min="10758" max="10758" width="13.28515625" style="1935" customWidth="1"/>
    <col min="10759" max="10759" width="3.85546875" style="1935" customWidth="1"/>
    <col min="10760" max="10760" width="14.42578125" style="1935" customWidth="1"/>
    <col min="10761" max="10761" width="4" style="1935" customWidth="1"/>
    <col min="10762" max="10762" width="10.85546875" style="1935" customWidth="1"/>
    <col min="10763" max="10763" width="4.140625" style="1935" customWidth="1"/>
    <col min="10764" max="10764" width="11.85546875" style="1935" customWidth="1"/>
    <col min="10765" max="10765" width="1.85546875" style="1935" customWidth="1"/>
    <col min="10766" max="10766" width="10.7109375" style="1935" customWidth="1"/>
    <col min="10767" max="10775" width="0" style="1935" hidden="1" customWidth="1"/>
    <col min="10776" max="10779" width="16.7109375" style="1935"/>
    <col min="10780" max="10780" width="19.5703125" style="1935" customWidth="1"/>
    <col min="10781" max="11001" width="16.7109375" style="1935"/>
    <col min="11002" max="11002" width="6.42578125" style="1935" customWidth="1"/>
    <col min="11003" max="11003" width="51.42578125" style="1935" customWidth="1"/>
    <col min="11004" max="11004" width="9.85546875" style="1935" customWidth="1"/>
    <col min="11005" max="11005" width="1.28515625" style="1935" customWidth="1"/>
    <col min="11006" max="11006" width="11" style="1935" customWidth="1"/>
    <col min="11007" max="11007" width="3" style="1935" customWidth="1"/>
    <col min="11008" max="11008" width="11.7109375" style="1935" customWidth="1"/>
    <col min="11009" max="11009" width="2.42578125" style="1935" customWidth="1"/>
    <col min="11010" max="11010" width="11.42578125" style="1935" customWidth="1"/>
    <col min="11011" max="11011" width="3.85546875" style="1935" customWidth="1"/>
    <col min="11012" max="11012" width="11.5703125" style="1935" customWidth="1"/>
    <col min="11013" max="11013" width="1.85546875" style="1935" customWidth="1"/>
    <col min="11014" max="11014" width="13.28515625" style="1935" customWidth="1"/>
    <col min="11015" max="11015" width="3.85546875" style="1935" customWidth="1"/>
    <col min="11016" max="11016" width="14.42578125" style="1935" customWidth="1"/>
    <col min="11017" max="11017" width="4" style="1935" customWidth="1"/>
    <col min="11018" max="11018" width="10.85546875" style="1935" customWidth="1"/>
    <col min="11019" max="11019" width="4.140625" style="1935" customWidth="1"/>
    <col min="11020" max="11020" width="11.85546875" style="1935" customWidth="1"/>
    <col min="11021" max="11021" width="1.85546875" style="1935" customWidth="1"/>
    <col min="11022" max="11022" width="10.7109375" style="1935" customWidth="1"/>
    <col min="11023" max="11031" width="0" style="1935" hidden="1" customWidth="1"/>
    <col min="11032" max="11035" width="16.7109375" style="1935"/>
    <col min="11036" max="11036" width="19.5703125" style="1935" customWidth="1"/>
    <col min="11037" max="11257" width="16.7109375" style="1935"/>
    <col min="11258" max="11258" width="6.42578125" style="1935" customWidth="1"/>
    <col min="11259" max="11259" width="51.42578125" style="1935" customWidth="1"/>
    <col min="11260" max="11260" width="9.85546875" style="1935" customWidth="1"/>
    <col min="11261" max="11261" width="1.28515625" style="1935" customWidth="1"/>
    <col min="11262" max="11262" width="11" style="1935" customWidth="1"/>
    <col min="11263" max="11263" width="3" style="1935" customWidth="1"/>
    <col min="11264" max="11264" width="11.7109375" style="1935" customWidth="1"/>
    <col min="11265" max="11265" width="2.42578125" style="1935" customWidth="1"/>
    <col min="11266" max="11266" width="11.42578125" style="1935" customWidth="1"/>
    <col min="11267" max="11267" width="3.85546875" style="1935" customWidth="1"/>
    <col min="11268" max="11268" width="11.5703125" style="1935" customWidth="1"/>
    <col min="11269" max="11269" width="1.85546875" style="1935" customWidth="1"/>
    <col min="11270" max="11270" width="13.28515625" style="1935" customWidth="1"/>
    <col min="11271" max="11271" width="3.85546875" style="1935" customWidth="1"/>
    <col min="11272" max="11272" width="14.42578125" style="1935" customWidth="1"/>
    <col min="11273" max="11273" width="4" style="1935" customWidth="1"/>
    <col min="11274" max="11274" width="10.85546875" style="1935" customWidth="1"/>
    <col min="11275" max="11275" width="4.140625" style="1935" customWidth="1"/>
    <col min="11276" max="11276" width="11.85546875" style="1935" customWidth="1"/>
    <col min="11277" max="11277" width="1.85546875" style="1935" customWidth="1"/>
    <col min="11278" max="11278" width="10.7109375" style="1935" customWidth="1"/>
    <col min="11279" max="11287" width="0" style="1935" hidden="1" customWidth="1"/>
    <col min="11288" max="11291" width="16.7109375" style="1935"/>
    <col min="11292" max="11292" width="19.5703125" style="1935" customWidth="1"/>
    <col min="11293" max="11513" width="16.7109375" style="1935"/>
    <col min="11514" max="11514" width="6.42578125" style="1935" customWidth="1"/>
    <col min="11515" max="11515" width="51.42578125" style="1935" customWidth="1"/>
    <col min="11516" max="11516" width="9.85546875" style="1935" customWidth="1"/>
    <col min="11517" max="11517" width="1.28515625" style="1935" customWidth="1"/>
    <col min="11518" max="11518" width="11" style="1935" customWidth="1"/>
    <col min="11519" max="11519" width="3" style="1935" customWidth="1"/>
    <col min="11520" max="11520" width="11.7109375" style="1935" customWidth="1"/>
    <col min="11521" max="11521" width="2.42578125" style="1935" customWidth="1"/>
    <col min="11522" max="11522" width="11.42578125" style="1935" customWidth="1"/>
    <col min="11523" max="11523" width="3.85546875" style="1935" customWidth="1"/>
    <col min="11524" max="11524" width="11.5703125" style="1935" customWidth="1"/>
    <col min="11525" max="11525" width="1.85546875" style="1935" customWidth="1"/>
    <col min="11526" max="11526" width="13.28515625" style="1935" customWidth="1"/>
    <col min="11527" max="11527" width="3.85546875" style="1935" customWidth="1"/>
    <col min="11528" max="11528" width="14.42578125" style="1935" customWidth="1"/>
    <col min="11529" max="11529" width="4" style="1935" customWidth="1"/>
    <col min="11530" max="11530" width="10.85546875" style="1935" customWidth="1"/>
    <col min="11531" max="11531" width="4.140625" style="1935" customWidth="1"/>
    <col min="11532" max="11532" width="11.85546875" style="1935" customWidth="1"/>
    <col min="11533" max="11533" width="1.85546875" style="1935" customWidth="1"/>
    <col min="11534" max="11534" width="10.7109375" style="1935" customWidth="1"/>
    <col min="11535" max="11543" width="0" style="1935" hidden="1" customWidth="1"/>
    <col min="11544" max="11547" width="16.7109375" style="1935"/>
    <col min="11548" max="11548" width="19.5703125" style="1935" customWidth="1"/>
    <col min="11549" max="11769" width="16.7109375" style="1935"/>
    <col min="11770" max="11770" width="6.42578125" style="1935" customWidth="1"/>
    <col min="11771" max="11771" width="51.42578125" style="1935" customWidth="1"/>
    <col min="11772" max="11772" width="9.85546875" style="1935" customWidth="1"/>
    <col min="11773" max="11773" width="1.28515625" style="1935" customWidth="1"/>
    <col min="11774" max="11774" width="11" style="1935" customWidth="1"/>
    <col min="11775" max="11775" width="3" style="1935" customWidth="1"/>
    <col min="11776" max="11776" width="11.7109375" style="1935" customWidth="1"/>
    <col min="11777" max="11777" width="2.42578125" style="1935" customWidth="1"/>
    <col min="11778" max="11778" width="11.42578125" style="1935" customWidth="1"/>
    <col min="11779" max="11779" width="3.85546875" style="1935" customWidth="1"/>
    <col min="11780" max="11780" width="11.5703125" style="1935" customWidth="1"/>
    <col min="11781" max="11781" width="1.85546875" style="1935" customWidth="1"/>
    <col min="11782" max="11782" width="13.28515625" style="1935" customWidth="1"/>
    <col min="11783" max="11783" width="3.85546875" style="1935" customWidth="1"/>
    <col min="11784" max="11784" width="14.42578125" style="1935" customWidth="1"/>
    <col min="11785" max="11785" width="4" style="1935" customWidth="1"/>
    <col min="11786" max="11786" width="10.85546875" style="1935" customWidth="1"/>
    <col min="11787" max="11787" width="4.140625" style="1935" customWidth="1"/>
    <col min="11788" max="11788" width="11.85546875" style="1935" customWidth="1"/>
    <col min="11789" max="11789" width="1.85546875" style="1935" customWidth="1"/>
    <col min="11790" max="11790" width="10.7109375" style="1935" customWidth="1"/>
    <col min="11791" max="11799" width="0" style="1935" hidden="1" customWidth="1"/>
    <col min="11800" max="11803" width="16.7109375" style="1935"/>
    <col min="11804" max="11804" width="19.5703125" style="1935" customWidth="1"/>
    <col min="11805" max="12025" width="16.7109375" style="1935"/>
    <col min="12026" max="12026" width="6.42578125" style="1935" customWidth="1"/>
    <col min="12027" max="12027" width="51.42578125" style="1935" customWidth="1"/>
    <col min="12028" max="12028" width="9.85546875" style="1935" customWidth="1"/>
    <col min="12029" max="12029" width="1.28515625" style="1935" customWidth="1"/>
    <col min="12030" max="12030" width="11" style="1935" customWidth="1"/>
    <col min="12031" max="12031" width="3" style="1935" customWidth="1"/>
    <col min="12032" max="12032" width="11.7109375" style="1935" customWidth="1"/>
    <col min="12033" max="12033" width="2.42578125" style="1935" customWidth="1"/>
    <col min="12034" max="12034" width="11.42578125" style="1935" customWidth="1"/>
    <col min="12035" max="12035" width="3.85546875" style="1935" customWidth="1"/>
    <col min="12036" max="12036" width="11.5703125" style="1935" customWidth="1"/>
    <col min="12037" max="12037" width="1.85546875" style="1935" customWidth="1"/>
    <col min="12038" max="12038" width="13.28515625" style="1935" customWidth="1"/>
    <col min="12039" max="12039" width="3.85546875" style="1935" customWidth="1"/>
    <col min="12040" max="12040" width="14.42578125" style="1935" customWidth="1"/>
    <col min="12041" max="12041" width="4" style="1935" customWidth="1"/>
    <col min="12042" max="12042" width="10.85546875" style="1935" customWidth="1"/>
    <col min="12043" max="12043" width="4.140625" style="1935" customWidth="1"/>
    <col min="12044" max="12044" width="11.85546875" style="1935" customWidth="1"/>
    <col min="12045" max="12045" width="1.85546875" style="1935" customWidth="1"/>
    <col min="12046" max="12046" width="10.7109375" style="1935" customWidth="1"/>
    <col min="12047" max="12055" width="0" style="1935" hidden="1" customWidth="1"/>
    <col min="12056" max="12059" width="16.7109375" style="1935"/>
    <col min="12060" max="12060" width="19.5703125" style="1935" customWidth="1"/>
    <col min="12061" max="12281" width="16.7109375" style="1935"/>
    <col min="12282" max="12282" width="6.42578125" style="1935" customWidth="1"/>
    <col min="12283" max="12283" width="51.42578125" style="1935" customWidth="1"/>
    <col min="12284" max="12284" width="9.85546875" style="1935" customWidth="1"/>
    <col min="12285" max="12285" width="1.28515625" style="1935" customWidth="1"/>
    <col min="12286" max="12286" width="11" style="1935" customWidth="1"/>
    <col min="12287" max="12287" width="3" style="1935" customWidth="1"/>
    <col min="12288" max="12288" width="11.7109375" style="1935" customWidth="1"/>
    <col min="12289" max="12289" width="2.42578125" style="1935" customWidth="1"/>
    <col min="12290" max="12290" width="11.42578125" style="1935" customWidth="1"/>
    <col min="12291" max="12291" width="3.85546875" style="1935" customWidth="1"/>
    <col min="12292" max="12292" width="11.5703125" style="1935" customWidth="1"/>
    <col min="12293" max="12293" width="1.85546875" style="1935" customWidth="1"/>
    <col min="12294" max="12294" width="13.28515625" style="1935" customWidth="1"/>
    <col min="12295" max="12295" width="3.85546875" style="1935" customWidth="1"/>
    <col min="12296" max="12296" width="14.42578125" style="1935" customWidth="1"/>
    <col min="12297" max="12297" width="4" style="1935" customWidth="1"/>
    <col min="12298" max="12298" width="10.85546875" style="1935" customWidth="1"/>
    <col min="12299" max="12299" width="4.140625" style="1935" customWidth="1"/>
    <col min="12300" max="12300" width="11.85546875" style="1935" customWidth="1"/>
    <col min="12301" max="12301" width="1.85546875" style="1935" customWidth="1"/>
    <col min="12302" max="12302" width="10.7109375" style="1935" customWidth="1"/>
    <col min="12303" max="12311" width="0" style="1935" hidden="1" customWidth="1"/>
    <col min="12312" max="12315" width="16.7109375" style="1935"/>
    <col min="12316" max="12316" width="19.5703125" style="1935" customWidth="1"/>
    <col min="12317" max="12537" width="16.7109375" style="1935"/>
    <col min="12538" max="12538" width="6.42578125" style="1935" customWidth="1"/>
    <col min="12539" max="12539" width="51.42578125" style="1935" customWidth="1"/>
    <col min="12540" max="12540" width="9.85546875" style="1935" customWidth="1"/>
    <col min="12541" max="12541" width="1.28515625" style="1935" customWidth="1"/>
    <col min="12542" max="12542" width="11" style="1935" customWidth="1"/>
    <col min="12543" max="12543" width="3" style="1935" customWidth="1"/>
    <col min="12544" max="12544" width="11.7109375" style="1935" customWidth="1"/>
    <col min="12545" max="12545" width="2.42578125" style="1935" customWidth="1"/>
    <col min="12546" max="12546" width="11.42578125" style="1935" customWidth="1"/>
    <col min="12547" max="12547" width="3.85546875" style="1935" customWidth="1"/>
    <col min="12548" max="12548" width="11.5703125" style="1935" customWidth="1"/>
    <col min="12549" max="12549" width="1.85546875" style="1935" customWidth="1"/>
    <col min="12550" max="12550" width="13.28515625" style="1935" customWidth="1"/>
    <col min="12551" max="12551" width="3.85546875" style="1935" customWidth="1"/>
    <col min="12552" max="12552" width="14.42578125" style="1935" customWidth="1"/>
    <col min="12553" max="12553" width="4" style="1935" customWidth="1"/>
    <col min="12554" max="12554" width="10.85546875" style="1935" customWidth="1"/>
    <col min="12555" max="12555" width="4.140625" style="1935" customWidth="1"/>
    <col min="12556" max="12556" width="11.85546875" style="1935" customWidth="1"/>
    <col min="12557" max="12557" width="1.85546875" style="1935" customWidth="1"/>
    <col min="12558" max="12558" width="10.7109375" style="1935" customWidth="1"/>
    <col min="12559" max="12567" width="0" style="1935" hidden="1" customWidth="1"/>
    <col min="12568" max="12571" width="16.7109375" style="1935"/>
    <col min="12572" max="12572" width="19.5703125" style="1935" customWidth="1"/>
    <col min="12573" max="12793" width="16.7109375" style="1935"/>
    <col min="12794" max="12794" width="6.42578125" style="1935" customWidth="1"/>
    <col min="12795" max="12795" width="51.42578125" style="1935" customWidth="1"/>
    <col min="12796" max="12796" width="9.85546875" style="1935" customWidth="1"/>
    <col min="12797" max="12797" width="1.28515625" style="1935" customWidth="1"/>
    <col min="12798" max="12798" width="11" style="1935" customWidth="1"/>
    <col min="12799" max="12799" width="3" style="1935" customWidth="1"/>
    <col min="12800" max="12800" width="11.7109375" style="1935" customWidth="1"/>
    <col min="12801" max="12801" width="2.42578125" style="1935" customWidth="1"/>
    <col min="12802" max="12802" width="11.42578125" style="1935" customWidth="1"/>
    <col min="12803" max="12803" width="3.85546875" style="1935" customWidth="1"/>
    <col min="12804" max="12804" width="11.5703125" style="1935" customWidth="1"/>
    <col min="12805" max="12805" width="1.85546875" style="1935" customWidth="1"/>
    <col min="12806" max="12806" width="13.28515625" style="1935" customWidth="1"/>
    <col min="12807" max="12807" width="3.85546875" style="1935" customWidth="1"/>
    <col min="12808" max="12808" width="14.42578125" style="1935" customWidth="1"/>
    <col min="12809" max="12809" width="4" style="1935" customWidth="1"/>
    <col min="12810" max="12810" width="10.85546875" style="1935" customWidth="1"/>
    <col min="12811" max="12811" width="4.140625" style="1935" customWidth="1"/>
    <col min="12812" max="12812" width="11.85546875" style="1935" customWidth="1"/>
    <col min="12813" max="12813" width="1.85546875" style="1935" customWidth="1"/>
    <col min="12814" max="12814" width="10.7109375" style="1935" customWidth="1"/>
    <col min="12815" max="12823" width="0" style="1935" hidden="1" customWidth="1"/>
    <col min="12824" max="12827" width="16.7109375" style="1935"/>
    <col min="12828" max="12828" width="19.5703125" style="1935" customWidth="1"/>
    <col min="12829" max="13049" width="16.7109375" style="1935"/>
    <col min="13050" max="13050" width="6.42578125" style="1935" customWidth="1"/>
    <col min="13051" max="13051" width="51.42578125" style="1935" customWidth="1"/>
    <col min="13052" max="13052" width="9.85546875" style="1935" customWidth="1"/>
    <col min="13053" max="13053" width="1.28515625" style="1935" customWidth="1"/>
    <col min="13054" max="13054" width="11" style="1935" customWidth="1"/>
    <col min="13055" max="13055" width="3" style="1935" customWidth="1"/>
    <col min="13056" max="13056" width="11.7109375" style="1935" customWidth="1"/>
    <col min="13057" max="13057" width="2.42578125" style="1935" customWidth="1"/>
    <col min="13058" max="13058" width="11.42578125" style="1935" customWidth="1"/>
    <col min="13059" max="13059" width="3.85546875" style="1935" customWidth="1"/>
    <col min="13060" max="13060" width="11.5703125" style="1935" customWidth="1"/>
    <col min="13061" max="13061" width="1.85546875" style="1935" customWidth="1"/>
    <col min="13062" max="13062" width="13.28515625" style="1935" customWidth="1"/>
    <col min="13063" max="13063" width="3.85546875" style="1935" customWidth="1"/>
    <col min="13064" max="13064" width="14.42578125" style="1935" customWidth="1"/>
    <col min="13065" max="13065" width="4" style="1935" customWidth="1"/>
    <col min="13066" max="13066" width="10.85546875" style="1935" customWidth="1"/>
    <col min="13067" max="13067" width="4.140625" style="1935" customWidth="1"/>
    <col min="13068" max="13068" width="11.85546875" style="1935" customWidth="1"/>
    <col min="13069" max="13069" width="1.85546875" style="1935" customWidth="1"/>
    <col min="13070" max="13070" width="10.7109375" style="1935" customWidth="1"/>
    <col min="13071" max="13079" width="0" style="1935" hidden="1" customWidth="1"/>
    <col min="13080" max="13083" width="16.7109375" style="1935"/>
    <col min="13084" max="13084" width="19.5703125" style="1935" customWidth="1"/>
    <col min="13085" max="13305" width="16.7109375" style="1935"/>
    <col min="13306" max="13306" width="6.42578125" style="1935" customWidth="1"/>
    <col min="13307" max="13307" width="51.42578125" style="1935" customWidth="1"/>
    <col min="13308" max="13308" width="9.85546875" style="1935" customWidth="1"/>
    <col min="13309" max="13309" width="1.28515625" style="1935" customWidth="1"/>
    <col min="13310" max="13310" width="11" style="1935" customWidth="1"/>
    <col min="13311" max="13311" width="3" style="1935" customWidth="1"/>
    <col min="13312" max="13312" width="11.7109375" style="1935" customWidth="1"/>
    <col min="13313" max="13313" width="2.42578125" style="1935" customWidth="1"/>
    <col min="13314" max="13314" width="11.42578125" style="1935" customWidth="1"/>
    <col min="13315" max="13315" width="3.85546875" style="1935" customWidth="1"/>
    <col min="13316" max="13316" width="11.5703125" style="1935" customWidth="1"/>
    <col min="13317" max="13317" width="1.85546875" style="1935" customWidth="1"/>
    <col min="13318" max="13318" width="13.28515625" style="1935" customWidth="1"/>
    <col min="13319" max="13319" width="3.85546875" style="1935" customWidth="1"/>
    <col min="13320" max="13320" width="14.42578125" style="1935" customWidth="1"/>
    <col min="13321" max="13321" width="4" style="1935" customWidth="1"/>
    <col min="13322" max="13322" width="10.85546875" style="1935" customWidth="1"/>
    <col min="13323" max="13323" width="4.140625" style="1935" customWidth="1"/>
    <col min="13324" max="13324" width="11.85546875" style="1935" customWidth="1"/>
    <col min="13325" max="13325" width="1.85546875" style="1935" customWidth="1"/>
    <col min="13326" max="13326" width="10.7109375" style="1935" customWidth="1"/>
    <col min="13327" max="13335" width="0" style="1935" hidden="1" customWidth="1"/>
    <col min="13336" max="13339" width="16.7109375" style="1935"/>
    <col min="13340" max="13340" width="19.5703125" style="1935" customWidth="1"/>
    <col min="13341" max="13561" width="16.7109375" style="1935"/>
    <col min="13562" max="13562" width="6.42578125" style="1935" customWidth="1"/>
    <col min="13563" max="13563" width="51.42578125" style="1935" customWidth="1"/>
    <col min="13564" max="13564" width="9.85546875" style="1935" customWidth="1"/>
    <col min="13565" max="13565" width="1.28515625" style="1935" customWidth="1"/>
    <col min="13566" max="13566" width="11" style="1935" customWidth="1"/>
    <col min="13567" max="13567" width="3" style="1935" customWidth="1"/>
    <col min="13568" max="13568" width="11.7109375" style="1935" customWidth="1"/>
    <col min="13569" max="13569" width="2.42578125" style="1935" customWidth="1"/>
    <col min="13570" max="13570" width="11.42578125" style="1935" customWidth="1"/>
    <col min="13571" max="13571" width="3.85546875" style="1935" customWidth="1"/>
    <col min="13572" max="13572" width="11.5703125" style="1935" customWidth="1"/>
    <col min="13573" max="13573" width="1.85546875" style="1935" customWidth="1"/>
    <col min="13574" max="13574" width="13.28515625" style="1935" customWidth="1"/>
    <col min="13575" max="13575" width="3.85546875" style="1935" customWidth="1"/>
    <col min="13576" max="13576" width="14.42578125" style="1935" customWidth="1"/>
    <col min="13577" max="13577" width="4" style="1935" customWidth="1"/>
    <col min="13578" max="13578" width="10.85546875" style="1935" customWidth="1"/>
    <col min="13579" max="13579" width="4.140625" style="1935" customWidth="1"/>
    <col min="13580" max="13580" width="11.85546875" style="1935" customWidth="1"/>
    <col min="13581" max="13581" width="1.85546875" style="1935" customWidth="1"/>
    <col min="13582" max="13582" width="10.7109375" style="1935" customWidth="1"/>
    <col min="13583" max="13591" width="0" style="1935" hidden="1" customWidth="1"/>
    <col min="13592" max="13595" width="16.7109375" style="1935"/>
    <col min="13596" max="13596" width="19.5703125" style="1935" customWidth="1"/>
    <col min="13597" max="13817" width="16.7109375" style="1935"/>
    <col min="13818" max="13818" width="6.42578125" style="1935" customWidth="1"/>
    <col min="13819" max="13819" width="51.42578125" style="1935" customWidth="1"/>
    <col min="13820" max="13820" width="9.85546875" style="1935" customWidth="1"/>
    <col min="13821" max="13821" width="1.28515625" style="1935" customWidth="1"/>
    <col min="13822" max="13822" width="11" style="1935" customWidth="1"/>
    <col min="13823" max="13823" width="3" style="1935" customWidth="1"/>
    <col min="13824" max="13824" width="11.7109375" style="1935" customWidth="1"/>
    <col min="13825" max="13825" width="2.42578125" style="1935" customWidth="1"/>
    <col min="13826" max="13826" width="11.42578125" style="1935" customWidth="1"/>
    <col min="13827" max="13827" width="3.85546875" style="1935" customWidth="1"/>
    <col min="13828" max="13828" width="11.5703125" style="1935" customWidth="1"/>
    <col min="13829" max="13829" width="1.85546875" style="1935" customWidth="1"/>
    <col min="13830" max="13830" width="13.28515625" style="1935" customWidth="1"/>
    <col min="13831" max="13831" width="3.85546875" style="1935" customWidth="1"/>
    <col min="13832" max="13832" width="14.42578125" style="1935" customWidth="1"/>
    <col min="13833" max="13833" width="4" style="1935" customWidth="1"/>
    <col min="13834" max="13834" width="10.85546875" style="1935" customWidth="1"/>
    <col min="13835" max="13835" width="4.140625" style="1935" customWidth="1"/>
    <col min="13836" max="13836" width="11.85546875" style="1935" customWidth="1"/>
    <col min="13837" max="13837" width="1.85546875" style="1935" customWidth="1"/>
    <col min="13838" max="13838" width="10.7109375" style="1935" customWidth="1"/>
    <col min="13839" max="13847" width="0" style="1935" hidden="1" customWidth="1"/>
    <col min="13848" max="13851" width="16.7109375" style="1935"/>
    <col min="13852" max="13852" width="19.5703125" style="1935" customWidth="1"/>
    <col min="13853" max="14073" width="16.7109375" style="1935"/>
    <col min="14074" max="14074" width="6.42578125" style="1935" customWidth="1"/>
    <col min="14075" max="14075" width="51.42578125" style="1935" customWidth="1"/>
    <col min="14076" max="14076" width="9.85546875" style="1935" customWidth="1"/>
    <col min="14077" max="14077" width="1.28515625" style="1935" customWidth="1"/>
    <col min="14078" max="14078" width="11" style="1935" customWidth="1"/>
    <col min="14079" max="14079" width="3" style="1935" customWidth="1"/>
    <col min="14080" max="14080" width="11.7109375" style="1935" customWidth="1"/>
    <col min="14081" max="14081" width="2.42578125" style="1935" customWidth="1"/>
    <col min="14082" max="14082" width="11.42578125" style="1935" customWidth="1"/>
    <col min="14083" max="14083" width="3.85546875" style="1935" customWidth="1"/>
    <col min="14084" max="14084" width="11.5703125" style="1935" customWidth="1"/>
    <col min="14085" max="14085" width="1.85546875" style="1935" customWidth="1"/>
    <col min="14086" max="14086" width="13.28515625" style="1935" customWidth="1"/>
    <col min="14087" max="14087" width="3.85546875" style="1935" customWidth="1"/>
    <col min="14088" max="14088" width="14.42578125" style="1935" customWidth="1"/>
    <col min="14089" max="14089" width="4" style="1935" customWidth="1"/>
    <col min="14090" max="14090" width="10.85546875" style="1935" customWidth="1"/>
    <col min="14091" max="14091" width="4.140625" style="1935" customWidth="1"/>
    <col min="14092" max="14092" width="11.85546875" style="1935" customWidth="1"/>
    <col min="14093" max="14093" width="1.85546875" style="1935" customWidth="1"/>
    <col min="14094" max="14094" width="10.7109375" style="1935" customWidth="1"/>
    <col min="14095" max="14103" width="0" style="1935" hidden="1" customWidth="1"/>
    <col min="14104" max="14107" width="16.7109375" style="1935"/>
    <col min="14108" max="14108" width="19.5703125" style="1935" customWidth="1"/>
    <col min="14109" max="14329" width="16.7109375" style="1935"/>
    <col min="14330" max="14330" width="6.42578125" style="1935" customWidth="1"/>
    <col min="14331" max="14331" width="51.42578125" style="1935" customWidth="1"/>
    <col min="14332" max="14332" width="9.85546875" style="1935" customWidth="1"/>
    <col min="14333" max="14333" width="1.28515625" style="1935" customWidth="1"/>
    <col min="14334" max="14334" width="11" style="1935" customWidth="1"/>
    <col min="14335" max="14335" width="3" style="1935" customWidth="1"/>
    <col min="14336" max="14336" width="11.7109375" style="1935" customWidth="1"/>
    <col min="14337" max="14337" width="2.42578125" style="1935" customWidth="1"/>
    <col min="14338" max="14338" width="11.42578125" style="1935" customWidth="1"/>
    <col min="14339" max="14339" width="3.85546875" style="1935" customWidth="1"/>
    <col min="14340" max="14340" width="11.5703125" style="1935" customWidth="1"/>
    <col min="14341" max="14341" width="1.85546875" style="1935" customWidth="1"/>
    <col min="14342" max="14342" width="13.28515625" style="1935" customWidth="1"/>
    <col min="14343" max="14343" width="3.85546875" style="1935" customWidth="1"/>
    <col min="14344" max="14344" width="14.42578125" style="1935" customWidth="1"/>
    <col min="14345" max="14345" width="4" style="1935" customWidth="1"/>
    <col min="14346" max="14346" width="10.85546875" style="1935" customWidth="1"/>
    <col min="14347" max="14347" width="4.140625" style="1935" customWidth="1"/>
    <col min="14348" max="14348" width="11.85546875" style="1935" customWidth="1"/>
    <col min="14349" max="14349" width="1.85546875" style="1935" customWidth="1"/>
    <col min="14350" max="14350" width="10.7109375" style="1935" customWidth="1"/>
    <col min="14351" max="14359" width="0" style="1935" hidden="1" customWidth="1"/>
    <col min="14360" max="14363" width="16.7109375" style="1935"/>
    <col min="14364" max="14364" width="19.5703125" style="1935" customWidth="1"/>
    <col min="14365" max="14585" width="16.7109375" style="1935"/>
    <col min="14586" max="14586" width="6.42578125" style="1935" customWidth="1"/>
    <col min="14587" max="14587" width="51.42578125" style="1935" customWidth="1"/>
    <col min="14588" max="14588" width="9.85546875" style="1935" customWidth="1"/>
    <col min="14589" max="14589" width="1.28515625" style="1935" customWidth="1"/>
    <col min="14590" max="14590" width="11" style="1935" customWidth="1"/>
    <col min="14591" max="14591" width="3" style="1935" customWidth="1"/>
    <col min="14592" max="14592" width="11.7109375" style="1935" customWidth="1"/>
    <col min="14593" max="14593" width="2.42578125" style="1935" customWidth="1"/>
    <col min="14594" max="14594" width="11.42578125" style="1935" customWidth="1"/>
    <col min="14595" max="14595" width="3.85546875" style="1935" customWidth="1"/>
    <col min="14596" max="14596" width="11.5703125" style="1935" customWidth="1"/>
    <col min="14597" max="14597" width="1.85546875" style="1935" customWidth="1"/>
    <col min="14598" max="14598" width="13.28515625" style="1935" customWidth="1"/>
    <col min="14599" max="14599" width="3.85546875" style="1935" customWidth="1"/>
    <col min="14600" max="14600" width="14.42578125" style="1935" customWidth="1"/>
    <col min="14601" max="14601" width="4" style="1935" customWidth="1"/>
    <col min="14602" max="14602" width="10.85546875" style="1935" customWidth="1"/>
    <col min="14603" max="14603" width="4.140625" style="1935" customWidth="1"/>
    <col min="14604" max="14604" width="11.85546875" style="1935" customWidth="1"/>
    <col min="14605" max="14605" width="1.85546875" style="1935" customWidth="1"/>
    <col min="14606" max="14606" width="10.7109375" style="1935" customWidth="1"/>
    <col min="14607" max="14615" width="0" style="1935" hidden="1" customWidth="1"/>
    <col min="14616" max="14619" width="16.7109375" style="1935"/>
    <col min="14620" max="14620" width="19.5703125" style="1935" customWidth="1"/>
    <col min="14621" max="14841" width="16.7109375" style="1935"/>
    <col min="14842" max="14842" width="6.42578125" style="1935" customWidth="1"/>
    <col min="14843" max="14843" width="51.42578125" style="1935" customWidth="1"/>
    <col min="14844" max="14844" width="9.85546875" style="1935" customWidth="1"/>
    <col min="14845" max="14845" width="1.28515625" style="1935" customWidth="1"/>
    <col min="14846" max="14846" width="11" style="1935" customWidth="1"/>
    <col min="14847" max="14847" width="3" style="1935" customWidth="1"/>
    <col min="14848" max="14848" width="11.7109375" style="1935" customWidth="1"/>
    <col min="14849" max="14849" width="2.42578125" style="1935" customWidth="1"/>
    <col min="14850" max="14850" width="11.42578125" style="1935" customWidth="1"/>
    <col min="14851" max="14851" width="3.85546875" style="1935" customWidth="1"/>
    <col min="14852" max="14852" width="11.5703125" style="1935" customWidth="1"/>
    <col min="14853" max="14853" width="1.85546875" style="1935" customWidth="1"/>
    <col min="14854" max="14854" width="13.28515625" style="1935" customWidth="1"/>
    <col min="14855" max="14855" width="3.85546875" style="1935" customWidth="1"/>
    <col min="14856" max="14856" width="14.42578125" style="1935" customWidth="1"/>
    <col min="14857" max="14857" width="4" style="1935" customWidth="1"/>
    <col min="14858" max="14858" width="10.85546875" style="1935" customWidth="1"/>
    <col min="14859" max="14859" width="4.140625" style="1935" customWidth="1"/>
    <col min="14860" max="14860" width="11.85546875" style="1935" customWidth="1"/>
    <col min="14861" max="14861" width="1.85546875" style="1935" customWidth="1"/>
    <col min="14862" max="14862" width="10.7109375" style="1935" customWidth="1"/>
    <col min="14863" max="14871" width="0" style="1935" hidden="1" customWidth="1"/>
    <col min="14872" max="14875" width="16.7109375" style="1935"/>
    <col min="14876" max="14876" width="19.5703125" style="1935" customWidth="1"/>
    <col min="14877" max="15097" width="16.7109375" style="1935"/>
    <col min="15098" max="15098" width="6.42578125" style="1935" customWidth="1"/>
    <col min="15099" max="15099" width="51.42578125" style="1935" customWidth="1"/>
    <col min="15100" max="15100" width="9.85546875" style="1935" customWidth="1"/>
    <col min="15101" max="15101" width="1.28515625" style="1935" customWidth="1"/>
    <col min="15102" max="15102" width="11" style="1935" customWidth="1"/>
    <col min="15103" max="15103" width="3" style="1935" customWidth="1"/>
    <col min="15104" max="15104" width="11.7109375" style="1935" customWidth="1"/>
    <col min="15105" max="15105" width="2.42578125" style="1935" customWidth="1"/>
    <col min="15106" max="15106" width="11.42578125" style="1935" customWidth="1"/>
    <col min="15107" max="15107" width="3.85546875" style="1935" customWidth="1"/>
    <col min="15108" max="15108" width="11.5703125" style="1935" customWidth="1"/>
    <col min="15109" max="15109" width="1.85546875" style="1935" customWidth="1"/>
    <col min="15110" max="15110" width="13.28515625" style="1935" customWidth="1"/>
    <col min="15111" max="15111" width="3.85546875" style="1935" customWidth="1"/>
    <col min="15112" max="15112" width="14.42578125" style="1935" customWidth="1"/>
    <col min="15113" max="15113" width="4" style="1935" customWidth="1"/>
    <col min="15114" max="15114" width="10.85546875" style="1935" customWidth="1"/>
    <col min="15115" max="15115" width="4.140625" style="1935" customWidth="1"/>
    <col min="15116" max="15116" width="11.85546875" style="1935" customWidth="1"/>
    <col min="15117" max="15117" width="1.85546875" style="1935" customWidth="1"/>
    <col min="15118" max="15118" width="10.7109375" style="1935" customWidth="1"/>
    <col min="15119" max="15127" width="0" style="1935" hidden="1" customWidth="1"/>
    <col min="15128" max="15131" width="16.7109375" style="1935"/>
    <col min="15132" max="15132" width="19.5703125" style="1935" customWidth="1"/>
    <col min="15133" max="15353" width="16.7109375" style="1935"/>
    <col min="15354" max="15354" width="6.42578125" style="1935" customWidth="1"/>
    <col min="15355" max="15355" width="51.42578125" style="1935" customWidth="1"/>
    <col min="15356" max="15356" width="9.85546875" style="1935" customWidth="1"/>
    <col min="15357" max="15357" width="1.28515625" style="1935" customWidth="1"/>
    <col min="15358" max="15358" width="11" style="1935" customWidth="1"/>
    <col min="15359" max="15359" width="3" style="1935" customWidth="1"/>
    <col min="15360" max="15360" width="11.7109375" style="1935" customWidth="1"/>
    <col min="15361" max="15361" width="2.42578125" style="1935" customWidth="1"/>
    <col min="15362" max="15362" width="11.42578125" style="1935" customWidth="1"/>
    <col min="15363" max="15363" width="3.85546875" style="1935" customWidth="1"/>
    <col min="15364" max="15364" width="11.5703125" style="1935" customWidth="1"/>
    <col min="15365" max="15365" width="1.85546875" style="1935" customWidth="1"/>
    <col min="15366" max="15366" width="13.28515625" style="1935" customWidth="1"/>
    <col min="15367" max="15367" width="3.85546875" style="1935" customWidth="1"/>
    <col min="15368" max="15368" width="14.42578125" style="1935" customWidth="1"/>
    <col min="15369" max="15369" width="4" style="1935" customWidth="1"/>
    <col min="15370" max="15370" width="10.85546875" style="1935" customWidth="1"/>
    <col min="15371" max="15371" width="4.140625" style="1935" customWidth="1"/>
    <col min="15372" max="15372" width="11.85546875" style="1935" customWidth="1"/>
    <col min="15373" max="15373" width="1.85546875" style="1935" customWidth="1"/>
    <col min="15374" max="15374" width="10.7109375" style="1935" customWidth="1"/>
    <col min="15375" max="15383" width="0" style="1935" hidden="1" customWidth="1"/>
    <col min="15384" max="15387" width="16.7109375" style="1935"/>
    <col min="15388" max="15388" width="19.5703125" style="1935" customWidth="1"/>
    <col min="15389" max="15609" width="16.7109375" style="1935"/>
    <col min="15610" max="15610" width="6.42578125" style="1935" customWidth="1"/>
    <col min="15611" max="15611" width="51.42578125" style="1935" customWidth="1"/>
    <col min="15612" max="15612" width="9.85546875" style="1935" customWidth="1"/>
    <col min="15613" max="15613" width="1.28515625" style="1935" customWidth="1"/>
    <col min="15614" max="15614" width="11" style="1935" customWidth="1"/>
    <col min="15615" max="15615" width="3" style="1935" customWidth="1"/>
    <col min="15616" max="15616" width="11.7109375" style="1935" customWidth="1"/>
    <col min="15617" max="15617" width="2.42578125" style="1935" customWidth="1"/>
    <col min="15618" max="15618" width="11.42578125" style="1935" customWidth="1"/>
    <col min="15619" max="15619" width="3.85546875" style="1935" customWidth="1"/>
    <col min="15620" max="15620" width="11.5703125" style="1935" customWidth="1"/>
    <col min="15621" max="15621" width="1.85546875" style="1935" customWidth="1"/>
    <col min="15622" max="15622" width="13.28515625" style="1935" customWidth="1"/>
    <col min="15623" max="15623" width="3.85546875" style="1935" customWidth="1"/>
    <col min="15624" max="15624" width="14.42578125" style="1935" customWidth="1"/>
    <col min="15625" max="15625" width="4" style="1935" customWidth="1"/>
    <col min="15626" max="15626" width="10.85546875" style="1935" customWidth="1"/>
    <col min="15627" max="15627" width="4.140625" style="1935" customWidth="1"/>
    <col min="15628" max="15628" width="11.85546875" style="1935" customWidth="1"/>
    <col min="15629" max="15629" width="1.85546875" style="1935" customWidth="1"/>
    <col min="15630" max="15630" width="10.7109375" style="1935" customWidth="1"/>
    <col min="15631" max="15639" width="0" style="1935" hidden="1" customWidth="1"/>
    <col min="15640" max="15643" width="16.7109375" style="1935"/>
    <col min="15644" max="15644" width="19.5703125" style="1935" customWidth="1"/>
    <col min="15645" max="15865" width="16.7109375" style="1935"/>
    <col min="15866" max="15866" width="6.42578125" style="1935" customWidth="1"/>
    <col min="15867" max="15867" width="51.42578125" style="1935" customWidth="1"/>
    <col min="15868" max="15868" width="9.85546875" style="1935" customWidth="1"/>
    <col min="15869" max="15869" width="1.28515625" style="1935" customWidth="1"/>
    <col min="15870" max="15870" width="11" style="1935" customWidth="1"/>
    <col min="15871" max="15871" width="3" style="1935" customWidth="1"/>
    <col min="15872" max="15872" width="11.7109375" style="1935" customWidth="1"/>
    <col min="15873" max="15873" width="2.42578125" style="1935" customWidth="1"/>
    <col min="15874" max="15874" width="11.42578125" style="1935" customWidth="1"/>
    <col min="15875" max="15875" width="3.85546875" style="1935" customWidth="1"/>
    <col min="15876" max="15876" width="11.5703125" style="1935" customWidth="1"/>
    <col min="15877" max="15877" width="1.85546875" style="1935" customWidth="1"/>
    <col min="15878" max="15878" width="13.28515625" style="1935" customWidth="1"/>
    <col min="15879" max="15879" width="3.85546875" style="1935" customWidth="1"/>
    <col min="15880" max="15880" width="14.42578125" style="1935" customWidth="1"/>
    <col min="15881" max="15881" width="4" style="1935" customWidth="1"/>
    <col min="15882" max="15882" width="10.85546875" style="1935" customWidth="1"/>
    <col min="15883" max="15883" width="4.140625" style="1935" customWidth="1"/>
    <col min="15884" max="15884" width="11.85546875" style="1935" customWidth="1"/>
    <col min="15885" max="15885" width="1.85546875" style="1935" customWidth="1"/>
    <col min="15886" max="15886" width="10.7109375" style="1935" customWidth="1"/>
    <col min="15887" max="15895" width="0" style="1935" hidden="1" customWidth="1"/>
    <col min="15896" max="15899" width="16.7109375" style="1935"/>
    <col min="15900" max="15900" width="19.5703125" style="1935" customWidth="1"/>
    <col min="15901" max="16121" width="16.7109375" style="1935"/>
    <col min="16122" max="16122" width="6.42578125" style="1935" customWidth="1"/>
    <col min="16123" max="16123" width="51.42578125" style="1935" customWidth="1"/>
    <col min="16124" max="16124" width="9.85546875" style="1935" customWidth="1"/>
    <col min="16125" max="16125" width="1.28515625" style="1935" customWidth="1"/>
    <col min="16126" max="16126" width="11" style="1935" customWidth="1"/>
    <col min="16127" max="16127" width="3" style="1935" customWidth="1"/>
    <col min="16128" max="16128" width="11.7109375" style="1935" customWidth="1"/>
    <col min="16129" max="16129" width="2.42578125" style="1935" customWidth="1"/>
    <col min="16130" max="16130" width="11.42578125" style="1935" customWidth="1"/>
    <col min="16131" max="16131" width="3.85546875" style="1935" customWidth="1"/>
    <col min="16132" max="16132" width="11.5703125" style="1935" customWidth="1"/>
    <col min="16133" max="16133" width="1.85546875" style="1935" customWidth="1"/>
    <col min="16134" max="16134" width="13.28515625" style="1935" customWidth="1"/>
    <col min="16135" max="16135" width="3.85546875" style="1935" customWidth="1"/>
    <col min="16136" max="16136" width="14.42578125" style="1935" customWidth="1"/>
    <col min="16137" max="16137" width="4" style="1935" customWidth="1"/>
    <col min="16138" max="16138" width="10.85546875" style="1935" customWidth="1"/>
    <col min="16139" max="16139" width="4.140625" style="1935" customWidth="1"/>
    <col min="16140" max="16140" width="11.85546875" style="1935" customWidth="1"/>
    <col min="16141" max="16141" width="1.85546875" style="1935" customWidth="1"/>
    <col min="16142" max="16142" width="10.7109375" style="1935" customWidth="1"/>
    <col min="16143" max="16151" width="0" style="1935" hidden="1" customWidth="1"/>
    <col min="16152" max="16155" width="16.7109375" style="1935"/>
    <col min="16156" max="16156" width="19.5703125" style="1935" customWidth="1"/>
    <col min="16157" max="16384" width="16.7109375" style="1935"/>
  </cols>
  <sheetData>
    <row r="1" spans="1:30" x14ac:dyDescent="0.25">
      <c r="A1" s="2672" t="s">
        <v>2086</v>
      </c>
      <c r="B1" s="2672"/>
      <c r="C1" s="2672"/>
      <c r="D1" s="2672"/>
      <c r="E1" s="2672"/>
      <c r="F1" s="2672"/>
      <c r="G1" s="2672"/>
      <c r="H1" s="2672"/>
      <c r="I1" s="2672"/>
      <c r="J1" s="2672"/>
      <c r="K1" s="2672"/>
      <c r="L1" s="2672"/>
      <c r="M1" s="2672"/>
      <c r="N1" s="2672"/>
      <c r="O1" s="2672"/>
      <c r="P1" s="2672"/>
      <c r="Q1" s="2672"/>
      <c r="R1" s="2672"/>
      <c r="S1" s="2672"/>
      <c r="T1" s="2672"/>
      <c r="U1" s="2672"/>
      <c r="V1" s="1933"/>
      <c r="W1" s="1933"/>
      <c r="X1" s="1934"/>
      <c r="Y1" s="1934"/>
      <c r="Z1" s="1934"/>
      <c r="AB1" s="1936"/>
      <c r="AC1" s="1937"/>
      <c r="AD1" s="1937"/>
    </row>
    <row r="2" spans="1:30" x14ac:dyDescent="0.25">
      <c r="A2" s="2672" t="s">
        <v>2071</v>
      </c>
      <c r="B2" s="2672"/>
      <c r="C2" s="2672"/>
      <c r="D2" s="2672"/>
      <c r="E2" s="2672"/>
      <c r="F2" s="2672"/>
      <c r="G2" s="2672"/>
      <c r="H2" s="2672"/>
      <c r="I2" s="2672"/>
      <c r="J2" s="2672"/>
      <c r="K2" s="2672"/>
      <c r="L2" s="2672"/>
      <c r="M2" s="2672"/>
      <c r="N2" s="2672"/>
      <c r="O2" s="2672"/>
      <c r="P2" s="2672"/>
      <c r="Q2" s="2672"/>
      <c r="R2" s="2672"/>
      <c r="S2" s="2672"/>
      <c r="T2" s="2672"/>
      <c r="U2" s="2672"/>
      <c r="V2" s="1933"/>
      <c r="W2" s="1933"/>
      <c r="X2" s="1934"/>
      <c r="Y2" s="1934"/>
      <c r="Z2" s="1934"/>
      <c r="AB2" s="1936"/>
      <c r="AC2" s="1937"/>
      <c r="AD2" s="1937"/>
    </row>
    <row r="3" spans="1:30" x14ac:dyDescent="0.25">
      <c r="A3" s="2672" t="s">
        <v>1219</v>
      </c>
      <c r="B3" s="2672"/>
      <c r="C3" s="2672"/>
      <c r="D3" s="2672"/>
      <c r="E3" s="2672"/>
      <c r="F3" s="2672"/>
      <c r="G3" s="2672"/>
      <c r="H3" s="2672"/>
      <c r="I3" s="2672"/>
      <c r="J3" s="2672"/>
      <c r="K3" s="2672"/>
      <c r="L3" s="2672"/>
      <c r="M3" s="2672"/>
      <c r="N3" s="2672"/>
      <c r="O3" s="2672"/>
      <c r="P3" s="2672"/>
      <c r="Q3" s="2672"/>
      <c r="R3" s="2672"/>
      <c r="S3" s="2672"/>
      <c r="T3" s="2672"/>
      <c r="U3" s="2672"/>
      <c r="V3" s="1933"/>
      <c r="W3" s="1933"/>
      <c r="X3" s="1934"/>
      <c r="Y3" s="1934"/>
      <c r="Z3" s="1934"/>
      <c r="AB3" s="1936"/>
      <c r="AC3" s="1937"/>
      <c r="AD3" s="1937"/>
    </row>
    <row r="4" spans="1:30" x14ac:dyDescent="0.25">
      <c r="A4" s="2673" t="s">
        <v>2087</v>
      </c>
      <c r="B4" s="2673"/>
      <c r="C4" s="2673"/>
      <c r="D4" s="2673"/>
      <c r="E4" s="2673"/>
      <c r="F4" s="2673"/>
      <c r="G4" s="2673"/>
      <c r="H4" s="2673"/>
      <c r="I4" s="2673"/>
      <c r="J4" s="2673"/>
      <c r="K4" s="2673"/>
      <c r="L4" s="2673"/>
      <c r="M4" s="2673"/>
      <c r="N4" s="2673"/>
      <c r="O4" s="2673"/>
      <c r="P4" s="2673"/>
      <c r="Q4" s="2673"/>
      <c r="R4" s="2673"/>
      <c r="S4" s="2673"/>
      <c r="T4" s="2673"/>
      <c r="U4" s="2673"/>
      <c r="V4" s="1933"/>
      <c r="W4" s="1933"/>
      <c r="X4" s="1938"/>
      <c r="Y4" s="1938"/>
      <c r="Z4" s="1938"/>
      <c r="AB4" s="1936"/>
      <c r="AC4" s="1937"/>
      <c r="AD4" s="1937"/>
    </row>
    <row r="5" spans="1:30" x14ac:dyDescent="0.25">
      <c r="A5" s="1939"/>
      <c r="B5" s="1939"/>
      <c r="C5" s="1939"/>
      <c r="D5" s="1939"/>
      <c r="E5" s="1939"/>
      <c r="F5" s="1939"/>
      <c r="G5" s="1940"/>
      <c r="H5" s="1941"/>
      <c r="I5" s="1940"/>
      <c r="J5" s="1942"/>
      <c r="K5" s="1940"/>
      <c r="L5" s="1941"/>
      <c r="M5" s="1941"/>
      <c r="N5" s="1941"/>
      <c r="O5" s="1941"/>
      <c r="P5" s="1941"/>
      <c r="Q5" s="1941"/>
      <c r="R5" s="1942"/>
      <c r="S5" s="1941"/>
      <c r="T5" s="1941"/>
      <c r="U5" s="1941"/>
      <c r="V5" s="1943"/>
      <c r="W5" s="1943"/>
      <c r="X5" s="1934"/>
      <c r="Y5" s="1934"/>
      <c r="Z5" s="1934"/>
      <c r="AB5" s="1937"/>
      <c r="AC5" s="1937"/>
      <c r="AD5" s="1937"/>
    </row>
    <row r="6" spans="1:30" ht="15.6" customHeight="1" x14ac:dyDescent="0.25">
      <c r="A6" s="1939"/>
      <c r="B6" s="1939"/>
      <c r="C6" s="1939"/>
      <c r="D6" s="1939"/>
      <c r="E6" s="1939"/>
      <c r="F6" s="1939"/>
      <c r="G6" s="1940"/>
      <c r="H6" s="1941"/>
      <c r="I6" s="1940"/>
      <c r="J6" s="1942"/>
      <c r="K6" s="1940"/>
      <c r="L6" s="1941"/>
      <c r="M6" s="1941"/>
      <c r="N6" s="1941"/>
      <c r="O6" s="1941"/>
      <c r="P6" s="1941"/>
      <c r="Q6" s="1941"/>
      <c r="R6" s="1942"/>
      <c r="S6" s="1941"/>
      <c r="T6" s="1941"/>
      <c r="U6" s="1941"/>
      <c r="V6" s="1933"/>
      <c r="W6" s="1933"/>
      <c r="X6" s="1944"/>
      <c r="Y6" s="1944"/>
      <c r="Z6" s="1944"/>
      <c r="AA6" s="1945" t="s">
        <v>2088</v>
      </c>
      <c r="AB6" s="1946"/>
      <c r="AC6" s="1947"/>
      <c r="AD6" s="1947" t="s">
        <v>1169</v>
      </c>
    </row>
    <row r="7" spans="1:30" ht="19.149999999999999" customHeight="1" x14ac:dyDescent="0.4">
      <c r="A7" s="1942"/>
      <c r="B7" s="1940"/>
      <c r="C7" s="1941"/>
      <c r="D7" s="1941"/>
      <c r="E7" s="1942" t="s">
        <v>2089</v>
      </c>
      <c r="F7" s="1942"/>
      <c r="G7" s="2674" t="s">
        <v>2090</v>
      </c>
      <c r="H7" s="2674"/>
      <c r="I7" s="2674"/>
      <c r="J7" s="1942"/>
      <c r="K7" s="2674" t="s">
        <v>2091</v>
      </c>
      <c r="L7" s="2674"/>
      <c r="M7" s="2674"/>
      <c r="N7" s="2674"/>
      <c r="O7" s="2674"/>
      <c r="P7" s="1941"/>
      <c r="Q7" s="1941"/>
      <c r="R7" s="1942"/>
      <c r="S7" s="1941"/>
      <c r="T7" s="1941"/>
      <c r="U7" s="1941"/>
      <c r="V7" s="2669" t="s">
        <v>2092</v>
      </c>
      <c r="W7" s="2669"/>
      <c r="X7" s="2669"/>
      <c r="Y7" s="2669"/>
      <c r="Z7" s="2669"/>
      <c r="AA7" s="1948" t="s">
        <v>2093</v>
      </c>
      <c r="AB7" s="1946"/>
      <c r="AC7" s="1947"/>
      <c r="AD7" s="1947" t="s">
        <v>1169</v>
      </c>
    </row>
    <row r="8" spans="1:30" ht="16.5" customHeight="1" x14ac:dyDescent="0.4">
      <c r="A8" s="1949"/>
      <c r="B8" s="1950"/>
      <c r="C8" s="1949" t="s">
        <v>1264</v>
      </c>
      <c r="D8" s="1949"/>
      <c r="E8" s="1949" t="s">
        <v>2094</v>
      </c>
      <c r="F8" s="1949"/>
      <c r="G8" s="1949" t="s">
        <v>2095</v>
      </c>
      <c r="H8" s="1937"/>
      <c r="I8" s="1951" t="s">
        <v>2096</v>
      </c>
      <c r="J8" s="1949"/>
      <c r="K8" s="1949" t="s">
        <v>2095</v>
      </c>
      <c r="L8" s="1937"/>
      <c r="M8" s="1949" t="str">
        <f>+I8</f>
        <v>7/01/18 -</v>
      </c>
      <c r="N8" s="1949"/>
      <c r="O8" s="1949" t="s">
        <v>2097</v>
      </c>
      <c r="P8" s="1937"/>
      <c r="Q8" s="1949" t="s">
        <v>1261</v>
      </c>
      <c r="R8" s="1949"/>
      <c r="S8" s="1949" t="s">
        <v>2098</v>
      </c>
      <c r="T8" s="1937"/>
      <c r="U8" s="1950" t="s">
        <v>1169</v>
      </c>
      <c r="V8" s="2670">
        <v>41455</v>
      </c>
      <c r="W8" s="2670"/>
      <c r="X8" s="2670"/>
      <c r="Y8" s="1952">
        <v>41090</v>
      </c>
      <c r="Z8" s="1952">
        <v>40724</v>
      </c>
      <c r="AA8" s="1953"/>
      <c r="AB8" s="1954"/>
      <c r="AC8" s="1947"/>
      <c r="AD8" s="1947"/>
    </row>
    <row r="9" spans="1:30" ht="14.25" customHeight="1" x14ac:dyDescent="0.25">
      <c r="A9" s="1950" t="s">
        <v>2099</v>
      </c>
      <c r="B9" s="1950"/>
      <c r="C9" s="1949" t="s">
        <v>2100</v>
      </c>
      <c r="D9" s="1949"/>
      <c r="E9" s="1949" t="s">
        <v>2100</v>
      </c>
      <c r="F9" s="1949"/>
      <c r="G9" s="1955" t="s">
        <v>2101</v>
      </c>
      <c r="H9" s="1937"/>
      <c r="I9" s="1955" t="s">
        <v>2102</v>
      </c>
      <c r="J9" s="1949"/>
      <c r="K9" s="1956" t="str">
        <f>+G9</f>
        <v>6/30/18</v>
      </c>
      <c r="L9" s="1937"/>
      <c r="M9" s="1956" t="str">
        <f>+I9</f>
        <v>6/30/19</v>
      </c>
      <c r="N9" s="1956"/>
      <c r="O9" s="1956" t="s">
        <v>2103</v>
      </c>
      <c r="P9" s="1937"/>
      <c r="Q9" s="1949" t="s">
        <v>2104</v>
      </c>
      <c r="R9" s="1949"/>
      <c r="S9" s="1949" t="s">
        <v>1257</v>
      </c>
      <c r="T9" s="1937"/>
      <c r="U9" s="1949" t="s">
        <v>30</v>
      </c>
      <c r="V9" s="1957" t="s">
        <v>2105</v>
      </c>
      <c r="W9" s="1958" t="s">
        <v>2106</v>
      </c>
      <c r="X9" s="1959" t="s">
        <v>2107</v>
      </c>
      <c r="Y9" s="1960" t="s">
        <v>2107</v>
      </c>
      <c r="Z9" s="1960" t="s">
        <v>2107</v>
      </c>
      <c r="AA9" s="1945"/>
      <c r="AB9" s="1961"/>
      <c r="AC9" s="1962" t="s">
        <v>1169</v>
      </c>
      <c r="AD9" s="1947"/>
    </row>
    <row r="10" spans="1:30" ht="16.5" customHeight="1" x14ac:dyDescent="0.4">
      <c r="A10" s="1964" t="s">
        <v>2108</v>
      </c>
      <c r="B10" s="1937"/>
      <c r="C10" s="1965" t="s">
        <v>1255</v>
      </c>
      <c r="D10" s="1965"/>
      <c r="E10" s="1965" t="s">
        <v>1254</v>
      </c>
      <c r="F10" s="1966"/>
      <c r="G10" s="1965" t="s">
        <v>1253</v>
      </c>
      <c r="H10" s="1965"/>
      <c r="I10" s="1965" t="s">
        <v>1252</v>
      </c>
      <c r="J10" s="1965"/>
      <c r="K10" s="1965" t="s">
        <v>1251</v>
      </c>
      <c r="L10" s="1965"/>
      <c r="M10" s="1965" t="s">
        <v>1250</v>
      </c>
      <c r="N10" s="1965"/>
      <c r="O10" s="1965" t="s">
        <v>1266</v>
      </c>
      <c r="P10" s="1965"/>
      <c r="Q10" s="1965" t="s">
        <v>1249</v>
      </c>
      <c r="R10" s="1965"/>
      <c r="S10" s="1965" t="s">
        <v>1248</v>
      </c>
      <c r="T10" s="1965"/>
      <c r="U10" s="1965" t="s">
        <v>1247</v>
      </c>
      <c r="V10" s="1967" t="s">
        <v>2109</v>
      </c>
      <c r="W10" s="1968" t="s">
        <v>2110</v>
      </c>
      <c r="X10" s="1969" t="s">
        <v>2111</v>
      </c>
      <c r="Y10" s="1970" t="s">
        <v>2111</v>
      </c>
      <c r="Z10" s="1970" t="s">
        <v>2111</v>
      </c>
      <c r="AA10" s="1971">
        <v>41455</v>
      </c>
      <c r="AB10" s="1972"/>
      <c r="AC10" s="1947"/>
      <c r="AD10" s="1947"/>
    </row>
    <row r="11" spans="1:30" x14ac:dyDescent="0.25">
      <c r="A11" s="1964"/>
      <c r="B11" s="1937"/>
      <c r="C11" s="1974"/>
      <c r="D11" s="1949"/>
      <c r="E11" s="1974"/>
      <c r="F11" s="1949"/>
      <c r="G11" s="1975"/>
      <c r="H11" s="1976"/>
      <c r="I11" s="1975"/>
      <c r="J11" s="1977"/>
      <c r="K11" s="1975"/>
      <c r="L11" s="1976"/>
      <c r="M11" s="1975"/>
      <c r="N11" s="1975"/>
      <c r="O11" s="1975"/>
      <c r="P11" s="1976"/>
      <c r="Q11" s="1975"/>
      <c r="R11" s="1977"/>
      <c r="S11" s="1975"/>
      <c r="T11" s="1976"/>
      <c r="U11" s="1975"/>
      <c r="V11" s="1973"/>
      <c r="W11" s="1973"/>
      <c r="X11" s="1944"/>
      <c r="Y11" s="1944"/>
      <c r="Z11" s="1944"/>
      <c r="AA11" s="1944"/>
      <c r="AB11" s="1972"/>
      <c r="AC11" s="1947"/>
      <c r="AD11" s="1947"/>
    </row>
    <row r="12" spans="1:30" x14ac:dyDescent="0.25">
      <c r="A12" s="1978" t="s">
        <v>2112</v>
      </c>
      <c r="B12" s="1934"/>
      <c r="C12" s="1979"/>
      <c r="D12" s="1979"/>
      <c r="E12" s="1980"/>
      <c r="F12" s="1979"/>
      <c r="G12" s="1981" t="s">
        <v>1169</v>
      </c>
      <c r="H12" s="1981"/>
      <c r="I12" s="1981"/>
      <c r="J12" s="1982"/>
      <c r="K12" s="1981"/>
      <c r="L12" s="1981"/>
      <c r="M12" s="1983"/>
      <c r="N12" s="1983"/>
      <c r="O12" s="1983"/>
      <c r="P12" s="1981"/>
      <c r="Q12" s="1981"/>
      <c r="R12" s="1982"/>
      <c r="S12" s="1981"/>
      <c r="T12" s="1981"/>
      <c r="U12" s="1981" t="s">
        <v>1169</v>
      </c>
      <c r="V12" s="1973"/>
      <c r="W12" s="1973"/>
      <c r="X12" s="1944"/>
      <c r="Y12" s="1984"/>
      <c r="Z12" s="1984"/>
      <c r="AA12" s="1944"/>
      <c r="AB12" s="1985"/>
      <c r="AC12" s="1947"/>
      <c r="AD12" s="1947"/>
    </row>
    <row r="13" spans="1:30" x14ac:dyDescent="0.25">
      <c r="A13" s="1978" t="s">
        <v>2113</v>
      </c>
      <c r="B13" s="1934"/>
      <c r="C13" s="1979"/>
      <c r="D13" s="1979"/>
      <c r="E13" s="1980"/>
      <c r="F13" s="1979"/>
      <c r="G13" s="1981"/>
      <c r="H13" s="1981"/>
      <c r="I13" s="1981"/>
      <c r="J13" s="1982"/>
      <c r="K13" s="1981"/>
      <c r="L13" s="1981"/>
      <c r="M13" s="1981"/>
      <c r="N13" s="1981"/>
      <c r="O13" s="1981"/>
      <c r="P13" s="1981"/>
      <c r="Q13" s="1981"/>
      <c r="R13" s="1982"/>
      <c r="S13" s="1981"/>
      <c r="T13" s="1981"/>
      <c r="U13" s="1981" t="s">
        <v>1169</v>
      </c>
      <c r="V13" s="1973"/>
      <c r="W13" s="1973"/>
      <c r="X13" s="1944"/>
      <c r="Y13" s="1984"/>
      <c r="Z13" s="1984"/>
      <c r="AA13" s="1944"/>
      <c r="AB13" s="1985"/>
      <c r="AC13" s="1947"/>
      <c r="AD13" s="1947"/>
    </row>
    <row r="14" spans="1:30" x14ac:dyDescent="0.25">
      <c r="A14" s="1986" t="s">
        <v>2114</v>
      </c>
      <c r="B14" s="1934"/>
      <c r="C14" s="1979"/>
      <c r="D14" s="1979"/>
      <c r="E14" s="1980"/>
      <c r="F14" s="1979"/>
      <c r="G14" s="1981" t="s">
        <v>1169</v>
      </c>
      <c r="H14" s="1981"/>
      <c r="I14" s="1981" t="s">
        <v>1169</v>
      </c>
      <c r="J14" s="1982"/>
      <c r="K14" s="1981"/>
      <c r="L14" s="1981"/>
      <c r="M14" s="1981"/>
      <c r="N14" s="1981"/>
      <c r="O14" s="1981"/>
      <c r="P14" s="1981"/>
      <c r="Q14" s="1981"/>
      <c r="R14" s="1982"/>
      <c r="S14" s="1981"/>
      <c r="T14" s="1981"/>
      <c r="U14" s="1981"/>
      <c r="V14" s="1987"/>
      <c r="W14" s="1987"/>
      <c r="X14" s="1944"/>
      <c r="Y14" s="1984"/>
      <c r="Z14" s="1984"/>
      <c r="AA14" s="1944"/>
      <c r="AB14" s="1988"/>
      <c r="AC14" s="1947" t="s">
        <v>1169</v>
      </c>
      <c r="AD14" s="1947"/>
    </row>
    <row r="15" spans="1:30" x14ac:dyDescent="0.25">
      <c r="A15" s="1989"/>
      <c r="B15" s="1980"/>
      <c r="C15" s="1979"/>
      <c r="D15" s="1979"/>
      <c r="E15" s="1980"/>
      <c r="F15" s="1979"/>
      <c r="G15" s="1981"/>
      <c r="H15" s="1981"/>
      <c r="I15" s="1981"/>
      <c r="J15" s="1982"/>
      <c r="K15" s="1981"/>
      <c r="L15" s="1981"/>
      <c r="M15" s="1981"/>
      <c r="N15" s="1981"/>
      <c r="O15" s="1981"/>
      <c r="P15" s="1981"/>
      <c r="Q15" s="1981"/>
      <c r="R15" s="1982"/>
      <c r="S15" s="1983"/>
      <c r="T15" s="1981"/>
      <c r="U15" s="1981"/>
      <c r="V15" s="1987"/>
      <c r="W15" s="1987"/>
      <c r="X15" s="1944"/>
      <c r="Y15" s="1984"/>
      <c r="Z15" s="1984"/>
      <c r="AA15" s="1944"/>
      <c r="AB15" s="1988"/>
      <c r="AC15" s="1947"/>
      <c r="AD15" s="1947"/>
    </row>
    <row r="16" spans="1:30" x14ac:dyDescent="0.25">
      <c r="A16" s="1989"/>
      <c r="B16" s="1980" t="s">
        <v>2115</v>
      </c>
      <c r="C16" s="1990">
        <v>10.555</v>
      </c>
      <c r="D16" s="1979"/>
      <c r="E16" s="1991" t="s">
        <v>2116</v>
      </c>
      <c r="F16" s="1991"/>
      <c r="G16" s="1983">
        <v>16613</v>
      </c>
      <c r="H16" s="1983"/>
      <c r="I16" s="1983">
        <v>4085</v>
      </c>
      <c r="J16" s="1992"/>
      <c r="K16" s="1983">
        <v>16613</v>
      </c>
      <c r="L16" s="1983"/>
      <c r="M16" s="1983">
        <v>4085</v>
      </c>
      <c r="N16" s="1993" t="s">
        <v>2117</v>
      </c>
      <c r="O16" s="1983"/>
      <c r="P16" s="1993"/>
      <c r="Q16" s="1994"/>
      <c r="R16" s="1992"/>
      <c r="S16" s="1995">
        <f>K16+M16+Q16</f>
        <v>20698</v>
      </c>
      <c r="T16" s="1983"/>
      <c r="U16" s="1996" t="s">
        <v>2118</v>
      </c>
      <c r="V16" s="1963" t="s">
        <v>2119</v>
      </c>
      <c r="W16" s="1987" t="s">
        <v>2120</v>
      </c>
      <c r="X16" s="1944"/>
      <c r="Y16" s="1984" t="s">
        <v>2121</v>
      </c>
      <c r="Z16" s="1984" t="s">
        <v>2121</v>
      </c>
      <c r="AA16" s="1944"/>
      <c r="AB16" s="1988"/>
      <c r="AC16" s="1947"/>
      <c r="AD16" s="1947"/>
    </row>
    <row r="17" spans="1:30" x14ac:dyDescent="0.25">
      <c r="A17" s="1998" t="s">
        <v>1169</v>
      </c>
      <c r="B17" s="1980" t="s">
        <v>2115</v>
      </c>
      <c r="C17" s="1990">
        <v>10.555</v>
      </c>
      <c r="D17" s="1980"/>
      <c r="E17" s="1991" t="s">
        <v>2239</v>
      </c>
      <c r="F17" s="1991"/>
      <c r="G17" s="1999" t="s">
        <v>1169</v>
      </c>
      <c r="H17" s="2000"/>
      <c r="I17" s="1999">
        <v>17321</v>
      </c>
      <c r="J17" s="1999"/>
      <c r="K17" s="1999" t="s">
        <v>1169</v>
      </c>
      <c r="L17" s="1999"/>
      <c r="M17" s="1999">
        <v>17421</v>
      </c>
      <c r="N17" s="1993" t="s">
        <v>2117</v>
      </c>
      <c r="O17" s="1999"/>
      <c r="P17" s="1993"/>
      <c r="Q17" s="1999"/>
      <c r="R17" s="1993" t="s">
        <v>2122</v>
      </c>
      <c r="S17" s="1999">
        <f>K17+M17+Q17</f>
        <v>17421</v>
      </c>
      <c r="T17" s="2000"/>
      <c r="U17" s="1996" t="s">
        <v>2118</v>
      </c>
      <c r="V17" s="1963" t="s">
        <v>2119</v>
      </c>
      <c r="W17" s="1987" t="s">
        <v>2120</v>
      </c>
      <c r="X17" s="1944"/>
      <c r="Y17" s="1984" t="s">
        <v>2121</v>
      </c>
      <c r="Z17" s="1984" t="s">
        <v>2121</v>
      </c>
      <c r="AA17" s="1944"/>
      <c r="AB17" s="1988"/>
      <c r="AC17" s="1947"/>
      <c r="AD17" s="1947"/>
    </row>
    <row r="18" spans="1:30" x14ac:dyDescent="0.25">
      <c r="A18" s="1998"/>
      <c r="B18" s="2001" t="s">
        <v>2123</v>
      </c>
      <c r="C18" s="1990"/>
      <c r="D18" s="1980"/>
      <c r="E18" s="1991"/>
      <c r="F18" s="1991"/>
      <c r="G18" s="1999"/>
      <c r="H18" s="2000"/>
      <c r="I18" s="1999"/>
      <c r="J18" s="1999"/>
      <c r="K18" s="1999"/>
      <c r="L18" s="1999"/>
      <c r="M18" s="1999"/>
      <c r="N18" s="1993"/>
      <c r="O18" s="1999">
        <f>SUM(M16:M17)</f>
        <v>21506</v>
      </c>
      <c r="P18" s="1993"/>
      <c r="Q18" s="1999"/>
      <c r="R18" s="1993"/>
      <c r="S18" s="1999"/>
      <c r="T18" s="2000"/>
      <c r="U18" s="1996"/>
      <c r="V18" s="1963"/>
      <c r="W18" s="1987"/>
      <c r="X18" s="1944"/>
      <c r="Y18" s="1984"/>
      <c r="Z18" s="1984"/>
      <c r="AA18" s="1944"/>
      <c r="AB18" s="1988"/>
      <c r="AC18" s="1947"/>
      <c r="AD18" s="1947"/>
    </row>
    <row r="19" spans="1:30" ht="17.25" x14ac:dyDescent="0.25">
      <c r="A19" s="1998"/>
      <c r="B19" s="2002"/>
      <c r="C19" s="2003"/>
      <c r="D19" s="1980"/>
      <c r="E19" s="1991"/>
      <c r="F19" s="1991"/>
      <c r="G19" s="2004"/>
      <c r="H19" s="2000"/>
      <c r="I19" s="2004"/>
      <c r="J19" s="2004"/>
      <c r="K19" s="2005"/>
      <c r="L19" s="2004"/>
      <c r="M19" s="2004"/>
      <c r="N19" s="2000"/>
      <c r="O19" s="2004"/>
      <c r="P19" s="2000"/>
      <c r="Q19" s="2004"/>
      <c r="R19" s="2000"/>
      <c r="S19" s="2004"/>
      <c r="T19" s="2000"/>
      <c r="U19" s="1996"/>
      <c r="V19" s="1987"/>
      <c r="W19" s="1987"/>
      <c r="X19" s="1944"/>
      <c r="Y19" s="1984"/>
      <c r="Z19" s="1984"/>
      <c r="AA19" s="1944"/>
      <c r="AB19" s="1988"/>
      <c r="AC19" s="1947"/>
      <c r="AD19" s="1947"/>
    </row>
    <row r="20" spans="1:30" ht="17.25" x14ac:dyDescent="0.25">
      <c r="A20" s="1998"/>
      <c r="B20" s="2008" t="s">
        <v>2124</v>
      </c>
      <c r="C20" s="2009">
        <v>10.553000000000001</v>
      </c>
      <c r="D20" s="1980"/>
      <c r="E20" s="1991" t="s">
        <v>2125</v>
      </c>
      <c r="F20" s="1991"/>
      <c r="G20" s="1999">
        <v>10262</v>
      </c>
      <c r="H20" s="2000"/>
      <c r="I20" s="1999">
        <v>2345</v>
      </c>
      <c r="J20" s="1999"/>
      <c r="K20" s="1999">
        <v>10262</v>
      </c>
      <c r="L20" s="2000"/>
      <c r="M20" s="1999">
        <v>2345</v>
      </c>
      <c r="N20" s="1993" t="s">
        <v>2117</v>
      </c>
      <c r="O20" s="1999"/>
      <c r="P20" s="1993"/>
      <c r="Q20" s="2004"/>
      <c r="R20" s="2000"/>
      <c r="S20" s="1999">
        <f>K20+M20+Q20</f>
        <v>12607</v>
      </c>
      <c r="T20" s="2000"/>
      <c r="U20" s="1996" t="s">
        <v>2118</v>
      </c>
      <c r="V20" s="1963" t="s">
        <v>2119</v>
      </c>
      <c r="W20" s="1987" t="s">
        <v>2120</v>
      </c>
      <c r="X20" s="1944"/>
      <c r="Y20" s="1984" t="s">
        <v>2121</v>
      </c>
      <c r="Z20" s="1984" t="s">
        <v>2121</v>
      </c>
      <c r="AA20" s="1944"/>
      <c r="AB20" s="1988"/>
      <c r="AC20" s="1947"/>
      <c r="AD20" s="1947"/>
    </row>
    <row r="21" spans="1:30" ht="17.25" x14ac:dyDescent="0.25">
      <c r="A21" s="1998"/>
      <c r="B21" s="2008" t="s">
        <v>2124</v>
      </c>
      <c r="C21" s="2009">
        <v>10.553000000000001</v>
      </c>
      <c r="D21" s="1980"/>
      <c r="E21" s="1991" t="s">
        <v>2126</v>
      </c>
      <c r="F21" s="1991"/>
      <c r="G21" s="2004"/>
      <c r="H21" s="2000"/>
      <c r="I21" s="1999">
        <v>10392</v>
      </c>
      <c r="J21" s="1999"/>
      <c r="K21" s="2010"/>
      <c r="L21" s="1999"/>
      <c r="M21" s="1999">
        <v>10392</v>
      </c>
      <c r="N21" s="1993" t="s">
        <v>2117</v>
      </c>
      <c r="O21" s="1999"/>
      <c r="P21" s="1993"/>
      <c r="Q21" s="2004"/>
      <c r="R21" s="1993" t="s">
        <v>2122</v>
      </c>
      <c r="S21" s="1999">
        <f>K21+M21+Q21</f>
        <v>10392</v>
      </c>
      <c r="T21" s="2000"/>
      <c r="U21" s="1996" t="s">
        <v>2118</v>
      </c>
      <c r="V21" s="1963" t="s">
        <v>2119</v>
      </c>
      <c r="W21" s="1987" t="s">
        <v>2120</v>
      </c>
      <c r="X21" s="1944"/>
      <c r="Y21" s="1984" t="s">
        <v>2121</v>
      </c>
      <c r="Z21" s="1984" t="s">
        <v>2121</v>
      </c>
      <c r="AA21" s="1944"/>
      <c r="AB21" s="1988"/>
      <c r="AC21" s="1947"/>
      <c r="AD21" s="1947"/>
    </row>
    <row r="22" spans="1:30" ht="17.25" x14ac:dyDescent="0.25">
      <c r="A22" s="1998"/>
      <c r="B22" s="2001" t="s">
        <v>2123</v>
      </c>
      <c r="C22" s="2009"/>
      <c r="D22" s="1980"/>
      <c r="E22" s="1991"/>
      <c r="F22" s="1991"/>
      <c r="G22" s="2004"/>
      <c r="H22" s="2000"/>
      <c r="I22" s="1999"/>
      <c r="J22" s="1999"/>
      <c r="K22" s="2010"/>
      <c r="L22" s="1999"/>
      <c r="M22" s="1999"/>
      <c r="N22" s="1993"/>
      <c r="O22" s="1999">
        <f>SUM(M20:M21)</f>
        <v>12737</v>
      </c>
      <c r="P22" s="1993"/>
      <c r="Q22" s="2004"/>
      <c r="R22" s="1993"/>
      <c r="S22" s="1999"/>
      <c r="T22" s="2000"/>
      <c r="U22" s="1996"/>
      <c r="V22" s="1963"/>
      <c r="W22" s="1987"/>
      <c r="X22" s="1944"/>
      <c r="Y22" s="1984"/>
      <c r="Z22" s="1984"/>
      <c r="AA22" s="1944"/>
      <c r="AB22" s="1988"/>
      <c r="AC22" s="1947"/>
      <c r="AD22" s="1947"/>
    </row>
    <row r="23" spans="1:30" ht="17.25" x14ac:dyDescent="0.25">
      <c r="A23" s="1998"/>
      <c r="B23" s="2002"/>
      <c r="C23" s="2003"/>
      <c r="D23" s="1980"/>
      <c r="E23" s="1991"/>
      <c r="F23" s="1991"/>
      <c r="G23" s="2004"/>
      <c r="H23" s="2000"/>
      <c r="I23" s="2004"/>
      <c r="J23" s="2004"/>
      <c r="K23" s="2005"/>
      <c r="L23" s="2004"/>
      <c r="M23" s="2004"/>
      <c r="N23" s="2000"/>
      <c r="O23" s="2004"/>
      <c r="P23" s="2000"/>
      <c r="Q23" s="2004"/>
      <c r="R23" s="2000"/>
      <c r="S23" s="2004"/>
      <c r="T23" s="2000"/>
      <c r="U23" s="1996"/>
      <c r="V23" s="1987"/>
      <c r="W23" s="1987"/>
      <c r="X23" s="1944"/>
      <c r="Y23" s="1984"/>
      <c r="Z23" s="1984"/>
      <c r="AA23" s="1944"/>
      <c r="AB23" s="1988"/>
      <c r="AC23" s="1947"/>
      <c r="AD23" s="1947"/>
    </row>
    <row r="24" spans="1:30" ht="17.25" hidden="1" x14ac:dyDescent="0.25">
      <c r="A24" s="1998"/>
      <c r="B24" s="2002" t="s">
        <v>2127</v>
      </c>
      <c r="C24" s="1990">
        <v>10.555</v>
      </c>
      <c r="D24" s="1980"/>
      <c r="E24" s="1991" t="s">
        <v>2128</v>
      </c>
      <c r="F24" s="1991"/>
      <c r="G24" s="2004"/>
      <c r="H24" s="2000"/>
      <c r="I24" s="2004"/>
      <c r="J24" s="2004"/>
      <c r="K24" s="2010">
        <v>0</v>
      </c>
      <c r="L24" s="2004"/>
      <c r="M24" s="1999"/>
      <c r="N24" s="1993"/>
      <c r="O24" s="1999"/>
      <c r="P24" s="1993"/>
      <c r="Q24" s="2004"/>
      <c r="R24" s="2000"/>
      <c r="S24" s="1999">
        <f>K24+M24+Q24</f>
        <v>0</v>
      </c>
      <c r="T24" s="2000"/>
      <c r="U24" s="2011" t="s">
        <v>2118</v>
      </c>
      <c r="V24" s="1987"/>
      <c r="W24" s="1987" t="s">
        <v>2120</v>
      </c>
      <c r="X24" s="1944"/>
      <c r="Y24" s="1984" t="s">
        <v>2121</v>
      </c>
      <c r="Z24" s="1984" t="s">
        <v>2121</v>
      </c>
      <c r="AA24" s="1944"/>
      <c r="AB24" s="1988"/>
      <c r="AC24" s="1947"/>
      <c r="AD24" s="1947"/>
    </row>
    <row r="25" spans="1:30" x14ac:dyDescent="0.25">
      <c r="A25" s="1998"/>
      <c r="B25" s="2002" t="s">
        <v>2127</v>
      </c>
      <c r="C25" s="1990">
        <v>10.555</v>
      </c>
      <c r="D25" s="1980"/>
      <c r="E25" s="1991" t="s">
        <v>2129</v>
      </c>
      <c r="F25" s="1991"/>
      <c r="G25" s="2012"/>
      <c r="H25" s="2000"/>
      <c r="I25" s="2012"/>
      <c r="J25" s="1999"/>
      <c r="K25" s="2012"/>
      <c r="L25" s="1999"/>
      <c r="M25" s="1999">
        <v>2742</v>
      </c>
      <c r="N25" s="1993" t="s">
        <v>2117</v>
      </c>
      <c r="O25" s="1999"/>
      <c r="P25" s="1993"/>
      <c r="Q25" s="2012">
        <v>0</v>
      </c>
      <c r="R25" s="2000"/>
      <c r="S25" s="1999">
        <f>K25+M25+Q25</f>
        <v>2742</v>
      </c>
      <c r="T25" s="2000"/>
      <c r="U25" s="2011" t="s">
        <v>2118</v>
      </c>
      <c r="V25" s="1987"/>
      <c r="W25" s="1987" t="s">
        <v>2120</v>
      </c>
      <c r="X25" s="1944"/>
      <c r="Y25" s="1984" t="s">
        <v>2121</v>
      </c>
      <c r="Z25" s="1984" t="s">
        <v>2121</v>
      </c>
      <c r="AA25" s="1944"/>
      <c r="AB25" s="1988"/>
      <c r="AC25" s="1947"/>
      <c r="AD25" s="1947"/>
    </row>
    <row r="26" spans="1:30" ht="17.25" x14ac:dyDescent="0.25">
      <c r="A26" s="1998"/>
      <c r="B26" s="2001" t="s">
        <v>2123</v>
      </c>
      <c r="C26" s="2003"/>
      <c r="D26" s="1980"/>
      <c r="E26" s="1991"/>
      <c r="F26" s="1991"/>
      <c r="G26" s="2013">
        <v>0</v>
      </c>
      <c r="H26" s="2000"/>
      <c r="I26" s="2013">
        <v>0</v>
      </c>
      <c r="J26" s="2004"/>
      <c r="K26" s="2013">
        <v>0</v>
      </c>
      <c r="L26" s="2004"/>
      <c r="M26" s="2013">
        <v>0</v>
      </c>
      <c r="N26" s="1993"/>
      <c r="O26" s="2004">
        <f>M25</f>
        <v>2742</v>
      </c>
      <c r="P26" s="1993"/>
      <c r="Q26" s="2013">
        <v>0</v>
      </c>
      <c r="R26" s="2000"/>
      <c r="S26" s="2013">
        <v>0</v>
      </c>
      <c r="T26" s="2000"/>
      <c r="U26" s="1996"/>
      <c r="V26" s="1987"/>
      <c r="W26" s="1987"/>
      <c r="X26" s="1944"/>
      <c r="Y26" s="1984"/>
      <c r="Z26" s="1984"/>
      <c r="AA26" s="1944"/>
      <c r="AB26" s="1988"/>
      <c r="AC26" s="1947"/>
      <c r="AD26" s="1947"/>
    </row>
    <row r="27" spans="1:30" hidden="1" x14ac:dyDescent="0.25">
      <c r="A27" s="1998"/>
      <c r="B27" s="2002" t="s">
        <v>2130</v>
      </c>
      <c r="C27" s="1990">
        <v>10.555</v>
      </c>
      <c r="D27" s="1980"/>
      <c r="E27" s="1991" t="s">
        <v>2131</v>
      </c>
      <c r="F27" s="2014"/>
      <c r="G27" s="2015"/>
      <c r="H27" s="2015"/>
      <c r="I27" s="2015">
        <v>0</v>
      </c>
      <c r="J27" s="2016"/>
      <c r="K27" s="2005"/>
      <c r="L27" s="2015"/>
      <c r="M27" s="2015"/>
      <c r="N27" s="2015"/>
      <c r="O27" s="2015"/>
      <c r="P27" s="2015"/>
      <c r="Q27" s="2015"/>
      <c r="R27" s="2016"/>
      <c r="S27" s="1995">
        <f>K27+M27+Q27</f>
        <v>0</v>
      </c>
      <c r="T27" s="2017"/>
      <c r="U27" s="2011" t="s">
        <v>2118</v>
      </c>
      <c r="V27" s="1987"/>
      <c r="W27" s="1987" t="s">
        <v>2120</v>
      </c>
      <c r="X27" s="1944"/>
      <c r="Y27" s="1984" t="s">
        <v>2121</v>
      </c>
      <c r="Z27" s="1984" t="s">
        <v>2121</v>
      </c>
      <c r="AA27" s="1944"/>
      <c r="AB27" s="1988"/>
      <c r="AC27" s="1947"/>
      <c r="AD27" s="1947"/>
    </row>
    <row r="28" spans="1:30" ht="17.25" hidden="1" x14ac:dyDescent="0.25">
      <c r="A28" s="1998"/>
      <c r="B28" s="2002" t="s">
        <v>2130</v>
      </c>
      <c r="C28" s="1990">
        <v>10.555</v>
      </c>
      <c r="D28" s="1980"/>
      <c r="E28" s="1991" t="s">
        <v>2132</v>
      </c>
      <c r="F28" s="2014"/>
      <c r="G28" s="2019">
        <v>0</v>
      </c>
      <c r="H28" s="2020"/>
      <c r="I28" s="2019">
        <v>0</v>
      </c>
      <c r="J28" s="2021"/>
      <c r="K28" s="2013">
        <v>0</v>
      </c>
      <c r="L28" s="2022"/>
      <c r="M28" s="2013">
        <v>0</v>
      </c>
      <c r="N28" s="2013"/>
      <c r="O28" s="2013">
        <v>0</v>
      </c>
      <c r="P28" s="1993"/>
      <c r="Q28" s="2013">
        <v>0</v>
      </c>
      <c r="R28" s="2023"/>
      <c r="S28" s="2024">
        <f>K28+M28+Q28</f>
        <v>0</v>
      </c>
      <c r="T28" s="2017"/>
      <c r="U28" s="2011" t="s">
        <v>2118</v>
      </c>
      <c r="V28" s="1987"/>
      <c r="W28" s="1987" t="s">
        <v>2120</v>
      </c>
      <c r="X28" s="1944"/>
      <c r="Y28" s="1984" t="s">
        <v>2121</v>
      </c>
      <c r="Z28" s="1984" t="s">
        <v>2121</v>
      </c>
      <c r="AA28" s="1944"/>
      <c r="AB28" s="1988"/>
      <c r="AC28" s="1947"/>
      <c r="AD28" s="1947"/>
    </row>
    <row r="29" spans="1:30" ht="17.25" hidden="1" x14ac:dyDescent="0.25">
      <c r="A29" s="1998"/>
      <c r="B29" s="2025"/>
      <c r="C29" s="1990"/>
      <c r="D29" s="2026"/>
      <c r="E29" s="2014"/>
      <c r="F29" s="2014"/>
      <c r="G29" s="2019"/>
      <c r="H29" s="2020"/>
      <c r="I29" s="2019"/>
      <c r="J29" s="2021"/>
      <c r="K29" s="2019"/>
      <c r="L29" s="2022"/>
      <c r="M29" s="2013"/>
      <c r="N29" s="2013"/>
      <c r="O29" s="2013"/>
      <c r="P29" s="2022"/>
      <c r="Q29" s="2013"/>
      <c r="R29" s="2023"/>
      <c r="S29" s="2013"/>
      <c r="T29" s="2017"/>
      <c r="U29" s="2011"/>
      <c r="V29" s="1987"/>
      <c r="W29" s="1987"/>
      <c r="X29" s="1944"/>
      <c r="Y29" s="1984"/>
      <c r="Z29" s="1984"/>
      <c r="AA29" s="1944"/>
      <c r="AB29" s="1988"/>
      <c r="AC29" s="1947"/>
      <c r="AD29" s="1947"/>
    </row>
    <row r="30" spans="1:30" ht="17.25" x14ac:dyDescent="0.25">
      <c r="A30" s="1998"/>
      <c r="B30" s="2002"/>
      <c r="C30" s="2003"/>
      <c r="D30" s="1980"/>
      <c r="E30" s="1991"/>
      <c r="F30" s="1991"/>
      <c r="G30" s="2027"/>
      <c r="H30" s="2028"/>
      <c r="I30" s="2027"/>
      <c r="J30" s="2029"/>
      <c r="K30" s="2027"/>
      <c r="L30" s="2000"/>
      <c r="M30" s="2004"/>
      <c r="N30" s="2004"/>
      <c r="O30" s="2004"/>
      <c r="P30" s="2000"/>
      <c r="Q30" s="2030"/>
      <c r="R30" s="2000"/>
      <c r="S30" s="2024"/>
      <c r="T30" s="2000"/>
      <c r="U30" s="1996"/>
      <c r="V30" s="1987"/>
      <c r="W30" s="1987"/>
      <c r="X30" s="1944"/>
      <c r="Y30" s="1984"/>
      <c r="Z30" s="1984"/>
      <c r="AA30" s="1944"/>
      <c r="AB30" s="1988"/>
      <c r="AC30" s="1947"/>
      <c r="AD30" s="1947"/>
    </row>
    <row r="31" spans="1:30" ht="17.25" x14ac:dyDescent="0.25">
      <c r="A31" s="1978" t="s">
        <v>2133</v>
      </c>
      <c r="B31" s="2031"/>
      <c r="C31" s="2032"/>
      <c r="D31" s="2033"/>
      <c r="E31" s="2034"/>
      <c r="F31" s="2034"/>
      <c r="G31" s="2027">
        <f>SUM(G16:G30)</f>
        <v>26875</v>
      </c>
      <c r="H31" s="2027">
        <f>SUM(H16:H17)</f>
        <v>0</v>
      </c>
      <c r="I31" s="2027">
        <f>SUM(I16:I30)</f>
        <v>34143</v>
      </c>
      <c r="J31" s="2027"/>
      <c r="K31" s="2027">
        <f>SUM(K16:K30)</f>
        <v>26875</v>
      </c>
      <c r="L31" s="2035"/>
      <c r="M31" s="2027">
        <f>SUM(M16:M30)</f>
        <v>36985</v>
      </c>
      <c r="N31" s="2027"/>
      <c r="O31" s="2027">
        <f>SUM(O16:O30)</f>
        <v>36985</v>
      </c>
      <c r="P31" s="2035"/>
      <c r="Q31" s="2027">
        <f>SUM(Q16:Q30)</f>
        <v>0</v>
      </c>
      <c r="R31" s="2027"/>
      <c r="S31" s="2004">
        <f>SUM(S16:S30)</f>
        <v>63860</v>
      </c>
      <c r="T31" s="2036"/>
      <c r="U31" s="2037"/>
      <c r="V31" s="1997"/>
      <c r="W31" s="1997"/>
      <c r="X31" s="1944"/>
      <c r="Y31" s="1984" t="s">
        <v>1169</v>
      </c>
      <c r="Z31" s="1984" t="s">
        <v>1169</v>
      </c>
      <c r="AA31" s="1944">
        <v>0</v>
      </c>
      <c r="AB31" s="1988"/>
      <c r="AC31" s="1947">
        <v>0</v>
      </c>
      <c r="AD31" s="1947"/>
    </row>
    <row r="32" spans="1:30" ht="17.25" x14ac:dyDescent="0.25">
      <c r="A32" s="1978"/>
      <c r="B32" s="2031"/>
      <c r="C32" s="2032"/>
      <c r="D32" s="2033"/>
      <c r="E32" s="2034"/>
      <c r="F32" s="2034"/>
      <c r="G32" s="2027"/>
      <c r="H32" s="2027"/>
      <c r="I32" s="2027"/>
      <c r="J32" s="2027"/>
      <c r="K32" s="2027"/>
      <c r="L32" s="2035"/>
      <c r="M32" s="2027"/>
      <c r="N32" s="2027"/>
      <c r="O32" s="2027"/>
      <c r="P32" s="2035"/>
      <c r="Q32" s="2027"/>
      <c r="R32" s="2027"/>
      <c r="S32" s="2004"/>
      <c r="T32" s="2036"/>
      <c r="U32" s="2037"/>
      <c r="V32" s="2007" t="s">
        <v>1169</v>
      </c>
      <c r="W32" s="2007"/>
      <c r="X32" s="1944" t="s">
        <v>1169</v>
      </c>
      <c r="Y32" s="1984"/>
      <c r="Z32" s="1984"/>
      <c r="AA32" s="1944">
        <f>+G32+I32-S32</f>
        <v>0</v>
      </c>
      <c r="AB32" s="1985"/>
      <c r="AC32" s="1947">
        <f t="shared" ref="AC32:AC73" si="0">+G32+I32-K32-M32</f>
        <v>0</v>
      </c>
      <c r="AD32" s="1947"/>
    </row>
    <row r="33" spans="1:30" ht="17.25" x14ac:dyDescent="0.25">
      <c r="A33" s="1989" t="s">
        <v>2134</v>
      </c>
      <c r="B33" s="1980"/>
      <c r="C33" s="2038"/>
      <c r="D33" s="2033"/>
      <c r="E33" s="2034"/>
      <c r="F33" s="2034"/>
      <c r="G33" s="2027"/>
      <c r="H33" s="2027"/>
      <c r="I33" s="2027"/>
      <c r="J33" s="2027"/>
      <c r="K33" s="2027"/>
      <c r="L33" s="2035"/>
      <c r="M33" s="2027"/>
      <c r="N33" s="2027"/>
      <c r="O33" s="2027"/>
      <c r="P33" s="2035"/>
      <c r="Q33" s="2027"/>
      <c r="R33" s="2027"/>
      <c r="S33" s="2004"/>
      <c r="T33" s="2036"/>
      <c r="U33" s="2037"/>
      <c r="V33" s="2007"/>
      <c r="W33" s="2007"/>
      <c r="X33" s="1944"/>
      <c r="Y33" s="1984"/>
      <c r="Z33" s="1984"/>
      <c r="AA33" s="1944"/>
      <c r="AB33" s="1985"/>
      <c r="AC33" s="1947" t="s">
        <v>1169</v>
      </c>
      <c r="AD33" s="1947"/>
    </row>
    <row r="34" spans="1:30" ht="17.25" x14ac:dyDescent="0.25">
      <c r="A34" s="1989" t="s">
        <v>2113</v>
      </c>
      <c r="B34" s="1980"/>
      <c r="C34" s="2038"/>
      <c r="D34" s="2033"/>
      <c r="E34" s="2034"/>
      <c r="F34" s="2034"/>
      <c r="G34" s="2027"/>
      <c r="H34" s="2027"/>
      <c r="I34" s="2027"/>
      <c r="J34" s="2027"/>
      <c r="K34" s="2027"/>
      <c r="L34" s="2035"/>
      <c r="M34" s="2027"/>
      <c r="N34" s="2027"/>
      <c r="O34" s="2027"/>
      <c r="P34" s="2035"/>
      <c r="Q34" s="2027"/>
      <c r="R34" s="2027"/>
      <c r="S34" s="2004"/>
      <c r="T34" s="2036"/>
      <c r="U34" s="2037"/>
      <c r="V34" s="2007"/>
      <c r="W34" s="2007"/>
      <c r="X34" s="1944"/>
      <c r="Y34" s="1984"/>
      <c r="Z34" s="1984"/>
      <c r="AA34" s="1944"/>
      <c r="AB34" s="1985"/>
      <c r="AC34" s="1947">
        <f t="shared" si="0"/>
        <v>0</v>
      </c>
      <c r="AD34" s="1947"/>
    </row>
    <row r="35" spans="1:30" ht="17.25" x14ac:dyDescent="0.25">
      <c r="A35" s="1989" t="s">
        <v>2114</v>
      </c>
      <c r="B35" s="1980"/>
      <c r="C35" s="2038"/>
      <c r="D35" s="2033"/>
      <c r="E35" s="2034"/>
      <c r="F35" s="2034"/>
      <c r="G35" s="2027"/>
      <c r="H35" s="2035"/>
      <c r="I35" s="2027"/>
      <c r="J35" s="2039"/>
      <c r="K35" s="2027"/>
      <c r="L35" s="2035"/>
      <c r="M35" s="2027"/>
      <c r="N35" s="2027"/>
      <c r="O35" s="2027"/>
      <c r="P35" s="2035"/>
      <c r="Q35" s="2040"/>
      <c r="R35" s="2035"/>
      <c r="S35" s="2024"/>
      <c r="T35" s="2036"/>
      <c r="U35" s="2037"/>
      <c r="V35" s="2007"/>
      <c r="W35" s="2007"/>
      <c r="X35" s="1944"/>
      <c r="Y35" s="1984" t="s">
        <v>1169</v>
      </c>
      <c r="Z35" s="1984" t="s">
        <v>1169</v>
      </c>
      <c r="AA35" s="1944"/>
      <c r="AB35" s="1988"/>
      <c r="AC35" s="1947">
        <v>0</v>
      </c>
      <c r="AD35" s="1947"/>
    </row>
    <row r="36" spans="1:30" x14ac:dyDescent="0.25">
      <c r="A36" s="1989"/>
      <c r="B36" s="1980"/>
      <c r="C36" s="1979"/>
      <c r="D36" s="1979"/>
      <c r="E36" s="1980"/>
      <c r="F36" s="1979"/>
      <c r="G36" s="1994"/>
      <c r="H36" s="1994"/>
      <c r="I36" s="1994" t="s">
        <v>1169</v>
      </c>
      <c r="J36" s="1992"/>
      <c r="K36" s="1994"/>
      <c r="L36" s="1994"/>
      <c r="M36" s="1994"/>
      <c r="N36" s="1994"/>
      <c r="O36" s="1994"/>
      <c r="P36" s="1994"/>
      <c r="Q36" s="1994"/>
      <c r="R36" s="1992"/>
      <c r="S36" s="1983"/>
      <c r="T36" s="1983"/>
      <c r="U36" s="1983"/>
      <c r="W36" s="2007"/>
      <c r="X36" s="1944" t="s">
        <v>1169</v>
      </c>
      <c r="Y36" s="1984"/>
      <c r="Z36" s="1984"/>
      <c r="AA36" s="1944">
        <f>+G36+I36-S36</f>
        <v>0</v>
      </c>
      <c r="AB36" s="1988"/>
      <c r="AC36" s="1947">
        <f t="shared" si="0"/>
        <v>0</v>
      </c>
      <c r="AD36" s="1947"/>
    </row>
    <row r="37" spans="1:30" x14ac:dyDescent="0.25">
      <c r="A37" s="2041"/>
      <c r="B37" s="2002" t="s">
        <v>2135</v>
      </c>
      <c r="C37" s="2042" t="s">
        <v>2136</v>
      </c>
      <c r="D37" s="1979"/>
      <c r="E37" s="1991" t="s">
        <v>2137</v>
      </c>
      <c r="F37" s="2043"/>
      <c r="G37" s="1999">
        <f>2215593-G38</f>
        <v>2204037</v>
      </c>
      <c r="H37" s="1999"/>
      <c r="I37" s="1999">
        <f>61333+17506</f>
        <v>78839</v>
      </c>
      <c r="J37" s="2044"/>
      <c r="K37" s="1999">
        <f>2294432-K38</f>
        <v>2282876</v>
      </c>
      <c r="L37" s="2045"/>
      <c r="M37" s="2045"/>
      <c r="N37" s="2045"/>
      <c r="O37" s="2045"/>
      <c r="P37" s="2045"/>
      <c r="Q37" s="2045"/>
      <c r="R37" s="2044"/>
      <c r="S37" s="1995">
        <f>K37+M37+Q37</f>
        <v>2282876</v>
      </c>
      <c r="T37" s="1999"/>
      <c r="U37" s="2046">
        <f>2452972-U38</f>
        <v>2434420</v>
      </c>
      <c r="V37" s="2007" t="s">
        <v>2138</v>
      </c>
      <c r="W37" s="2007"/>
      <c r="X37" s="1944"/>
      <c r="Y37" s="1984" t="s">
        <v>2139</v>
      </c>
      <c r="Z37" s="1984" t="s">
        <v>2139</v>
      </c>
      <c r="AA37" s="1944"/>
      <c r="AB37" s="1988"/>
      <c r="AC37" s="1947" t="s">
        <v>1169</v>
      </c>
      <c r="AD37" s="1947"/>
    </row>
    <row r="38" spans="1:30" x14ac:dyDescent="0.25">
      <c r="A38" s="2041"/>
      <c r="B38" s="2002" t="s">
        <v>2140</v>
      </c>
      <c r="C38" s="2042" t="s">
        <v>2136</v>
      </c>
      <c r="D38" s="1979"/>
      <c r="E38" s="1991" t="s">
        <v>2137</v>
      </c>
      <c r="F38" s="2043"/>
      <c r="G38" s="1999">
        <v>11556</v>
      </c>
      <c r="H38" s="1999"/>
      <c r="I38" s="1999"/>
      <c r="J38" s="2044"/>
      <c r="K38" s="1999">
        <v>11556</v>
      </c>
      <c r="L38" s="2045">
        <v>-3</v>
      </c>
      <c r="M38" s="2045"/>
      <c r="N38" s="1993">
        <v>-3</v>
      </c>
      <c r="O38" s="2045"/>
      <c r="P38" s="1993"/>
      <c r="Q38" s="2045"/>
      <c r="R38" s="2044"/>
      <c r="S38" s="1995">
        <f>K38+M38+Q38</f>
        <v>11556</v>
      </c>
      <c r="T38" s="1999"/>
      <c r="U38" s="2046">
        <v>18552</v>
      </c>
      <c r="V38" s="2007"/>
      <c r="W38" s="2007"/>
      <c r="X38" s="1944"/>
      <c r="Y38" s="1984"/>
      <c r="Z38" s="1984"/>
      <c r="AA38" s="1944"/>
      <c r="AB38" s="1988"/>
      <c r="AC38" s="1947"/>
      <c r="AD38" s="1947"/>
    </row>
    <row r="39" spans="1:30" x14ac:dyDescent="0.25">
      <c r="A39" s="2041" t="s">
        <v>2141</v>
      </c>
      <c r="B39" s="2002" t="s">
        <v>2135</v>
      </c>
      <c r="C39" s="2048" t="s">
        <v>2136</v>
      </c>
      <c r="D39" s="1991"/>
      <c r="E39" s="1991" t="s">
        <v>2142</v>
      </c>
      <c r="F39" s="1991"/>
      <c r="G39" s="2049">
        <v>0</v>
      </c>
      <c r="H39" s="1999"/>
      <c r="I39" s="1999">
        <f>2507235-I40</f>
        <v>2492317</v>
      </c>
      <c r="J39" s="2050"/>
      <c r="K39" s="1999" t="s">
        <v>1169</v>
      </c>
      <c r="L39" s="1999"/>
      <c r="M39" s="1999">
        <f>2577289-M40</f>
        <v>2562371</v>
      </c>
      <c r="N39" s="1999"/>
      <c r="O39" s="1999"/>
      <c r="P39" s="1999"/>
      <c r="Q39" s="2049">
        <v>0</v>
      </c>
      <c r="R39" s="2050"/>
      <c r="S39" s="1995">
        <f>K39+M39+Q39</f>
        <v>2562371</v>
      </c>
      <c r="T39" s="1999"/>
      <c r="U39" s="2046">
        <f>2755276-U40</f>
        <v>2729294</v>
      </c>
      <c r="V39" s="2007"/>
      <c r="W39" s="2007" t="s">
        <v>2120</v>
      </c>
      <c r="X39" s="1944">
        <v>2467482</v>
      </c>
      <c r="Y39" s="1984"/>
      <c r="Z39" s="1984"/>
      <c r="AA39" s="1944"/>
      <c r="AB39" s="1988"/>
      <c r="AC39" s="1947"/>
      <c r="AD39" s="1947"/>
    </row>
    <row r="40" spans="1:30" ht="17.25" x14ac:dyDescent="0.25">
      <c r="A40" s="2041"/>
      <c r="B40" s="2002" t="s">
        <v>2140</v>
      </c>
      <c r="C40" s="2048" t="s">
        <v>2136</v>
      </c>
      <c r="D40" s="1991"/>
      <c r="E40" s="1991" t="s">
        <v>2142</v>
      </c>
      <c r="F40" s="1991"/>
      <c r="G40" s="2049">
        <v>0</v>
      </c>
      <c r="H40" s="2004"/>
      <c r="I40" s="1999">
        <v>14918</v>
      </c>
      <c r="J40" s="2051"/>
      <c r="K40" s="1999" t="s">
        <v>1169</v>
      </c>
      <c r="L40" s="1999"/>
      <c r="M40" s="1999">
        <v>14918</v>
      </c>
      <c r="N40" s="1993">
        <v>-3</v>
      </c>
      <c r="O40" s="1999" t="s">
        <v>1169</v>
      </c>
      <c r="P40" s="1993"/>
      <c r="Q40" s="2049">
        <v>0</v>
      </c>
      <c r="R40" s="2050"/>
      <c r="S40" s="1995">
        <f>K40+M40+Q40</f>
        <v>14918</v>
      </c>
      <c r="T40" s="1999"/>
      <c r="U40" s="2046">
        <f>19786+6196</f>
        <v>25982</v>
      </c>
      <c r="V40" s="2007"/>
      <c r="W40" s="2007"/>
      <c r="X40" s="1944"/>
      <c r="Y40" s="1984"/>
      <c r="Z40" s="1984"/>
      <c r="AA40" s="1944"/>
      <c r="AB40" s="1988"/>
      <c r="AC40" s="1947"/>
      <c r="AD40" s="1947"/>
    </row>
    <row r="41" spans="1:30" ht="17.25" hidden="1" x14ac:dyDescent="0.25">
      <c r="A41" s="2041"/>
      <c r="B41" s="2001" t="s">
        <v>2143</v>
      </c>
      <c r="C41" s="2048"/>
      <c r="D41" s="1991"/>
      <c r="E41" s="1991"/>
      <c r="F41" s="1991"/>
      <c r="G41" s="2049"/>
      <c r="H41" s="2004"/>
      <c r="I41" s="1999"/>
      <c r="J41" s="2051"/>
      <c r="K41" s="1999"/>
      <c r="L41" s="1999"/>
      <c r="M41" s="1999"/>
      <c r="N41" s="1993"/>
      <c r="O41" s="1999">
        <v>0</v>
      </c>
      <c r="P41" s="1993"/>
      <c r="Q41" s="2049"/>
      <c r="R41" s="2050"/>
      <c r="S41" s="1995">
        <v>0</v>
      </c>
      <c r="T41" s="1999"/>
      <c r="U41" s="2046"/>
      <c r="V41" s="2007"/>
      <c r="W41" s="2007"/>
      <c r="X41" s="1944"/>
      <c r="Y41" s="1984"/>
      <c r="Z41" s="1984"/>
      <c r="AA41" s="1944"/>
      <c r="AB41" s="1988"/>
      <c r="AC41" s="1947"/>
      <c r="AD41" s="1947"/>
    </row>
    <row r="42" spans="1:30" ht="17.25" x14ac:dyDescent="0.25">
      <c r="A42" s="2041"/>
      <c r="B42" s="2001" t="s">
        <v>2144</v>
      </c>
      <c r="C42" s="2048"/>
      <c r="D42" s="1991"/>
      <c r="E42" s="1991"/>
      <c r="F42" s="1991"/>
      <c r="G42" s="2049">
        <v>0</v>
      </c>
      <c r="H42" s="1999"/>
      <c r="I42" s="2049">
        <v>0</v>
      </c>
      <c r="J42" s="2050"/>
      <c r="K42" s="1999" t="s">
        <v>1169</v>
      </c>
      <c r="L42" s="1999"/>
      <c r="M42" s="2049">
        <v>0</v>
      </c>
      <c r="N42" s="1993"/>
      <c r="O42" s="1999">
        <v>5656</v>
      </c>
      <c r="P42" s="1993"/>
      <c r="Q42" s="2030"/>
      <c r="R42" s="2051"/>
      <c r="S42" s="2024"/>
      <c r="T42" s="1999"/>
      <c r="U42" s="2046"/>
      <c r="V42" s="2007"/>
      <c r="W42" s="2007"/>
      <c r="X42" s="1944"/>
      <c r="Y42" s="1984"/>
      <c r="Z42" s="1984"/>
      <c r="AA42" s="1944"/>
      <c r="AB42" s="1988"/>
      <c r="AC42" s="1947"/>
      <c r="AD42" s="1947"/>
    </row>
    <row r="43" spans="1:30" ht="17.25" x14ac:dyDescent="0.25">
      <c r="A43" s="2041"/>
      <c r="B43" s="2001" t="s">
        <v>2143</v>
      </c>
      <c r="C43" s="2048"/>
      <c r="D43" s="1991"/>
      <c r="E43" s="1991"/>
      <c r="F43" s="1991"/>
      <c r="G43" s="2030">
        <v>0</v>
      </c>
      <c r="H43" s="2004"/>
      <c r="I43" s="2030">
        <v>0</v>
      </c>
      <c r="J43" s="2051"/>
      <c r="K43" s="2030">
        <v>0</v>
      </c>
      <c r="L43" s="2004"/>
      <c r="M43" s="2030">
        <v>0</v>
      </c>
      <c r="N43" s="1993"/>
      <c r="O43" s="2004">
        <v>9262</v>
      </c>
      <c r="P43" s="1993"/>
      <c r="Q43" s="2030">
        <v>0</v>
      </c>
      <c r="R43" s="2051"/>
      <c r="S43" s="2024">
        <f>K43+M43+Q43</f>
        <v>0</v>
      </c>
      <c r="T43" s="1999"/>
      <c r="U43" s="2046"/>
      <c r="V43" s="2007"/>
      <c r="W43" s="2007"/>
      <c r="X43" s="1944"/>
      <c r="Y43" s="1984"/>
      <c r="Z43" s="1984"/>
      <c r="AA43" s="1944"/>
      <c r="AB43" s="1988"/>
      <c r="AC43" s="1947"/>
      <c r="AD43" s="1947"/>
    </row>
    <row r="44" spans="1:30" x14ac:dyDescent="0.25">
      <c r="A44" s="1989"/>
      <c r="B44" s="1980"/>
      <c r="C44" s="1991"/>
      <c r="D44" s="1991"/>
      <c r="E44" s="2052"/>
      <c r="F44" s="1991"/>
      <c r="G44" s="2053">
        <f>SUM(G37:G43)</f>
        <v>2215593</v>
      </c>
      <c r="H44" s="2053"/>
      <c r="I44" s="2053">
        <f>SUM(I37:I42)</f>
        <v>2586074</v>
      </c>
      <c r="J44" s="2053"/>
      <c r="K44" s="2053">
        <f>SUM(K37:K42)</f>
        <v>2294432</v>
      </c>
      <c r="L44" s="2053">
        <f>SUM(L37:L42)</f>
        <v>-3</v>
      </c>
      <c r="M44" s="2053">
        <f>SUM(M37:M42)</f>
        <v>2577289</v>
      </c>
      <c r="N44" s="2053"/>
      <c r="O44" s="2053">
        <f>SUM(O37:O43)</f>
        <v>14918</v>
      </c>
      <c r="P44" s="2053"/>
      <c r="Q44" s="2053">
        <f>SUM(Q37:Q43)</f>
        <v>0</v>
      </c>
      <c r="R44" s="2053"/>
      <c r="S44" s="2053">
        <f>SUM(S37:S42)</f>
        <v>4871721</v>
      </c>
      <c r="T44" s="1983"/>
      <c r="U44" s="1983"/>
      <c r="V44" s="2007" t="s">
        <v>1169</v>
      </c>
      <c r="W44" s="2007"/>
      <c r="X44" s="1944" t="s">
        <v>1169</v>
      </c>
      <c r="Y44" s="1984" t="s">
        <v>1169</v>
      </c>
      <c r="Z44" s="1984"/>
      <c r="AA44" s="1944">
        <v>0</v>
      </c>
      <c r="AB44" s="1988"/>
      <c r="AC44" s="1947">
        <f t="shared" si="0"/>
        <v>-70054</v>
      </c>
      <c r="AD44" s="1947"/>
    </row>
    <row r="45" spans="1:30" x14ac:dyDescent="0.25">
      <c r="A45" s="1989"/>
      <c r="B45" s="1980"/>
      <c r="C45" s="1991"/>
      <c r="D45" s="1991"/>
      <c r="E45" s="2052"/>
      <c r="F45" s="1991"/>
      <c r="G45" s="1983"/>
      <c r="H45" s="1983"/>
      <c r="I45" s="1983"/>
      <c r="J45" s="2054"/>
      <c r="K45" s="1983"/>
      <c r="L45" s="1983"/>
      <c r="M45" s="1983"/>
      <c r="N45" s="1983"/>
      <c r="O45" s="1983"/>
      <c r="P45" s="1983"/>
      <c r="Q45" s="1983"/>
      <c r="R45" s="2054"/>
      <c r="S45" s="1983"/>
      <c r="T45" s="1983"/>
      <c r="U45" s="1983"/>
      <c r="V45" s="2007"/>
      <c r="W45" s="2007"/>
      <c r="X45" s="1944"/>
      <c r="Y45" s="1984"/>
      <c r="Z45" s="1984"/>
      <c r="AA45" s="1944"/>
      <c r="AB45" s="1988"/>
      <c r="AC45" s="1947"/>
      <c r="AD45" s="1947"/>
    </row>
    <row r="46" spans="1:30" x14ac:dyDescent="0.25">
      <c r="A46" s="2041"/>
      <c r="B46" s="2002" t="s">
        <v>2145</v>
      </c>
      <c r="C46" s="2048" t="s">
        <v>2146</v>
      </c>
      <c r="D46" s="1991"/>
      <c r="E46" s="1991" t="s">
        <v>2147</v>
      </c>
      <c r="F46" s="1991"/>
      <c r="G46" s="1999">
        <f>118013-G47</f>
        <v>87448</v>
      </c>
      <c r="H46" s="1999"/>
      <c r="I46" s="1999">
        <v>319</v>
      </c>
      <c r="J46" s="2050"/>
      <c r="K46" s="1999">
        <f>118332-K47</f>
        <v>87767</v>
      </c>
      <c r="L46" s="1999"/>
      <c r="M46" s="1999"/>
      <c r="N46" s="1999"/>
      <c r="O46" s="1999"/>
      <c r="P46" s="1999"/>
      <c r="Q46" s="1999"/>
      <c r="R46" s="2050"/>
      <c r="S46" s="1995">
        <f>K46+M46+Q46</f>
        <v>87767</v>
      </c>
      <c r="T46" s="1999"/>
      <c r="U46" s="2046">
        <f>122444-U47</f>
        <v>91879</v>
      </c>
      <c r="V46" s="2007"/>
      <c r="W46" s="2007"/>
      <c r="X46" s="1944"/>
      <c r="Y46" s="1984"/>
      <c r="Z46" s="1984"/>
      <c r="AA46" s="1944"/>
      <c r="AB46" s="1988"/>
      <c r="AC46" s="1947"/>
      <c r="AD46" s="1947"/>
    </row>
    <row r="47" spans="1:30" x14ac:dyDescent="0.25">
      <c r="A47" s="2041"/>
      <c r="B47" s="2002" t="s">
        <v>2140</v>
      </c>
      <c r="C47" s="2048" t="s">
        <v>2146</v>
      </c>
      <c r="D47" s="1991"/>
      <c r="E47" s="1991" t="s">
        <v>2147</v>
      </c>
      <c r="F47" s="1991"/>
      <c r="G47" s="1999">
        <v>30565</v>
      </c>
      <c r="H47" s="1999"/>
      <c r="I47" s="1999"/>
      <c r="J47" s="2050"/>
      <c r="K47" s="1999">
        <v>30565</v>
      </c>
      <c r="L47" s="1999"/>
      <c r="M47" s="1999"/>
      <c r="N47" s="1999">
        <v>-3</v>
      </c>
      <c r="O47" s="1999"/>
      <c r="P47" s="1999"/>
      <c r="Q47" s="1999"/>
      <c r="R47" s="2050"/>
      <c r="S47" s="1995">
        <f>K47+M47+Q47</f>
        <v>30565</v>
      </c>
      <c r="T47" s="1999"/>
      <c r="U47" s="2046">
        <v>30565</v>
      </c>
      <c r="V47" s="2007"/>
      <c r="W47" s="2007"/>
      <c r="X47" s="1944"/>
      <c r="Y47" s="1984"/>
      <c r="Z47" s="1984"/>
      <c r="AA47" s="1944"/>
      <c r="AB47" s="1988"/>
      <c r="AC47" s="1947"/>
      <c r="AD47" s="1947"/>
    </row>
    <row r="48" spans="1:30" x14ac:dyDescent="0.25">
      <c r="A48" s="2041" t="s">
        <v>2141</v>
      </c>
      <c r="B48" s="2002" t="s">
        <v>2145</v>
      </c>
      <c r="C48" s="2048" t="s">
        <v>2146</v>
      </c>
      <c r="D48" s="1991"/>
      <c r="E48" s="1991" t="s">
        <v>2148</v>
      </c>
      <c r="F48" s="1991"/>
      <c r="G48" s="1999"/>
      <c r="H48" s="1999"/>
      <c r="I48" s="1999">
        <f>78987-I49</f>
        <v>48088</v>
      </c>
      <c r="J48" s="2050"/>
      <c r="K48" s="1999" t="s">
        <v>1169</v>
      </c>
      <c r="L48" s="1999"/>
      <c r="M48" s="1999">
        <f>101231-M49</f>
        <v>70332</v>
      </c>
      <c r="N48" s="1999"/>
      <c r="O48" s="1999"/>
      <c r="P48" s="1999"/>
      <c r="Q48" s="2049">
        <v>0</v>
      </c>
      <c r="R48" s="2050"/>
      <c r="S48" s="1995">
        <f>K48+M48+Q48</f>
        <v>70332</v>
      </c>
      <c r="T48" s="1999"/>
      <c r="U48" s="2046">
        <f>106094-U49</f>
        <v>73632</v>
      </c>
      <c r="V48" s="2007" t="s">
        <v>2138</v>
      </c>
      <c r="W48" s="2007" t="s">
        <v>2120</v>
      </c>
      <c r="X48" s="1944">
        <v>100932</v>
      </c>
      <c r="Y48" s="1984" t="s">
        <v>2139</v>
      </c>
      <c r="Z48" s="1984" t="s">
        <v>2139</v>
      </c>
      <c r="AA48" s="1944">
        <v>0</v>
      </c>
      <c r="AB48" s="1988"/>
      <c r="AC48" s="1947">
        <f t="shared" si="0"/>
        <v>-22244</v>
      </c>
      <c r="AD48" s="1947"/>
    </row>
    <row r="49" spans="1:30" x14ac:dyDescent="0.25">
      <c r="A49" s="2041"/>
      <c r="B49" s="2002" t="s">
        <v>2140</v>
      </c>
      <c r="C49" s="2048" t="s">
        <v>2146</v>
      </c>
      <c r="D49" s="1991"/>
      <c r="E49" s="1991" t="s">
        <v>2148</v>
      </c>
      <c r="F49" s="1991"/>
      <c r="G49" s="2049">
        <v>0</v>
      </c>
      <c r="H49" s="1999"/>
      <c r="I49" s="1999">
        <v>30899</v>
      </c>
      <c r="J49" s="2050"/>
      <c r="K49" s="2049">
        <v>0</v>
      </c>
      <c r="L49" s="1999"/>
      <c r="M49" s="1999">
        <v>30899</v>
      </c>
      <c r="N49" s="1993">
        <v>-3</v>
      </c>
      <c r="O49" s="2049">
        <v>0</v>
      </c>
      <c r="P49" s="1993"/>
      <c r="Q49" s="2049">
        <v>0</v>
      </c>
      <c r="R49" s="2050"/>
      <c r="S49" s="1995">
        <f>K49+M49+Q49</f>
        <v>30899</v>
      </c>
      <c r="T49" s="1999"/>
      <c r="U49" s="2046">
        <v>32462</v>
      </c>
      <c r="V49" s="2007"/>
      <c r="W49" s="2007"/>
      <c r="X49" s="1944"/>
      <c r="Y49" s="1984"/>
      <c r="Z49" s="1984"/>
      <c r="AA49" s="1944"/>
      <c r="AB49" s="1988"/>
      <c r="AC49" s="1947"/>
      <c r="AD49" s="1947"/>
    </row>
    <row r="50" spans="1:30" ht="17.25" x14ac:dyDescent="0.25">
      <c r="A50" s="2041"/>
      <c r="B50" s="2001" t="s">
        <v>2144</v>
      </c>
      <c r="C50" s="2048"/>
      <c r="D50" s="1991"/>
      <c r="E50" s="1991"/>
      <c r="F50" s="1991"/>
      <c r="G50" s="2030">
        <v>0</v>
      </c>
      <c r="H50" s="2004"/>
      <c r="I50" s="2030">
        <v>0</v>
      </c>
      <c r="J50" s="2051"/>
      <c r="K50" s="2030">
        <v>0</v>
      </c>
      <c r="L50" s="2004"/>
      <c r="M50" s="2030">
        <v>0</v>
      </c>
      <c r="N50" s="1993"/>
      <c r="O50" s="2030">
        <f>M49</f>
        <v>30899</v>
      </c>
      <c r="P50" s="1993"/>
      <c r="Q50" s="2030">
        <v>0</v>
      </c>
      <c r="R50" s="2051"/>
      <c r="S50" s="2024">
        <f>K50+M50+Q50</f>
        <v>0</v>
      </c>
      <c r="T50" s="1999"/>
      <c r="U50" s="2046"/>
      <c r="V50" s="2007"/>
      <c r="W50" s="2007"/>
      <c r="X50" s="1944"/>
      <c r="Y50" s="1984"/>
      <c r="Z50" s="1984"/>
      <c r="AA50" s="1944"/>
      <c r="AB50" s="1988"/>
      <c r="AC50" s="1947"/>
      <c r="AD50" s="1947"/>
    </row>
    <row r="51" spans="1:30" x14ac:dyDescent="0.25">
      <c r="A51" s="2041"/>
      <c r="B51" s="2002"/>
      <c r="C51" s="2048"/>
      <c r="D51" s="1991"/>
      <c r="E51" s="1991"/>
      <c r="F51" s="1991"/>
      <c r="G51" s="2055">
        <f>SUM(G46:G50)</f>
        <v>118013</v>
      </c>
      <c r="H51" s="1999"/>
      <c r="I51" s="2055">
        <f>SUM(I46:I50)</f>
        <v>79306</v>
      </c>
      <c r="J51" s="2055"/>
      <c r="K51" s="2055">
        <f>SUM(K46:K50)</f>
        <v>118332</v>
      </c>
      <c r="L51" s="2055"/>
      <c r="M51" s="2055">
        <f>SUM(M46:M50)</f>
        <v>101231</v>
      </c>
      <c r="N51" s="2055"/>
      <c r="O51" s="2055">
        <f>SUM(O46:O50)</f>
        <v>30899</v>
      </c>
      <c r="P51" s="2055"/>
      <c r="Q51" s="2055">
        <f>SUM(Q46:Q50)</f>
        <v>0</v>
      </c>
      <c r="R51" s="2055"/>
      <c r="S51" s="2055">
        <f>SUM(S46:S50)</f>
        <v>219563</v>
      </c>
      <c r="T51" s="1999"/>
      <c r="U51" s="2046"/>
      <c r="V51" s="2007"/>
      <c r="W51" s="2007"/>
      <c r="X51" s="1944"/>
      <c r="Y51" s="1984"/>
      <c r="Z51" s="1984"/>
      <c r="AA51" s="1944"/>
      <c r="AB51" s="1988"/>
      <c r="AC51" s="1947"/>
      <c r="AD51" s="1947"/>
    </row>
    <row r="52" spans="1:30" x14ac:dyDescent="0.25">
      <c r="A52" s="2041"/>
      <c r="B52" s="2002"/>
      <c r="C52" s="2042"/>
      <c r="D52" s="1979"/>
      <c r="E52" s="1979"/>
      <c r="F52" s="1979"/>
      <c r="G52" s="2056"/>
      <c r="H52" s="2045"/>
      <c r="I52" s="2056"/>
      <c r="J52" s="2056"/>
      <c r="K52" s="2056"/>
      <c r="L52" s="2056"/>
      <c r="M52" s="2056"/>
      <c r="N52" s="2056"/>
      <c r="O52" s="2056"/>
      <c r="P52" s="2056"/>
      <c r="Q52" s="2056"/>
      <c r="R52" s="2056"/>
      <c r="S52" s="2055"/>
      <c r="T52" s="1999"/>
      <c r="U52" s="2046"/>
      <c r="V52" s="2018"/>
      <c r="W52" s="2018"/>
      <c r="X52" s="1944"/>
      <c r="Y52" s="1984"/>
      <c r="Z52" s="1984"/>
      <c r="AA52" s="1944"/>
      <c r="AB52" s="1988"/>
      <c r="AC52" s="1947">
        <f t="shared" si="0"/>
        <v>0</v>
      </c>
      <c r="AD52" s="1947"/>
    </row>
    <row r="53" spans="1:30" x14ac:dyDescent="0.25">
      <c r="A53" s="2057" t="s">
        <v>2149</v>
      </c>
      <c r="B53" s="2002"/>
      <c r="C53" s="2042"/>
      <c r="D53" s="1979"/>
      <c r="E53" s="1980"/>
      <c r="F53" s="1979"/>
      <c r="G53" s="2058"/>
      <c r="H53" s="2058"/>
      <c r="I53" s="2058" t="s">
        <v>1169</v>
      </c>
      <c r="J53" s="2043"/>
      <c r="K53" s="2058"/>
      <c r="L53" s="2058"/>
      <c r="M53" s="2058"/>
      <c r="N53" s="2058"/>
      <c r="O53" s="2058"/>
      <c r="P53" s="2058"/>
      <c r="Q53" s="2058"/>
      <c r="R53" s="2043"/>
      <c r="S53" s="1995"/>
      <c r="T53" s="1980"/>
      <c r="U53" s="1980"/>
      <c r="V53" s="2006"/>
      <c r="W53" s="2006"/>
      <c r="X53" s="1944"/>
      <c r="Y53" s="1984"/>
      <c r="Z53" s="1984"/>
      <c r="AA53" s="1944"/>
      <c r="AB53" s="1947"/>
      <c r="AC53" s="1947">
        <f t="shared" si="0"/>
        <v>0</v>
      </c>
      <c r="AD53" s="1947"/>
    </row>
    <row r="54" spans="1:30" x14ac:dyDescent="0.25">
      <c r="A54" s="1989" t="s">
        <v>2150</v>
      </c>
      <c r="B54" s="2002"/>
      <c r="C54" s="2042"/>
      <c r="D54" s="1979"/>
      <c r="E54" s="1980"/>
      <c r="F54" s="1979"/>
      <c r="G54" s="2055">
        <f>+G44+G51</f>
        <v>2333606</v>
      </c>
      <c r="H54" s="2055"/>
      <c r="I54" s="2055">
        <f>+I44+I51</f>
        <v>2665380</v>
      </c>
      <c r="J54" s="2055"/>
      <c r="K54" s="2055">
        <f>+K44+K51</f>
        <v>2412764</v>
      </c>
      <c r="L54" s="2055"/>
      <c r="M54" s="2055">
        <f>+M44+M51</f>
        <v>2678520</v>
      </c>
      <c r="N54" s="2055"/>
      <c r="O54" s="2055">
        <f>+O44+O51</f>
        <v>45817</v>
      </c>
      <c r="P54" s="2055"/>
      <c r="Q54" s="2055">
        <f>+Q44+Q51</f>
        <v>0</v>
      </c>
      <c r="R54" s="2055"/>
      <c r="S54" s="2055">
        <f>+S44+S51</f>
        <v>5091284</v>
      </c>
      <c r="T54" s="1980"/>
      <c r="U54" s="1980"/>
      <c r="V54" s="2006"/>
      <c r="W54" s="2006"/>
      <c r="X54" s="1944"/>
      <c r="Y54" s="1984"/>
      <c r="Z54" s="1984"/>
      <c r="AA54" s="1944"/>
      <c r="AB54" s="1947"/>
      <c r="AC54" s="1947" t="s">
        <v>1169</v>
      </c>
      <c r="AD54" s="1947"/>
    </row>
    <row r="55" spans="1:30" x14ac:dyDescent="0.25">
      <c r="A55" s="1989"/>
      <c r="B55" s="2002"/>
      <c r="C55" s="2042"/>
      <c r="D55" s="1979"/>
      <c r="E55" s="1980"/>
      <c r="F55" s="1979"/>
      <c r="G55" s="2055"/>
      <c r="H55" s="2055"/>
      <c r="I55" s="2055"/>
      <c r="J55" s="2168"/>
      <c r="K55" s="2055"/>
      <c r="L55" s="2055"/>
      <c r="M55" s="2055"/>
      <c r="N55" s="2055"/>
      <c r="O55" s="2055"/>
      <c r="P55" s="2055"/>
      <c r="Q55" s="2055"/>
      <c r="R55" s="2055"/>
      <c r="S55" s="2055"/>
      <c r="T55" s="1980"/>
      <c r="U55" s="1980"/>
      <c r="V55" s="2006"/>
      <c r="W55" s="2006"/>
      <c r="X55" s="1944"/>
      <c r="Y55" s="1984"/>
      <c r="Z55" s="1984"/>
      <c r="AA55" s="1944"/>
      <c r="AB55" s="1947"/>
      <c r="AC55" s="1947">
        <f t="shared" si="0"/>
        <v>0</v>
      </c>
      <c r="AD55" s="1947"/>
    </row>
    <row r="56" spans="1:30" x14ac:dyDescent="0.25">
      <c r="A56" s="2057" t="s">
        <v>2151</v>
      </c>
      <c r="B56" s="2002"/>
      <c r="C56" s="2042"/>
      <c r="D56" s="1979"/>
      <c r="E56" s="1980"/>
      <c r="F56" s="1979"/>
      <c r="G56" s="2055"/>
      <c r="H56" s="2055"/>
      <c r="I56" s="2055"/>
      <c r="J56" s="2168"/>
      <c r="K56" s="2055"/>
      <c r="L56" s="2055"/>
      <c r="M56" s="2055"/>
      <c r="N56" s="2055"/>
      <c r="O56" s="2055"/>
      <c r="P56" s="2055"/>
      <c r="Q56" s="2055"/>
      <c r="R56" s="2055"/>
      <c r="S56" s="2055"/>
      <c r="T56" s="1980"/>
      <c r="U56" s="1980"/>
      <c r="V56" s="2006"/>
      <c r="W56" s="2006"/>
      <c r="X56" s="1944"/>
      <c r="Y56" s="1984"/>
      <c r="Z56" s="1984"/>
      <c r="AA56" s="1944"/>
      <c r="AB56" s="1947"/>
      <c r="AC56" s="1947">
        <f t="shared" si="0"/>
        <v>0</v>
      </c>
      <c r="AD56" s="1947"/>
    </row>
    <row r="57" spans="1:30" x14ac:dyDescent="0.25">
      <c r="A57" s="2057" t="s">
        <v>2113</v>
      </c>
      <c r="B57" s="1980"/>
      <c r="C57" s="2003"/>
      <c r="D57" s="1979"/>
      <c r="E57" s="1980"/>
      <c r="F57" s="1979"/>
      <c r="G57" s="1999"/>
      <c r="H57" s="1999"/>
      <c r="I57" s="2169"/>
      <c r="J57" s="2050"/>
      <c r="K57" s="2169"/>
      <c r="L57" s="2063"/>
      <c r="M57" s="2169"/>
      <c r="N57" s="2169"/>
      <c r="O57" s="2169"/>
      <c r="P57" s="2063"/>
      <c r="Q57" s="2169"/>
      <c r="R57" s="2050"/>
      <c r="S57" s="1995"/>
      <c r="T57" s="2059"/>
      <c r="U57" s="2060"/>
      <c r="V57" s="2006"/>
      <c r="W57" s="2006"/>
      <c r="X57" s="1944"/>
      <c r="Y57" s="1984"/>
      <c r="Z57" s="1984"/>
      <c r="AA57" s="1944"/>
      <c r="AB57" s="2061"/>
      <c r="AC57" s="1947">
        <f t="shared" si="0"/>
        <v>0</v>
      </c>
      <c r="AD57" s="1947"/>
    </row>
    <row r="58" spans="1:30" x14ac:dyDescent="0.25">
      <c r="A58" s="2057" t="s">
        <v>2152</v>
      </c>
      <c r="B58" s="1980"/>
      <c r="C58" s="2003"/>
      <c r="D58" s="1979"/>
      <c r="E58" s="1980"/>
      <c r="F58" s="1979"/>
      <c r="G58" s="1999"/>
      <c r="H58" s="1999"/>
      <c r="I58" s="2169"/>
      <c r="J58" s="2050"/>
      <c r="K58" s="2169"/>
      <c r="L58" s="2063"/>
      <c r="M58" s="2169" t="s">
        <v>1169</v>
      </c>
      <c r="N58" s="2169"/>
      <c r="O58" s="2169"/>
      <c r="P58" s="2063"/>
      <c r="Q58" s="2169"/>
      <c r="R58" s="2050"/>
      <c r="S58" s="1995" t="s">
        <v>1169</v>
      </c>
      <c r="T58" s="2059"/>
      <c r="U58" s="2060"/>
      <c r="V58" s="2006"/>
      <c r="W58" s="2006"/>
      <c r="X58" s="1944"/>
      <c r="Y58" s="1984"/>
      <c r="Z58" s="1984"/>
      <c r="AA58" s="1944"/>
      <c r="AB58" s="2061"/>
      <c r="AC58" s="1947">
        <f t="shared" si="0"/>
        <v>0</v>
      </c>
      <c r="AD58" s="1947"/>
    </row>
    <row r="59" spans="1:30" x14ac:dyDescent="0.25">
      <c r="A59" s="1979"/>
      <c r="B59" s="1980"/>
      <c r="C59" s="2003"/>
      <c r="D59" s="1979"/>
      <c r="E59" s="1980"/>
      <c r="F59" s="1979"/>
      <c r="G59" s="1999"/>
      <c r="H59" s="1999"/>
      <c r="I59" s="2169" t="s">
        <v>1169</v>
      </c>
      <c r="J59" s="2050"/>
      <c r="K59" s="2169" t="s">
        <v>1169</v>
      </c>
      <c r="L59" s="2063"/>
      <c r="M59" s="2169" t="s">
        <v>1169</v>
      </c>
      <c r="N59" s="2169"/>
      <c r="O59" s="2169"/>
      <c r="P59" s="2063"/>
      <c r="Q59" s="2169"/>
      <c r="R59" s="2050"/>
      <c r="S59" s="1995" t="s">
        <v>1169</v>
      </c>
      <c r="T59" s="2059"/>
      <c r="U59" s="2060"/>
      <c r="V59" s="2006"/>
      <c r="W59" s="2006"/>
      <c r="X59" s="1944"/>
      <c r="Y59" s="1984"/>
      <c r="Z59" s="1984"/>
      <c r="AA59" s="1944"/>
      <c r="AB59" s="2061"/>
      <c r="AC59" s="1947">
        <f t="shared" si="0"/>
        <v>0</v>
      </c>
      <c r="AD59" s="1947"/>
    </row>
    <row r="60" spans="1:30" ht="17.25" x14ac:dyDescent="0.25">
      <c r="A60" s="1979"/>
      <c r="B60" s="2062" t="s">
        <v>2217</v>
      </c>
      <c r="C60" s="2003">
        <v>84.126000000000005</v>
      </c>
      <c r="D60" s="1979"/>
      <c r="E60" s="1991" t="s">
        <v>2154</v>
      </c>
      <c r="F60" s="1991"/>
      <c r="G60" s="2055">
        <v>200</v>
      </c>
      <c r="H60" s="1999"/>
      <c r="I60" s="2030">
        <v>0</v>
      </c>
      <c r="J60" s="2050"/>
      <c r="K60" s="2055">
        <v>200</v>
      </c>
      <c r="L60" s="2063"/>
      <c r="M60" s="2030">
        <v>0</v>
      </c>
      <c r="N60" s="2064"/>
      <c r="O60" s="2030">
        <v>0</v>
      </c>
      <c r="P60" s="2063"/>
      <c r="Q60" s="2030">
        <v>0</v>
      </c>
      <c r="R60" s="2050"/>
      <c r="S60" s="2055">
        <f>Q60+M60+K60</f>
        <v>200</v>
      </c>
      <c r="T60" s="2063"/>
      <c r="U60" s="2052">
        <v>44242</v>
      </c>
      <c r="V60" s="2006" t="s">
        <v>2119</v>
      </c>
      <c r="W60" s="2006" t="s">
        <v>2120</v>
      </c>
      <c r="X60" s="1944"/>
      <c r="Y60" s="1984" t="s">
        <v>2121</v>
      </c>
      <c r="Z60" s="1984" t="s">
        <v>2121</v>
      </c>
      <c r="AA60" s="1944"/>
      <c r="AB60" s="1947"/>
      <c r="AC60" s="1947">
        <v>0</v>
      </c>
      <c r="AD60" s="1947"/>
    </row>
    <row r="61" spans="1:30" ht="17.25" hidden="1" x14ac:dyDescent="0.25">
      <c r="A61" s="1979"/>
      <c r="B61" s="2062" t="s">
        <v>2153</v>
      </c>
      <c r="C61" s="2003">
        <v>84.126000000000005</v>
      </c>
      <c r="D61" s="1979"/>
      <c r="E61" s="2065" t="s">
        <v>2154</v>
      </c>
      <c r="F61" s="1991"/>
      <c r="G61" s="2030">
        <v>0</v>
      </c>
      <c r="H61" s="2052" t="s">
        <v>1169</v>
      </c>
      <c r="I61" s="2030"/>
      <c r="J61" s="1991"/>
      <c r="K61" s="2030">
        <v>0</v>
      </c>
      <c r="L61" s="2052" t="s">
        <v>1169</v>
      </c>
      <c r="M61" s="2004"/>
      <c r="N61" s="2004"/>
      <c r="O61" s="2030">
        <v>0</v>
      </c>
      <c r="P61" s="2052"/>
      <c r="Q61" s="2030">
        <v>0</v>
      </c>
      <c r="R61" s="2004"/>
      <c r="S61" s="2024">
        <f>Q61+M61+K61</f>
        <v>0</v>
      </c>
      <c r="T61" s="2052"/>
      <c r="U61" s="2066"/>
      <c r="V61" s="2006" t="s">
        <v>2119</v>
      </c>
      <c r="W61" s="2006" t="s">
        <v>2120</v>
      </c>
      <c r="X61" s="1944"/>
      <c r="Y61" s="1984"/>
      <c r="Z61" s="1984"/>
      <c r="AA61" s="1944"/>
      <c r="AB61" s="2061"/>
      <c r="AC61" s="1947">
        <v>0</v>
      </c>
      <c r="AD61" s="1947"/>
    </row>
    <row r="62" spans="1:30" ht="17.25" x14ac:dyDescent="0.25">
      <c r="A62" s="2057" t="s">
        <v>2155</v>
      </c>
      <c r="B62" s="1980"/>
      <c r="C62" s="2003"/>
      <c r="D62" s="1979"/>
      <c r="E62" s="1980"/>
      <c r="F62" s="1991"/>
      <c r="G62" s="2055">
        <f>+G60+G54</f>
        <v>2333806</v>
      </c>
      <c r="H62" s="1999"/>
      <c r="I62" s="2067">
        <f>+I60+I54</f>
        <v>2665380</v>
      </c>
      <c r="J62" s="2068"/>
      <c r="K62" s="2055">
        <f>+K60+K54</f>
        <v>2412964</v>
      </c>
      <c r="L62" s="2068"/>
      <c r="M62" s="2067">
        <f>+M60+M54</f>
        <v>2678520</v>
      </c>
      <c r="N62" s="2068"/>
      <c r="O62" s="2067">
        <f>+O60+O54</f>
        <v>45817</v>
      </c>
      <c r="P62" s="2068"/>
      <c r="Q62" s="2030">
        <f>+Q60+Q54</f>
        <v>0</v>
      </c>
      <c r="R62" s="2068"/>
      <c r="S62" s="2055">
        <f>+S60+S54</f>
        <v>5091484</v>
      </c>
      <c r="T62" s="2059"/>
      <c r="U62" s="2060" t="s">
        <v>1169</v>
      </c>
      <c r="V62" s="2006"/>
      <c r="W62" s="2006"/>
      <c r="X62" s="1944"/>
      <c r="Y62" s="1984"/>
      <c r="Z62" s="1984"/>
      <c r="AA62" s="1944"/>
      <c r="AB62" s="2061"/>
      <c r="AC62" s="1947" t="s">
        <v>1169</v>
      </c>
      <c r="AD62" s="1947"/>
    </row>
    <row r="63" spans="1:30" ht="10.15" customHeight="1" x14ac:dyDescent="0.25">
      <c r="A63" s="2069"/>
      <c r="B63" s="2002"/>
      <c r="C63" s="2042"/>
      <c r="D63" s="1979"/>
      <c r="E63" s="1979"/>
      <c r="F63" s="1991"/>
      <c r="G63" s="2004"/>
      <c r="H63" s="1999"/>
      <c r="I63" s="2004"/>
      <c r="J63" s="2050"/>
      <c r="K63" s="2004"/>
      <c r="L63" s="1999"/>
      <c r="M63" s="2004"/>
      <c r="N63" s="2004"/>
      <c r="O63" s="2004"/>
      <c r="P63" s="1999"/>
      <c r="Q63" s="2004"/>
      <c r="R63" s="2050"/>
      <c r="S63" s="2070"/>
      <c r="T63" s="2060"/>
      <c r="U63" s="2071"/>
      <c r="V63" s="2006"/>
      <c r="W63" s="2006"/>
      <c r="X63" s="1944"/>
      <c r="Y63" s="1984"/>
      <c r="Z63" s="1984"/>
      <c r="AA63" s="1944"/>
      <c r="AB63" s="1988"/>
      <c r="AC63" s="1947">
        <f t="shared" si="0"/>
        <v>0</v>
      </c>
      <c r="AD63" s="1947"/>
    </row>
    <row r="64" spans="1:30" ht="17.25" x14ac:dyDescent="0.25">
      <c r="A64" s="1978" t="s">
        <v>2156</v>
      </c>
      <c r="C64" s="2003"/>
      <c r="D64" s="1979"/>
      <c r="E64" s="1980"/>
      <c r="F64" s="1979"/>
      <c r="G64" s="2067"/>
      <c r="H64" s="1999"/>
      <c r="I64" s="2067"/>
      <c r="J64" s="2072"/>
      <c r="K64" s="2067"/>
      <c r="L64" s="2072"/>
      <c r="M64" s="2067"/>
      <c r="N64" s="2067"/>
      <c r="O64" s="2067"/>
      <c r="P64" s="2072"/>
      <c r="Q64" s="2067"/>
      <c r="R64" s="2072"/>
      <c r="S64" s="2067"/>
      <c r="T64" s="2059"/>
      <c r="U64" s="2060"/>
      <c r="V64" s="2006"/>
      <c r="W64" s="2006"/>
      <c r="X64" s="1944"/>
      <c r="Y64" s="1984"/>
      <c r="Z64" s="1984"/>
      <c r="AA64" s="1944"/>
      <c r="AB64" s="2061"/>
      <c r="AC64" s="1947">
        <f t="shared" si="0"/>
        <v>0</v>
      </c>
      <c r="AD64" s="1947"/>
    </row>
    <row r="65" spans="1:30" ht="10.15" customHeight="1" x14ac:dyDescent="0.25">
      <c r="A65" s="2073"/>
      <c r="C65" s="2003"/>
      <c r="D65" s="1979"/>
      <c r="E65" s="1980"/>
      <c r="F65" s="1979"/>
      <c r="G65" s="2067"/>
      <c r="H65" s="1999"/>
      <c r="I65" s="2067"/>
      <c r="J65" s="2072"/>
      <c r="K65" s="2067"/>
      <c r="L65" s="2072"/>
      <c r="M65" s="2067"/>
      <c r="N65" s="2067"/>
      <c r="O65" s="2067"/>
      <c r="P65" s="2072"/>
      <c r="Q65" s="2067"/>
      <c r="R65" s="2072"/>
      <c r="S65" s="2067"/>
      <c r="T65" s="2059"/>
      <c r="U65" s="2060"/>
      <c r="V65" s="2006"/>
      <c r="W65" s="2006"/>
      <c r="X65" s="1944"/>
      <c r="Y65" s="1984"/>
      <c r="Z65" s="1984"/>
      <c r="AA65" s="1944"/>
      <c r="AB65" s="2061"/>
      <c r="AC65" s="1947">
        <f t="shared" si="0"/>
        <v>0</v>
      </c>
      <c r="AD65" s="1947"/>
    </row>
    <row r="66" spans="1:30" ht="17.25" x14ac:dyDescent="0.25">
      <c r="A66" s="1978" t="s">
        <v>2113</v>
      </c>
      <c r="C66" s="1978"/>
      <c r="D66" s="1979"/>
      <c r="E66" s="1980"/>
      <c r="F66" s="1979"/>
      <c r="G66" s="2067"/>
      <c r="H66" s="1999"/>
      <c r="I66" s="2067"/>
      <c r="J66" s="2072"/>
      <c r="K66" s="2067"/>
      <c r="L66" s="2072"/>
      <c r="M66" s="2067"/>
      <c r="N66" s="2067"/>
      <c r="O66" s="2067"/>
      <c r="P66" s="2072"/>
      <c r="Q66" s="2067"/>
      <c r="R66" s="2072"/>
      <c r="S66" s="2067"/>
      <c r="T66" s="2059"/>
      <c r="U66" s="2060"/>
      <c r="V66" s="2006"/>
      <c r="W66" s="2006"/>
      <c r="X66" s="1944"/>
      <c r="Y66" s="1984"/>
      <c r="Z66" s="1984"/>
      <c r="AA66" s="1944"/>
      <c r="AB66" s="2061"/>
      <c r="AC66" s="1947">
        <f t="shared" si="0"/>
        <v>0</v>
      </c>
      <c r="AD66" s="1947"/>
    </row>
    <row r="67" spans="1:30" ht="17.25" x14ac:dyDescent="0.25">
      <c r="A67" s="1978" t="s">
        <v>2157</v>
      </c>
      <c r="C67" s="2003"/>
      <c r="D67" s="1979"/>
      <c r="E67" s="1980"/>
      <c r="F67" s="1979"/>
      <c r="G67" s="2067"/>
      <c r="H67" s="1999"/>
      <c r="I67" s="2067"/>
      <c r="J67" s="2072"/>
      <c r="K67" s="2067"/>
      <c r="L67" s="2072"/>
      <c r="M67" s="2067"/>
      <c r="N67" s="2067"/>
      <c r="O67" s="2067"/>
      <c r="P67" s="2072"/>
      <c r="Q67" s="2067"/>
      <c r="R67" s="2072"/>
      <c r="S67" s="2067"/>
      <c r="T67" s="2059"/>
      <c r="U67" s="2060"/>
      <c r="V67" s="2006"/>
      <c r="W67" s="2006"/>
      <c r="X67" s="1944"/>
      <c r="Y67" s="1984"/>
      <c r="Z67" s="1984"/>
      <c r="AA67" s="1944"/>
      <c r="AB67" s="2061"/>
      <c r="AC67" s="1947">
        <f t="shared" si="0"/>
        <v>0</v>
      </c>
      <c r="AD67" s="1947"/>
    </row>
    <row r="68" spans="1:30" ht="17.25" x14ac:dyDescent="0.25">
      <c r="A68" s="2057" t="s">
        <v>2158</v>
      </c>
      <c r="B68" s="1980"/>
      <c r="C68" s="2003"/>
      <c r="D68" s="1979"/>
      <c r="E68" s="1980"/>
      <c r="F68" s="1979"/>
      <c r="G68" s="2067"/>
      <c r="H68" s="1999"/>
      <c r="I68" s="2072" t="s">
        <v>1169</v>
      </c>
      <c r="J68" s="2072"/>
      <c r="K68" s="2067"/>
      <c r="L68" s="2072"/>
      <c r="M68" s="2072" t="s">
        <v>1169</v>
      </c>
      <c r="N68" s="2072"/>
      <c r="O68" s="2072"/>
      <c r="P68" s="2072"/>
      <c r="Q68" s="2067"/>
      <c r="R68" s="2072"/>
      <c r="S68" s="2067"/>
      <c r="T68" s="2059"/>
      <c r="U68" s="2060"/>
      <c r="V68" s="2006"/>
      <c r="W68" s="2006"/>
      <c r="X68" s="1944"/>
      <c r="Y68" s="1984"/>
      <c r="Z68" s="1984"/>
      <c r="AA68" s="1944"/>
      <c r="AB68" s="2061"/>
      <c r="AC68" s="1947">
        <f t="shared" si="0"/>
        <v>0</v>
      </c>
      <c r="AD68" s="1947"/>
    </row>
    <row r="69" spans="1:30" ht="10.9" customHeight="1" x14ac:dyDescent="0.25">
      <c r="A69" s="2057"/>
      <c r="B69" s="1980"/>
      <c r="C69" s="2003"/>
      <c r="D69" s="1979"/>
      <c r="E69" s="1980"/>
      <c r="F69" s="1979"/>
      <c r="G69" s="2067"/>
      <c r="H69" s="1999"/>
      <c r="I69" s="2072" t="s">
        <v>1169</v>
      </c>
      <c r="J69" s="2072"/>
      <c r="K69" s="2067"/>
      <c r="L69" s="2072"/>
      <c r="M69" s="2072"/>
      <c r="N69" s="2072"/>
      <c r="O69" s="2072"/>
      <c r="P69" s="2072"/>
      <c r="Q69" s="2067"/>
      <c r="R69" s="2072"/>
      <c r="S69" s="2067"/>
      <c r="T69" s="2059"/>
      <c r="U69" s="2060"/>
      <c r="V69" s="2007"/>
      <c r="W69" s="2007"/>
      <c r="X69" s="1944"/>
      <c r="Y69" s="1984"/>
      <c r="Z69" s="1984"/>
      <c r="AA69" s="1944"/>
      <c r="AB69" s="2061"/>
      <c r="AC69" s="1947">
        <f t="shared" si="0"/>
        <v>0</v>
      </c>
      <c r="AD69" s="1947"/>
    </row>
    <row r="70" spans="1:30" x14ac:dyDescent="0.25">
      <c r="A70" s="2074"/>
      <c r="B70" s="1980" t="s">
        <v>2159</v>
      </c>
      <c r="C70" s="2003">
        <v>93.778000000000006</v>
      </c>
      <c r="D70" s="1979"/>
      <c r="E70" s="1991" t="s">
        <v>2160</v>
      </c>
      <c r="F70" s="1979"/>
      <c r="G70" s="2072">
        <v>52245</v>
      </c>
      <c r="H70" s="1999"/>
      <c r="I70" s="2072">
        <v>22007</v>
      </c>
      <c r="J70" s="2072"/>
      <c r="K70" s="2072">
        <v>77346</v>
      </c>
      <c r="L70" s="2072"/>
      <c r="M70" s="2072"/>
      <c r="N70" s="2072"/>
      <c r="O70" s="2072"/>
      <c r="P70" s="2072"/>
      <c r="Q70" s="2072" t="s">
        <v>1169</v>
      </c>
      <c r="R70" s="2072"/>
      <c r="S70" s="1995">
        <f>+K70+M70</f>
        <v>77346</v>
      </c>
      <c r="T70" s="2059"/>
      <c r="U70" s="2166" t="s">
        <v>2118</v>
      </c>
      <c r="V70" s="2007" t="s">
        <v>2119</v>
      </c>
      <c r="W70" s="2007"/>
      <c r="X70" s="1944"/>
      <c r="Y70" s="1984" t="s">
        <v>2121</v>
      </c>
      <c r="Z70" s="1984" t="s">
        <v>2121</v>
      </c>
      <c r="AA70" s="1944"/>
      <c r="AB70" s="2061"/>
      <c r="AC70" s="1947">
        <v>0</v>
      </c>
      <c r="AD70" s="1947"/>
    </row>
    <row r="71" spans="1:30" ht="17.25" x14ac:dyDescent="0.25">
      <c r="A71" s="2074"/>
      <c r="B71" s="1980" t="s">
        <v>2159</v>
      </c>
      <c r="C71" s="2003">
        <v>93.778000000000006</v>
      </c>
      <c r="D71" s="1979"/>
      <c r="E71" s="1991" t="s">
        <v>2161</v>
      </c>
      <c r="F71" s="1979"/>
      <c r="G71" s="2030">
        <v>0</v>
      </c>
      <c r="H71" s="1999"/>
      <c r="I71" s="2067">
        <f>51092+1</f>
        <v>51093</v>
      </c>
      <c r="J71" s="2072"/>
      <c r="K71" s="2030">
        <v>0</v>
      </c>
      <c r="L71" s="2072"/>
      <c r="M71" s="2067">
        <v>79692</v>
      </c>
      <c r="N71" s="2067"/>
      <c r="O71" s="2030">
        <v>0</v>
      </c>
      <c r="P71" s="2072"/>
      <c r="Q71" s="2030">
        <v>0</v>
      </c>
      <c r="R71" s="2072"/>
      <c r="S71" s="2024">
        <f>+K71+M71+Q71</f>
        <v>79692</v>
      </c>
      <c r="T71" s="2059"/>
      <c r="U71" s="2167" t="s">
        <v>2118</v>
      </c>
      <c r="V71" s="2007" t="s">
        <v>2119</v>
      </c>
      <c r="W71" s="2007" t="s">
        <v>2120</v>
      </c>
      <c r="X71" s="1944"/>
      <c r="Y71" s="1984" t="s">
        <v>2121</v>
      </c>
      <c r="Z71" s="1984" t="s">
        <v>2121</v>
      </c>
      <c r="AA71" s="1944"/>
      <c r="AB71" s="2061"/>
      <c r="AC71" s="1947">
        <v>0</v>
      </c>
      <c r="AD71" s="1947"/>
    </row>
    <row r="72" spans="1:30" ht="17.25" x14ac:dyDescent="0.25">
      <c r="A72" s="2057" t="s">
        <v>2162</v>
      </c>
      <c r="B72" s="1980"/>
      <c r="C72" s="2075"/>
      <c r="D72" s="1980"/>
      <c r="E72" s="1980"/>
      <c r="F72" s="1979"/>
      <c r="G72" s="2067">
        <f>SUM(G70:G71)</f>
        <v>52245</v>
      </c>
      <c r="H72" s="1999"/>
      <c r="I72" s="2067">
        <f>SUM(I70:I71)</f>
        <v>73100</v>
      </c>
      <c r="J72" s="2072"/>
      <c r="K72" s="2067">
        <f>SUM(K70:K71)</f>
        <v>77346</v>
      </c>
      <c r="L72" s="2072"/>
      <c r="M72" s="2067">
        <f>SUM(M70:M71)</f>
        <v>79692</v>
      </c>
      <c r="N72" s="2067"/>
      <c r="O72" s="2067">
        <f>SUM(O70:O71)</f>
        <v>0</v>
      </c>
      <c r="P72" s="2072"/>
      <c r="Q72" s="2076">
        <v>0</v>
      </c>
      <c r="R72" s="2077"/>
      <c r="S72" s="2024">
        <f>SUM(S70:S71)</f>
        <v>157038</v>
      </c>
      <c r="T72" s="2059"/>
      <c r="U72" s="2060"/>
      <c r="V72" s="2006"/>
      <c r="W72" s="2006"/>
      <c r="X72" s="1944"/>
      <c r="Y72" s="1984"/>
      <c r="Z72" s="1984"/>
      <c r="AA72" s="1944"/>
      <c r="AB72" s="2061"/>
      <c r="AC72" s="1947" t="s">
        <v>1169</v>
      </c>
      <c r="AD72" s="1947"/>
    </row>
    <row r="73" spans="1:30" ht="17.25" x14ac:dyDescent="0.25">
      <c r="A73" s="2074"/>
      <c r="B73" s="1980"/>
      <c r="C73" s="2075"/>
      <c r="D73" s="1980"/>
      <c r="E73" s="1980"/>
      <c r="F73" s="1979"/>
      <c r="G73" s="2079"/>
      <c r="H73" s="2060"/>
      <c r="I73" s="2077" t="s">
        <v>1169</v>
      </c>
      <c r="J73" s="2077"/>
      <c r="K73" s="2079"/>
      <c r="L73" s="2077"/>
      <c r="M73" s="2079"/>
      <c r="N73" s="2079"/>
      <c r="O73" s="2079"/>
      <c r="P73" s="2077"/>
      <c r="Q73" s="2079"/>
      <c r="R73" s="2077"/>
      <c r="S73" s="2070"/>
      <c r="T73" s="2059"/>
      <c r="U73" s="2060"/>
      <c r="V73" s="2006"/>
      <c r="W73" s="2006"/>
      <c r="X73" s="1944"/>
      <c r="Y73" s="1984"/>
      <c r="Z73" s="1984"/>
      <c r="AA73" s="1944"/>
      <c r="AB73" s="2061"/>
      <c r="AC73" s="1947">
        <f t="shared" si="0"/>
        <v>0</v>
      </c>
      <c r="AD73" s="1947"/>
    </row>
    <row r="74" spans="1:30" ht="17.25" x14ac:dyDescent="0.25">
      <c r="A74" s="2057" t="s">
        <v>2163</v>
      </c>
      <c r="B74" s="1980"/>
      <c r="C74" s="2075"/>
      <c r="D74" s="1980"/>
      <c r="E74" s="1979"/>
      <c r="F74" s="1979"/>
      <c r="G74" s="2080">
        <f>+G31+G62+G72</f>
        <v>2412926</v>
      </c>
      <c r="H74" s="2080"/>
      <c r="I74" s="2080">
        <f>+I31++I62+I72</f>
        <v>2772623</v>
      </c>
      <c r="J74" s="2080"/>
      <c r="K74" s="2080">
        <f>+K31+K62+K72</f>
        <v>2517185</v>
      </c>
      <c r="L74" s="2080"/>
      <c r="M74" s="2080">
        <f>+M31++M62+M72</f>
        <v>2795197</v>
      </c>
      <c r="N74" s="2080"/>
      <c r="O74" s="2080">
        <f>+O31+O62+O72</f>
        <v>82802</v>
      </c>
      <c r="P74" s="2080"/>
      <c r="Q74" s="2080">
        <f>+Q31++Q62+Q72</f>
        <v>0</v>
      </c>
      <c r="R74" s="2080"/>
      <c r="S74" s="2170">
        <f>+S62+S72+S31</f>
        <v>5312382</v>
      </c>
      <c r="T74" s="2060"/>
      <c r="U74" s="2060"/>
      <c r="V74" s="2006"/>
      <c r="W74" s="2006"/>
      <c r="X74" s="2081">
        <f>SUM(X11:X73)</f>
        <v>2568414</v>
      </c>
      <c r="Y74" s="1984"/>
      <c r="Z74" s="1984"/>
      <c r="AA74" s="2081">
        <f>SUM(AA31:AA73)</f>
        <v>0</v>
      </c>
      <c r="AB74" s="2061"/>
      <c r="AC74" s="2081">
        <f>SUM(AC31:AC73)</f>
        <v>-92298</v>
      </c>
      <c r="AD74" s="1947" t="s">
        <v>1169</v>
      </c>
    </row>
    <row r="75" spans="1:30" ht="17.25" x14ac:dyDescent="0.25">
      <c r="A75" s="2057"/>
      <c r="B75" s="1980"/>
      <c r="C75" s="2075"/>
      <c r="D75" s="1980"/>
      <c r="E75" s="1979"/>
      <c r="F75" s="1979"/>
      <c r="G75" s="2080"/>
      <c r="H75" s="2080"/>
      <c r="I75" s="2080"/>
      <c r="J75" s="2080"/>
      <c r="K75" s="2080"/>
      <c r="L75" s="2080"/>
      <c r="M75" s="2080"/>
      <c r="N75" s="2080"/>
      <c r="O75" s="2080"/>
      <c r="P75" s="2080"/>
      <c r="Q75" s="2080"/>
      <c r="R75" s="2080"/>
      <c r="S75" s="2170"/>
      <c r="T75" s="2060"/>
      <c r="U75" s="2060"/>
      <c r="V75" s="2006"/>
      <c r="W75" s="2006"/>
      <c r="X75" s="1944"/>
      <c r="Y75" s="1984"/>
      <c r="Z75" s="1984"/>
      <c r="AA75" s="1984" t="s">
        <v>2164</v>
      </c>
      <c r="AB75" s="2061"/>
      <c r="AC75" s="1947">
        <f>+G75+I75-K75-M75</f>
        <v>0</v>
      </c>
      <c r="AD75" s="1947" t="s">
        <v>1169</v>
      </c>
    </row>
    <row r="76" spans="1:30" x14ac:dyDescent="0.25">
      <c r="A76" s="2074" t="s">
        <v>2165</v>
      </c>
      <c r="B76" s="2057"/>
      <c r="C76" s="2082"/>
      <c r="D76" s="1989"/>
      <c r="E76" s="2083"/>
      <c r="F76" s="2083"/>
      <c r="G76" s="2084">
        <f>+G54+G31</f>
        <v>2360481</v>
      </c>
      <c r="H76" s="2084"/>
      <c r="I76" s="2084">
        <f>+I54+I31</f>
        <v>2699523</v>
      </c>
      <c r="J76" s="2084"/>
      <c r="K76" s="2084">
        <f>+K54+K31</f>
        <v>2439639</v>
      </c>
      <c r="L76" s="2084"/>
      <c r="M76" s="2084">
        <f>+M54+M31</f>
        <v>2715505</v>
      </c>
      <c r="N76" s="2084"/>
      <c r="O76" s="2084">
        <f>+O54+O31</f>
        <v>82802</v>
      </c>
      <c r="P76" s="2084"/>
      <c r="Q76" s="2084">
        <f>+Q54</f>
        <v>0</v>
      </c>
      <c r="R76" s="2084"/>
      <c r="S76" s="1995">
        <f>+S54+S31</f>
        <v>5155144</v>
      </c>
      <c r="T76" s="2085"/>
      <c r="U76" s="2086"/>
      <c r="V76" s="2006"/>
      <c r="W76" s="2006"/>
      <c r="X76" s="1963" t="s">
        <v>2166</v>
      </c>
      <c r="Y76" s="2087"/>
      <c r="Z76" s="2087"/>
      <c r="AA76" s="1944"/>
      <c r="AB76" s="2088"/>
      <c r="AC76" s="1947" t="s">
        <v>1169</v>
      </c>
      <c r="AD76" s="2089" t="s">
        <v>1169</v>
      </c>
    </row>
    <row r="77" spans="1:30" x14ac:dyDescent="0.25">
      <c r="A77" s="1980"/>
      <c r="B77" s="1980"/>
      <c r="C77" s="1980"/>
      <c r="D77" s="1980"/>
      <c r="E77" s="1980"/>
      <c r="F77" s="1980"/>
      <c r="G77" s="1980"/>
      <c r="H77" s="2090"/>
      <c r="I77" s="2090"/>
      <c r="J77" s="2091"/>
      <c r="K77" s="2090"/>
      <c r="L77" s="2090"/>
      <c r="M77" s="2090"/>
      <c r="N77" s="2090"/>
      <c r="O77" s="2090"/>
      <c r="P77" s="2090"/>
      <c r="Q77" s="2090"/>
      <c r="R77" s="2091"/>
      <c r="S77" s="2171"/>
      <c r="T77" s="2090"/>
      <c r="U77" s="2090"/>
      <c r="V77" s="2006"/>
      <c r="W77" s="2006"/>
      <c r="X77" s="2092">
        <f>+X74/M80</f>
        <v>0.91886689918456554</v>
      </c>
      <c r="Y77" s="2087"/>
      <c r="Z77" s="2087"/>
      <c r="AA77" s="1944"/>
      <c r="AB77" s="2093"/>
      <c r="AC77" s="1947" t="s">
        <v>1169</v>
      </c>
      <c r="AD77" s="2094" t="s">
        <v>1169</v>
      </c>
    </row>
    <row r="78" spans="1:30" ht="17.25" x14ac:dyDescent="0.25">
      <c r="A78" s="1989" t="s">
        <v>2167</v>
      </c>
      <c r="B78" s="1980"/>
      <c r="C78" s="1980"/>
      <c r="D78" s="1980"/>
      <c r="E78" s="1980"/>
      <c r="F78" s="1980"/>
      <c r="G78" s="2078">
        <f>+G60+G72</f>
        <v>52445</v>
      </c>
      <c r="H78" s="2078"/>
      <c r="I78" s="2078">
        <f>+I60+I72</f>
        <v>73100</v>
      </c>
      <c r="J78" s="2078"/>
      <c r="K78" s="2078">
        <f>+K60+K72</f>
        <v>77546</v>
      </c>
      <c r="L78" s="2078"/>
      <c r="M78" s="2078">
        <f>+M60+M72</f>
        <v>79692</v>
      </c>
      <c r="N78" s="2078"/>
      <c r="O78" s="2078">
        <f>+O60+O72</f>
        <v>0</v>
      </c>
      <c r="P78" s="2078"/>
      <c r="Q78" s="2078">
        <f>+Q60+Q72</f>
        <v>0</v>
      </c>
      <c r="R78" s="2078"/>
      <c r="S78" s="2024">
        <f>+S60+S72</f>
        <v>157238</v>
      </c>
      <c r="T78" s="2090"/>
      <c r="U78" s="2090"/>
      <c r="V78" s="2006"/>
      <c r="W78" s="2006"/>
      <c r="X78" s="2047"/>
      <c r="Y78" s="2087"/>
      <c r="Z78" s="2087"/>
      <c r="AA78" s="1944"/>
      <c r="AB78" s="2093"/>
      <c r="AC78" s="1947" t="s">
        <v>1169</v>
      </c>
      <c r="AD78" s="1947" t="s">
        <v>1169</v>
      </c>
    </row>
    <row r="79" spans="1:30" x14ac:dyDescent="0.25">
      <c r="A79" s="1980"/>
      <c r="B79" s="1980"/>
      <c r="C79" s="1980"/>
      <c r="D79" s="1980"/>
      <c r="E79" s="1980"/>
      <c r="F79" s="1980"/>
      <c r="G79" s="1980"/>
      <c r="H79" s="2090"/>
      <c r="I79" s="2090"/>
      <c r="J79" s="2091"/>
      <c r="K79" s="2090"/>
      <c r="L79" s="2090"/>
      <c r="M79" s="2090"/>
      <c r="N79" s="2090"/>
      <c r="O79" s="2090"/>
      <c r="P79" s="2090"/>
      <c r="Q79" s="2090"/>
      <c r="R79" s="2091"/>
      <c r="S79" s="2171"/>
      <c r="T79" s="2090"/>
      <c r="U79" s="2090"/>
      <c r="V79" s="2095"/>
      <c r="W79" s="2095"/>
      <c r="X79" s="2047"/>
      <c r="Y79" s="2087"/>
      <c r="Z79" s="2087"/>
      <c r="AA79" s="1944"/>
      <c r="AB79" s="2093"/>
      <c r="AC79" s="1947" t="s">
        <v>1169</v>
      </c>
      <c r="AD79" s="1947" t="s">
        <v>1169</v>
      </c>
    </row>
    <row r="80" spans="1:30" ht="17.25" x14ac:dyDescent="0.25">
      <c r="A80" s="1989" t="s">
        <v>2163</v>
      </c>
      <c r="B80" s="1980"/>
      <c r="C80" s="1980"/>
      <c r="D80" s="1980"/>
      <c r="E80" s="1980"/>
      <c r="F80" s="1980"/>
      <c r="G80" s="2080">
        <f>G76+G78</f>
        <v>2412926</v>
      </c>
      <c r="H80" s="2080"/>
      <c r="I80" s="2080">
        <f>I76+I78</f>
        <v>2772623</v>
      </c>
      <c r="J80" s="2080"/>
      <c r="K80" s="2080">
        <f>K76+K78</f>
        <v>2517185</v>
      </c>
      <c r="L80" s="2080"/>
      <c r="M80" s="2080">
        <f>M76+M78</f>
        <v>2795197</v>
      </c>
      <c r="N80" s="2080"/>
      <c r="O80" s="2080">
        <f>O76+O78</f>
        <v>82802</v>
      </c>
      <c r="P80" s="2080"/>
      <c r="Q80" s="2080">
        <f>Q76+Q78</f>
        <v>0</v>
      </c>
      <c r="R80" s="2080"/>
      <c r="S80" s="2170">
        <f>S76+S78</f>
        <v>5312382</v>
      </c>
      <c r="T80" s="2090"/>
      <c r="U80" s="1947"/>
      <c r="V80" s="2006"/>
      <c r="W80" s="2006"/>
      <c r="X80" s="2081" t="e">
        <f>SUM(#REF!)</f>
        <v>#REF!</v>
      </c>
      <c r="Y80" s="1984"/>
      <c r="Z80" s="2087"/>
      <c r="AA80" s="1944"/>
      <c r="AB80" s="2093"/>
      <c r="AC80" s="1947" t="s">
        <v>1169</v>
      </c>
      <c r="AD80" s="1947" t="s">
        <v>1169</v>
      </c>
    </row>
    <row r="81" spans="1:30" x14ac:dyDescent="0.25">
      <c r="A81" s="1980"/>
      <c r="B81" s="1980"/>
      <c r="C81" s="1980"/>
      <c r="D81" s="1980"/>
      <c r="E81" s="1980"/>
      <c r="F81" s="1980"/>
      <c r="G81" s="1980"/>
      <c r="H81" s="2090"/>
      <c r="I81" s="2090"/>
      <c r="J81" s="2091"/>
      <c r="K81" s="2090"/>
      <c r="L81" s="2090"/>
      <c r="M81" s="2090"/>
      <c r="N81" s="2090"/>
      <c r="O81" s="2090"/>
      <c r="P81" s="2090"/>
      <c r="Q81" s="2090"/>
      <c r="R81" s="2091"/>
      <c r="S81" s="2090"/>
      <c r="T81" s="2090"/>
      <c r="U81" s="1947"/>
      <c r="V81" s="2006"/>
      <c r="W81" s="2006"/>
      <c r="X81" s="2096" t="e">
        <f>+X80/#REF!</f>
        <v>#REF!</v>
      </c>
      <c r="Y81" s="1984"/>
      <c r="Z81" s="2087"/>
      <c r="AA81" s="2047"/>
      <c r="AB81" s="2093"/>
      <c r="AC81" s="1947"/>
      <c r="AD81" s="1947" t="s">
        <v>1169</v>
      </c>
    </row>
    <row r="82" spans="1:30" ht="15.75" thickBot="1" x14ac:dyDescent="0.3">
      <c r="A82" s="1980" t="s">
        <v>2168</v>
      </c>
      <c r="B82" s="1980"/>
      <c r="C82" s="1980"/>
      <c r="D82" s="1980"/>
      <c r="E82" s="1979"/>
      <c r="F82" s="1979"/>
      <c r="G82" s="2090"/>
      <c r="H82" s="2090"/>
      <c r="I82" s="2090" t="s">
        <v>1169</v>
      </c>
      <c r="J82" s="2091"/>
      <c r="K82" s="2090"/>
      <c r="L82" s="2090"/>
      <c r="M82" s="2090"/>
      <c r="N82" s="2090"/>
      <c r="O82" s="2090"/>
      <c r="P82" s="2090"/>
      <c r="Q82" s="2090"/>
      <c r="R82" s="2091"/>
      <c r="S82" s="2090"/>
      <c r="T82" s="2090"/>
      <c r="U82" s="1947"/>
      <c r="V82" s="2006"/>
      <c r="W82" s="2006"/>
      <c r="X82" s="2097" t="e">
        <f>+X80/M80</f>
        <v>#REF!</v>
      </c>
      <c r="Y82" s="1984"/>
      <c r="Z82" s="2087"/>
      <c r="AA82" s="2047"/>
      <c r="AB82" s="2093"/>
      <c r="AC82" s="1947"/>
      <c r="AD82" s="1947"/>
    </row>
    <row r="83" spans="1:30" ht="15.75" thickTop="1" x14ac:dyDescent="0.25">
      <c r="A83" s="2002" t="s">
        <v>2169</v>
      </c>
      <c r="B83" s="1980"/>
      <c r="C83" s="1980"/>
      <c r="D83" s="1980"/>
      <c r="E83" s="1979"/>
      <c r="F83" s="1979"/>
      <c r="G83" s="2090"/>
      <c r="H83" s="2090"/>
      <c r="I83" s="2090"/>
      <c r="J83" s="2091"/>
      <c r="K83" s="2090"/>
      <c r="L83" s="2090"/>
      <c r="M83" s="2090"/>
      <c r="N83" s="2090"/>
      <c r="O83" s="2090"/>
      <c r="P83" s="2090"/>
      <c r="Q83" s="2090"/>
      <c r="R83" s="2091"/>
      <c r="S83" s="2090"/>
      <c r="T83" s="2090"/>
      <c r="U83" s="1947"/>
      <c r="V83" s="2006"/>
      <c r="W83" s="2006"/>
      <c r="X83" s="1963" t="s">
        <v>2170</v>
      </c>
      <c r="Y83" s="2087"/>
      <c r="Z83" s="2087"/>
      <c r="AA83" s="2047"/>
      <c r="AB83" s="2093"/>
      <c r="AC83" s="1947"/>
      <c r="AD83" s="1947"/>
    </row>
    <row r="84" spans="1:30" x14ac:dyDescent="0.25">
      <c r="A84" s="1980" t="s">
        <v>2171</v>
      </c>
      <c r="B84" s="1980"/>
      <c r="C84" s="1980"/>
      <c r="D84" s="1980"/>
      <c r="E84" s="1979"/>
      <c r="F84" s="1979"/>
      <c r="G84" s="2090"/>
      <c r="H84" s="2090"/>
      <c r="I84" s="2090"/>
      <c r="J84" s="2091"/>
      <c r="K84" s="2090"/>
      <c r="L84" s="2090"/>
      <c r="M84" s="2090"/>
      <c r="N84" s="2090"/>
      <c r="O84" s="2090"/>
      <c r="P84" s="2090"/>
      <c r="Q84" s="2090"/>
      <c r="R84" s="2091"/>
      <c r="S84" s="2090"/>
      <c r="T84" s="2090"/>
      <c r="U84" s="2098"/>
      <c r="V84" s="2095"/>
      <c r="W84" s="2095"/>
      <c r="X84" s="1963" t="s">
        <v>2166</v>
      </c>
      <c r="Y84" s="2087"/>
      <c r="Z84" s="2087"/>
      <c r="AA84" s="2047"/>
      <c r="AB84" s="2093"/>
      <c r="AC84" s="1947"/>
      <c r="AD84" s="1947"/>
    </row>
    <row r="85" spans="1:30" x14ac:dyDescent="0.25">
      <c r="A85" s="2002" t="s">
        <v>2172</v>
      </c>
      <c r="B85" s="1980"/>
      <c r="C85" s="1980"/>
      <c r="D85" s="1980"/>
      <c r="E85" s="1979"/>
      <c r="F85" s="1979"/>
      <c r="G85" s="2090"/>
      <c r="H85" s="2090"/>
      <c r="I85" s="2090"/>
      <c r="J85" s="2091"/>
      <c r="K85" s="2090"/>
      <c r="L85" s="2090"/>
      <c r="M85" s="2090"/>
      <c r="N85" s="2090"/>
      <c r="O85" s="2090"/>
      <c r="P85" s="2090"/>
      <c r="Q85" s="2090"/>
      <c r="R85" s="2091"/>
      <c r="S85" s="2090"/>
      <c r="T85" s="2090"/>
      <c r="U85" s="2098"/>
      <c r="V85" s="2006"/>
      <c r="W85" s="2006"/>
      <c r="X85" s="2047"/>
      <c r="Y85" s="2087"/>
      <c r="Z85" s="2087"/>
      <c r="AA85" s="2047"/>
      <c r="AB85" s="2093"/>
      <c r="AC85" s="1947"/>
      <c r="AD85" s="1947"/>
    </row>
    <row r="86" spans="1:30" x14ac:dyDescent="0.25">
      <c r="A86" s="2002"/>
      <c r="B86" s="1980"/>
      <c r="C86" s="1980"/>
      <c r="D86" s="1980"/>
      <c r="E86" s="1979"/>
      <c r="F86" s="1979"/>
      <c r="G86" s="2090"/>
      <c r="H86" s="2090"/>
      <c r="I86" s="2090"/>
      <c r="J86" s="2091"/>
      <c r="K86" s="2090"/>
      <c r="L86" s="2090"/>
      <c r="M86" s="2090"/>
      <c r="N86" s="2090"/>
      <c r="O86" s="2090"/>
      <c r="P86" s="2090"/>
      <c r="Q86" s="2090"/>
      <c r="R86" s="2091"/>
      <c r="S86" s="2090"/>
      <c r="T86" s="2090"/>
      <c r="U86" s="2090"/>
      <c r="V86" s="2095"/>
      <c r="W86" s="2095"/>
      <c r="X86" s="2047"/>
      <c r="Y86" s="2087"/>
      <c r="Z86" s="2087"/>
      <c r="AA86" s="2047"/>
      <c r="AB86" s="2093"/>
      <c r="AC86" s="1947"/>
      <c r="AD86" s="1947"/>
    </row>
    <row r="87" spans="1:30" s="2103" customFormat="1" ht="13.5" customHeight="1" x14ac:dyDescent="0.25">
      <c r="A87" s="2668" t="s">
        <v>2173</v>
      </c>
      <c r="B87" s="2668"/>
      <c r="C87" s="2668"/>
      <c r="D87" s="2668"/>
      <c r="E87" s="2668"/>
      <c r="F87" s="2668"/>
      <c r="G87" s="2668"/>
      <c r="H87" s="2668"/>
      <c r="I87" s="2668"/>
      <c r="J87" s="2668"/>
      <c r="K87" s="2668"/>
      <c r="L87" s="2668"/>
      <c r="M87" s="2668"/>
      <c r="N87" s="2102"/>
      <c r="O87" s="2102"/>
      <c r="V87" s="2104"/>
      <c r="W87" s="2104"/>
      <c r="X87" s="2047"/>
      <c r="Y87" s="2087"/>
      <c r="Z87" s="2087"/>
      <c r="AA87" s="2047"/>
      <c r="AB87" s="2100"/>
      <c r="AC87" s="1947"/>
      <c r="AD87" s="1947"/>
    </row>
    <row r="88" spans="1:30" s="2103" customFormat="1" ht="13.5" customHeight="1" x14ac:dyDescent="0.25">
      <c r="A88" s="2671" t="s">
        <v>2174</v>
      </c>
      <c r="B88" s="2671"/>
      <c r="C88" s="2671"/>
      <c r="D88" s="2671"/>
      <c r="E88" s="2671"/>
      <c r="F88" s="2671"/>
      <c r="G88" s="2671"/>
      <c r="H88" s="2671"/>
      <c r="I88" s="2671"/>
      <c r="J88" s="2671"/>
      <c r="K88" s="2671"/>
      <c r="L88" s="2671"/>
      <c r="M88" s="2671"/>
      <c r="N88" s="2105"/>
      <c r="O88" s="2105"/>
      <c r="V88" s="2047"/>
      <c r="W88" s="2047"/>
      <c r="X88" s="2047"/>
      <c r="Y88" s="2047"/>
      <c r="Z88" s="2047"/>
      <c r="AA88" s="2047"/>
      <c r="AB88" s="2100"/>
      <c r="AC88" s="1947"/>
      <c r="AD88" s="1947"/>
    </row>
    <row r="89" spans="1:30" s="2103" customFormat="1" ht="13.5" customHeight="1" x14ac:dyDescent="0.25">
      <c r="A89" s="2668" t="s">
        <v>2175</v>
      </c>
      <c r="B89" s="2668"/>
      <c r="C89" s="2668"/>
      <c r="D89" s="2668"/>
      <c r="E89" s="2668"/>
      <c r="F89" s="2668"/>
      <c r="G89" s="2668"/>
      <c r="H89" s="2668"/>
      <c r="I89" s="2668"/>
      <c r="J89" s="2668"/>
      <c r="K89" s="2668"/>
      <c r="L89" s="2668"/>
      <c r="M89" s="2668"/>
      <c r="N89" s="2102"/>
      <c r="O89" s="2102"/>
      <c r="V89" s="2047"/>
      <c r="W89" s="2047"/>
      <c r="X89" s="2047"/>
      <c r="Y89" s="2047"/>
      <c r="Z89" s="2047"/>
      <c r="AA89" s="2047"/>
      <c r="AB89" s="2100"/>
      <c r="AC89" s="1947"/>
      <c r="AD89" s="1947"/>
    </row>
    <row r="90" spans="1:30" s="2103" customFormat="1" ht="13.5" customHeight="1" x14ac:dyDescent="0.25">
      <c r="A90" s="2106" t="s">
        <v>2176</v>
      </c>
      <c r="B90" s="2106"/>
      <c r="C90" s="2106"/>
      <c r="D90" s="2106"/>
      <c r="E90" s="2106"/>
      <c r="F90" s="2106"/>
      <c r="G90" s="2106"/>
      <c r="H90" s="2106"/>
      <c r="I90" s="2106"/>
      <c r="J90" s="2106"/>
      <c r="K90" s="2106"/>
      <c r="L90" s="2106"/>
      <c r="M90" s="2106"/>
      <c r="N90" s="2106"/>
      <c r="O90" s="2106"/>
      <c r="V90" s="2047"/>
      <c r="W90" s="2047"/>
      <c r="X90" s="2047"/>
      <c r="Y90" s="2047"/>
      <c r="Z90" s="2047"/>
      <c r="AA90" s="2047"/>
      <c r="AB90" s="2100"/>
      <c r="AC90" s="1947"/>
      <c r="AD90" s="1947"/>
    </row>
    <row r="91" spans="1:30" s="2103" customFormat="1" ht="13.5" customHeight="1" x14ac:dyDescent="0.25">
      <c r="A91" s="2107" t="s">
        <v>2177</v>
      </c>
      <c r="B91" s="2108"/>
      <c r="C91" s="2109"/>
      <c r="D91" s="2110"/>
      <c r="E91" s="2110"/>
      <c r="F91" s="2110"/>
      <c r="G91" s="2110"/>
      <c r="H91" s="2110"/>
      <c r="I91" s="2110"/>
      <c r="J91" s="2110"/>
      <c r="V91" s="2047"/>
      <c r="W91" s="2047"/>
      <c r="X91" s="2047"/>
      <c r="Y91" s="2047"/>
      <c r="Z91" s="2047"/>
      <c r="AA91" s="2047"/>
      <c r="AB91" s="2100"/>
      <c r="AC91" s="1947"/>
      <c r="AD91" s="1947"/>
    </row>
    <row r="92" spans="1:30" s="2103" customFormat="1" ht="13.5" customHeight="1" x14ac:dyDescent="0.25">
      <c r="A92" s="2107" t="s">
        <v>2178</v>
      </c>
      <c r="B92" s="2108"/>
      <c r="C92" s="2109"/>
      <c r="D92" s="2110"/>
      <c r="E92" s="2110"/>
      <c r="F92" s="2110"/>
      <c r="G92" s="2110"/>
      <c r="H92" s="2110"/>
      <c r="I92" s="2110"/>
      <c r="J92" s="2110"/>
      <c r="V92" s="2047"/>
      <c r="W92" s="2047"/>
      <c r="X92" s="2047"/>
      <c r="Y92" s="2047"/>
      <c r="Z92" s="2047"/>
      <c r="AA92" s="2047"/>
      <c r="AB92" s="2100"/>
      <c r="AC92" s="1947"/>
      <c r="AD92" s="1947"/>
    </row>
    <row r="93" spans="1:30" s="2103" customFormat="1" ht="13.5" customHeight="1" x14ac:dyDescent="0.25">
      <c r="A93" s="2110" t="s">
        <v>2179</v>
      </c>
      <c r="B93" s="2111"/>
      <c r="C93" s="2112"/>
      <c r="V93" s="2047"/>
      <c r="W93" s="2047"/>
      <c r="X93" s="2047"/>
      <c r="Y93" s="2047"/>
      <c r="Z93" s="2047"/>
      <c r="AA93" s="2047"/>
      <c r="AB93" s="2100"/>
      <c r="AC93" s="1947"/>
      <c r="AD93" s="1947"/>
    </row>
    <row r="94" spans="1:30" s="2103" customFormat="1" ht="13.5" customHeight="1" x14ac:dyDescent="0.25">
      <c r="A94" s="2110" t="s">
        <v>2180</v>
      </c>
      <c r="B94" s="2111"/>
      <c r="C94" s="2112"/>
      <c r="V94" s="2047"/>
      <c r="W94" s="2047"/>
      <c r="X94" s="2047"/>
      <c r="Y94" s="2047"/>
      <c r="Z94" s="2047"/>
      <c r="AA94" s="2047"/>
      <c r="AB94" s="2100"/>
      <c r="AC94" s="1947"/>
      <c r="AD94" s="1947"/>
    </row>
    <row r="95" spans="1:30" s="2103" customFormat="1" ht="13.5" customHeight="1" x14ac:dyDescent="0.25">
      <c r="A95" s="2110" t="s">
        <v>2181</v>
      </c>
      <c r="B95" s="2111"/>
      <c r="C95" s="2112"/>
      <c r="V95" s="2047"/>
      <c r="W95" s="2047"/>
      <c r="X95" s="2047"/>
      <c r="Y95" s="2047"/>
      <c r="Z95" s="2047"/>
      <c r="AA95" s="2047"/>
      <c r="AB95" s="2100"/>
      <c r="AC95" s="1947"/>
      <c r="AD95" s="1947"/>
    </row>
    <row r="96" spans="1:30" s="2113" customFormat="1" ht="13.5" customHeight="1" x14ac:dyDescent="0.25">
      <c r="B96" s="2114"/>
      <c r="C96" s="2115"/>
      <c r="F96" s="2116"/>
      <c r="G96" s="2116"/>
      <c r="H96" s="2116"/>
      <c r="I96" s="2116"/>
      <c r="J96" s="2117"/>
      <c r="V96" s="2047"/>
      <c r="W96" s="2047"/>
      <c r="X96" s="2047"/>
      <c r="Y96" s="2047"/>
      <c r="Z96" s="2047"/>
      <c r="AA96" s="2047"/>
      <c r="AB96" s="2100"/>
      <c r="AC96" s="1947"/>
      <c r="AD96" s="1947"/>
    </row>
    <row r="97" spans="1:30" x14ac:dyDescent="0.25">
      <c r="V97" s="2047"/>
      <c r="W97" s="2047"/>
      <c r="X97" s="2047"/>
      <c r="Y97" s="2047"/>
      <c r="Z97" s="2047"/>
      <c r="AA97" s="2047"/>
      <c r="AB97" s="2100"/>
      <c r="AC97" s="1947"/>
      <c r="AD97" s="1947"/>
    </row>
    <row r="98" spans="1:30" x14ac:dyDescent="0.25">
      <c r="V98" s="2047"/>
      <c r="W98" s="2047"/>
      <c r="X98" s="2047"/>
      <c r="Y98" s="2047"/>
      <c r="Z98" s="2047"/>
      <c r="AA98" s="2047"/>
      <c r="AB98" s="2100"/>
      <c r="AC98" s="1947"/>
      <c r="AD98" s="1947"/>
    </row>
    <row r="99" spans="1:30" x14ac:dyDescent="0.25">
      <c r="V99" s="2047"/>
      <c r="W99" s="2047"/>
      <c r="X99" s="2047"/>
      <c r="Y99" s="2047"/>
      <c r="Z99" s="2047"/>
      <c r="AA99" s="2047"/>
      <c r="AB99" s="2093"/>
      <c r="AC99" s="1947"/>
      <c r="AD99" s="1947"/>
    </row>
    <row r="100" spans="1:30" x14ac:dyDescent="0.25">
      <c r="V100" s="2047"/>
      <c r="W100" s="2047"/>
      <c r="X100" s="2047"/>
      <c r="Y100" s="2047"/>
      <c r="Z100" s="2047"/>
      <c r="AA100" s="2047"/>
      <c r="AB100" s="2093"/>
      <c r="AC100" s="1947"/>
      <c r="AD100" s="1947"/>
    </row>
    <row r="101" spans="1:30" x14ac:dyDescent="0.25">
      <c r="V101" s="2047"/>
      <c r="W101" s="2047"/>
      <c r="X101" s="2047"/>
      <c r="Y101" s="2047"/>
      <c r="Z101" s="2047"/>
      <c r="AA101" s="2047"/>
      <c r="AB101" s="2093"/>
      <c r="AC101" s="1947"/>
      <c r="AD101" s="1947"/>
    </row>
    <row r="102" spans="1:30" x14ac:dyDescent="0.25">
      <c r="V102" s="2047"/>
      <c r="W102" s="2047"/>
      <c r="X102" s="2047"/>
      <c r="Y102" s="2047"/>
      <c r="Z102" s="2047"/>
      <c r="AA102" s="2047"/>
      <c r="AB102" s="2093"/>
      <c r="AC102" s="1947"/>
      <c r="AD102" s="1947"/>
    </row>
    <row r="103" spans="1:30" x14ac:dyDescent="0.2">
      <c r="V103" s="2047"/>
      <c r="W103" s="2047"/>
      <c r="X103" s="2047"/>
      <c r="Y103" s="2047"/>
      <c r="Z103" s="2047"/>
      <c r="AA103" s="2047"/>
      <c r="AB103" s="2118"/>
      <c r="AC103" s="2047"/>
      <c r="AD103" s="2047"/>
    </row>
    <row r="104" spans="1:30" x14ac:dyDescent="0.2">
      <c r="V104" s="2047"/>
      <c r="W104" s="2047"/>
      <c r="X104" s="2047"/>
      <c r="Y104" s="2047"/>
      <c r="Z104" s="2047"/>
      <c r="AA104" s="2047"/>
      <c r="AB104" s="2118"/>
      <c r="AC104" s="2047"/>
      <c r="AD104" s="2047"/>
    </row>
    <row r="105" spans="1:30" x14ac:dyDescent="0.2">
      <c r="V105" s="2047"/>
      <c r="W105" s="2047"/>
      <c r="X105" s="2047"/>
      <c r="Y105" s="2047"/>
      <c r="Z105" s="2047"/>
      <c r="AA105" s="2047"/>
      <c r="AB105" s="2118"/>
      <c r="AC105" s="2047"/>
      <c r="AD105" s="2047"/>
    </row>
    <row r="106" spans="1:30" x14ac:dyDescent="0.2">
      <c r="V106" s="2047"/>
      <c r="W106" s="2047"/>
      <c r="X106" s="2047"/>
      <c r="Y106" s="2047"/>
      <c r="Z106" s="2047"/>
      <c r="AA106" s="2047"/>
      <c r="AB106" s="2119"/>
      <c r="AC106" s="2120"/>
      <c r="AD106" s="2120"/>
    </row>
    <row r="107" spans="1:30" x14ac:dyDescent="0.15">
      <c r="V107" s="2047"/>
      <c r="W107" s="2047"/>
      <c r="X107" s="2047"/>
      <c r="Y107" s="2047"/>
      <c r="Z107" s="2047"/>
      <c r="AA107" s="2047"/>
      <c r="AB107" s="2121"/>
      <c r="AC107" s="2121"/>
      <c r="AD107" s="2121"/>
    </row>
    <row r="108" spans="1:30" x14ac:dyDescent="0.15">
      <c r="V108" s="2047"/>
      <c r="W108" s="2047"/>
      <c r="X108" s="2047"/>
      <c r="Y108" s="2047"/>
      <c r="Z108" s="2047"/>
      <c r="AA108" s="2047"/>
      <c r="AB108" s="2121"/>
      <c r="AC108" s="2121"/>
      <c r="AD108" s="2121"/>
    </row>
    <row r="109" spans="1:30" x14ac:dyDescent="0.15">
      <c r="V109" s="2047"/>
      <c r="W109" s="2047"/>
      <c r="X109" s="2047"/>
      <c r="Y109" s="2047"/>
      <c r="Z109" s="2047"/>
      <c r="AA109" s="2047"/>
      <c r="AB109" s="2121"/>
      <c r="AC109" s="2121"/>
      <c r="AD109" s="2121"/>
    </row>
    <row r="110" spans="1:30" x14ac:dyDescent="0.15">
      <c r="V110" s="2047"/>
      <c r="W110" s="2047"/>
      <c r="X110" s="2047"/>
      <c r="Y110" s="2047"/>
      <c r="Z110" s="2047"/>
      <c r="AA110" s="2047"/>
      <c r="AB110" s="2121"/>
      <c r="AC110" s="2121"/>
      <c r="AD110" s="2121"/>
    </row>
    <row r="111" spans="1:30" ht="12" x14ac:dyDescent="0.15">
      <c r="A111" s="1935"/>
      <c r="F111" s="1935"/>
      <c r="J111" s="1935"/>
      <c r="R111" s="1935"/>
      <c r="V111" s="2047"/>
      <c r="W111" s="2047"/>
      <c r="X111" s="2047"/>
      <c r="Y111" s="2047"/>
      <c r="Z111" s="2047"/>
      <c r="AA111" s="2047"/>
      <c r="AB111" s="2121"/>
      <c r="AC111" s="2121"/>
      <c r="AD111" s="2121"/>
    </row>
    <row r="112" spans="1:30" ht="12" x14ac:dyDescent="0.15">
      <c r="A112" s="1935"/>
      <c r="F112" s="1935"/>
      <c r="J112" s="1935"/>
      <c r="R112" s="1935"/>
      <c r="V112" s="2047"/>
      <c r="W112" s="2047"/>
      <c r="X112" s="2047"/>
      <c r="Y112" s="2047"/>
      <c r="Z112" s="2047"/>
      <c r="AA112" s="2047"/>
      <c r="AB112" s="2121"/>
      <c r="AC112" s="2121"/>
      <c r="AD112" s="2121"/>
    </row>
    <row r="113" spans="1:30" ht="12" x14ac:dyDescent="0.15">
      <c r="A113" s="1935"/>
      <c r="F113" s="1935"/>
      <c r="J113" s="1935"/>
      <c r="R113" s="1935"/>
      <c r="V113" s="2047"/>
      <c r="W113" s="2047"/>
      <c r="X113" s="2047"/>
      <c r="Y113" s="2047"/>
      <c r="Z113" s="2047"/>
      <c r="AA113" s="2047"/>
      <c r="AB113" s="2121"/>
      <c r="AC113" s="2121"/>
      <c r="AD113" s="2121"/>
    </row>
    <row r="114" spans="1:30" ht="12" x14ac:dyDescent="0.15">
      <c r="A114" s="1935"/>
      <c r="F114" s="1935"/>
      <c r="J114" s="1935"/>
      <c r="R114" s="1935"/>
      <c r="V114" s="2047"/>
      <c r="W114" s="2047"/>
      <c r="X114" s="2047"/>
      <c r="Y114" s="2047"/>
      <c r="Z114" s="2047"/>
      <c r="AA114" s="2047"/>
      <c r="AB114" s="2121"/>
      <c r="AC114" s="2121"/>
      <c r="AD114" s="2121"/>
    </row>
    <row r="115" spans="1:30" ht="12" x14ac:dyDescent="0.15">
      <c r="A115" s="1935"/>
      <c r="F115" s="1935"/>
      <c r="J115" s="1935"/>
      <c r="R115" s="1935"/>
      <c r="V115" s="2047"/>
      <c r="W115" s="2047"/>
      <c r="X115" s="2047"/>
      <c r="Y115" s="2047"/>
      <c r="Z115" s="2047"/>
      <c r="AA115" s="2047"/>
      <c r="AB115" s="2121"/>
      <c r="AC115" s="2121"/>
      <c r="AD115" s="2121"/>
    </row>
    <row r="116" spans="1:30" ht="12" x14ac:dyDescent="0.15">
      <c r="A116" s="1935"/>
      <c r="F116" s="1935"/>
      <c r="J116" s="1935"/>
      <c r="R116" s="1935"/>
      <c r="V116" s="2047"/>
      <c r="W116" s="2047"/>
      <c r="X116" s="2047"/>
      <c r="Y116" s="2047"/>
      <c r="Z116" s="2047"/>
      <c r="AA116" s="2047"/>
      <c r="AB116" s="2122"/>
      <c r="AC116" s="2122"/>
      <c r="AD116" s="2122"/>
    </row>
    <row r="117" spans="1:30" ht="12" x14ac:dyDescent="0.2">
      <c r="A117" s="1935"/>
      <c r="F117" s="1935"/>
      <c r="J117" s="1935"/>
      <c r="R117" s="1935"/>
      <c r="V117" s="2047"/>
      <c r="W117" s="2047"/>
      <c r="X117" s="2047"/>
      <c r="Y117" s="2047"/>
      <c r="Z117" s="2047"/>
      <c r="AA117" s="2047"/>
      <c r="AB117" s="2047"/>
      <c r="AC117" s="2047"/>
      <c r="AD117" s="2047"/>
    </row>
    <row r="118" spans="1:30" ht="12" x14ac:dyDescent="0.2">
      <c r="A118" s="1935"/>
      <c r="F118" s="1935"/>
      <c r="J118" s="1935"/>
      <c r="R118" s="1935"/>
      <c r="V118" s="2047"/>
      <c r="W118" s="2047"/>
      <c r="X118" s="2047"/>
      <c r="Y118" s="2047"/>
      <c r="Z118" s="2047"/>
      <c r="AA118" s="2047"/>
      <c r="AB118" s="2047"/>
      <c r="AC118" s="2047"/>
      <c r="AD118" s="2047"/>
    </row>
    <row r="119" spans="1:30" ht="12" x14ac:dyDescent="0.2">
      <c r="A119" s="1935"/>
      <c r="F119" s="1935"/>
      <c r="J119" s="1935"/>
      <c r="R119" s="1935"/>
      <c r="V119" s="2047"/>
      <c r="W119" s="2047"/>
      <c r="X119" s="2047"/>
      <c r="Y119" s="2047"/>
      <c r="Z119" s="2047"/>
      <c r="AA119" s="2047"/>
      <c r="AB119" s="2047"/>
      <c r="AC119" s="2047"/>
      <c r="AD119" s="2047"/>
    </row>
    <row r="120" spans="1:30" ht="12" x14ac:dyDescent="0.2">
      <c r="A120" s="1935"/>
      <c r="F120" s="1935"/>
      <c r="J120" s="1935"/>
      <c r="R120" s="1935"/>
      <c r="V120" s="2047"/>
      <c r="W120" s="2047"/>
      <c r="X120" s="2047"/>
      <c r="Y120" s="2047"/>
      <c r="Z120" s="2047"/>
      <c r="AA120" s="2047"/>
      <c r="AB120" s="2047"/>
      <c r="AC120" s="2047"/>
      <c r="AD120" s="2047"/>
    </row>
    <row r="121" spans="1:30" ht="12" x14ac:dyDescent="0.2">
      <c r="A121" s="1935"/>
      <c r="F121" s="1935"/>
      <c r="J121" s="1935"/>
      <c r="R121" s="1935"/>
      <c r="V121" s="2047"/>
      <c r="W121" s="2047"/>
      <c r="X121" s="2047"/>
      <c r="Y121" s="2047"/>
      <c r="Z121" s="2047"/>
      <c r="AA121" s="2047"/>
      <c r="AB121" s="2047"/>
      <c r="AC121" s="2047"/>
      <c r="AD121" s="2047"/>
    </row>
  </sheetData>
  <mergeCells count="11">
    <mergeCell ref="A1:U1"/>
    <mergeCell ref="A2:U2"/>
    <mergeCell ref="A3:U3"/>
    <mergeCell ref="A4:U4"/>
    <mergeCell ref="G7:I7"/>
    <mergeCell ref="K7:O7"/>
    <mergeCell ref="A89:M89"/>
    <mergeCell ref="V7:Z7"/>
    <mergeCell ref="V8:X8"/>
    <mergeCell ref="A87:M87"/>
    <mergeCell ref="A88:M88"/>
  </mergeCells>
  <printOptions horizontalCentered="1" gridLinesSet="0"/>
  <pageMargins left="0.25" right="0.25" top="0.5" bottom="0.5" header="0.5" footer="0"/>
  <pageSetup scale="65" fitToHeight="0" orientation="landscape" r:id="rId1"/>
  <headerFooter alignWithMargins="0">
    <oddFooter>&amp;LSee the accompanying notes to the Schedule of Expenditures of Federal Awards.</oddFooter>
  </headerFooter>
  <rowBreaks count="1" manualBreakCount="1">
    <brk id="54"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85" t="s">
        <v>1168</v>
      </c>
      <c r="B2" s="2285"/>
      <c r="C2" s="2285"/>
      <c r="D2" s="2285"/>
      <c r="E2" s="2285"/>
      <c r="F2" s="2285"/>
      <c r="G2" s="2285"/>
      <c r="H2" s="2285"/>
      <c r="I2" s="2285"/>
      <c r="J2" s="228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99" t="s">
        <v>1633</v>
      </c>
      <c r="B35" s="2300"/>
      <c r="C35" s="2300"/>
      <c r="D35" s="2300"/>
      <c r="E35" s="2301"/>
      <c r="F35" s="2301"/>
      <c r="G35" s="2301"/>
      <c r="H35" s="2301"/>
      <c r="I35" s="230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99" t="s">
        <v>313</v>
      </c>
      <c r="B47" s="2302"/>
      <c r="C47" s="2302"/>
      <c r="D47" s="2302"/>
      <c r="E47" s="2303"/>
      <c r="F47" s="2303"/>
      <c r="G47" s="2303"/>
      <c r="H47" s="2303"/>
      <c r="I47" s="230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306"/>
      <c r="C57" s="2307"/>
      <c r="D57" s="2307"/>
      <c r="E57" s="2307"/>
      <c r="F57" s="2307"/>
      <c r="G57" s="2307"/>
      <c r="H57" s="2307"/>
      <c r="I57" s="2307"/>
      <c r="J57" s="2308"/>
    </row>
    <row r="58" spans="1:10" s="181" customFormat="1" x14ac:dyDescent="0.2">
      <c r="A58" s="253"/>
      <c r="B58" s="2309"/>
      <c r="C58" s="2310"/>
      <c r="D58" s="2310"/>
      <c r="E58" s="2310"/>
      <c r="F58" s="2310"/>
      <c r="G58" s="2310"/>
      <c r="H58" s="2310"/>
      <c r="I58" s="2310"/>
      <c r="J58" s="2311"/>
    </row>
    <row r="59" spans="1:10" s="181" customFormat="1" x14ac:dyDescent="0.2">
      <c r="A59" s="253"/>
      <c r="B59" s="2309"/>
      <c r="C59" s="2310"/>
      <c r="D59" s="2310"/>
      <c r="E59" s="2310"/>
      <c r="F59" s="2310"/>
      <c r="G59" s="2310"/>
      <c r="H59" s="2310"/>
      <c r="I59" s="2310"/>
      <c r="J59" s="2311"/>
    </row>
    <row r="60" spans="1:10" s="181" customFormat="1" x14ac:dyDescent="0.2">
      <c r="A60" s="253"/>
      <c r="B60" s="2309"/>
      <c r="C60" s="2310"/>
      <c r="D60" s="2310"/>
      <c r="E60" s="2310"/>
      <c r="F60" s="2310"/>
      <c r="G60" s="2310"/>
      <c r="H60" s="2310"/>
      <c r="I60" s="2310"/>
      <c r="J60" s="2311"/>
    </row>
    <row r="61" spans="1:10" s="181" customFormat="1" x14ac:dyDescent="0.2">
      <c r="A61" s="253"/>
      <c r="B61" s="2309"/>
      <c r="C61" s="2310"/>
      <c r="D61" s="2310"/>
      <c r="E61" s="2310"/>
      <c r="F61" s="2310"/>
      <c r="G61" s="2310"/>
      <c r="H61" s="2310"/>
      <c r="I61" s="2310"/>
      <c r="J61" s="2311"/>
    </row>
    <row r="62" spans="1:10" s="181" customFormat="1" x14ac:dyDescent="0.2">
      <c r="A62" s="253"/>
      <c r="B62" s="2309"/>
      <c r="C62" s="2310"/>
      <c r="D62" s="2310"/>
      <c r="E62" s="2310"/>
      <c r="F62" s="2310"/>
      <c r="G62" s="2310"/>
      <c r="H62" s="2310"/>
      <c r="I62" s="2310"/>
      <c r="J62" s="2311"/>
    </row>
    <row r="63" spans="1:10" s="181" customFormat="1" x14ac:dyDescent="0.2">
      <c r="A63" s="253"/>
      <c r="B63" s="2309"/>
      <c r="C63" s="2310"/>
      <c r="D63" s="2310"/>
      <c r="E63" s="2310"/>
      <c r="F63" s="2310"/>
      <c r="G63" s="2310"/>
      <c r="H63" s="2310"/>
      <c r="I63" s="2310"/>
      <c r="J63" s="2311"/>
    </row>
    <row r="64" spans="1:10" s="181" customFormat="1" x14ac:dyDescent="0.2">
      <c r="A64" s="253"/>
      <c r="B64" s="2309"/>
      <c r="C64" s="2310"/>
      <c r="D64" s="2310"/>
      <c r="E64" s="2310"/>
      <c r="F64" s="2310"/>
      <c r="G64" s="2310"/>
      <c r="H64" s="2310"/>
      <c r="I64" s="2310"/>
      <c r="J64" s="2311"/>
    </row>
    <row r="65" spans="1:10" s="181" customFormat="1" x14ac:dyDescent="0.2">
      <c r="A65" s="253"/>
      <c r="B65" s="2309"/>
      <c r="C65" s="2310"/>
      <c r="D65" s="2310"/>
      <c r="E65" s="2310"/>
      <c r="F65" s="2310"/>
      <c r="G65" s="2310"/>
      <c r="H65" s="2310"/>
      <c r="I65" s="2310"/>
      <c r="J65" s="2311"/>
    </row>
    <row r="66" spans="1:10" s="181" customFormat="1" x14ac:dyDescent="0.2">
      <c r="A66" s="253"/>
      <c r="B66" s="2309"/>
      <c r="C66" s="2310"/>
      <c r="D66" s="2310"/>
      <c r="E66" s="2310"/>
      <c r="F66" s="2310"/>
      <c r="G66" s="2310"/>
      <c r="H66" s="2310"/>
      <c r="I66" s="2310"/>
      <c r="J66" s="2311"/>
    </row>
    <row r="67" spans="1:10" s="181" customFormat="1" ht="9" customHeight="1" x14ac:dyDescent="0.2">
      <c r="A67" s="254"/>
      <c r="B67" s="2312"/>
      <c r="C67" s="2313"/>
      <c r="D67" s="2313"/>
      <c r="E67" s="2313"/>
      <c r="F67" s="2313"/>
      <c r="G67" s="2313"/>
      <c r="H67" s="2313"/>
      <c r="I67" s="2313"/>
      <c r="J67" s="23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99" t="s">
        <v>1323</v>
      </c>
      <c r="B70" s="2302"/>
      <c r="C70" s="2302"/>
      <c r="D70" s="2302"/>
      <c r="E70" s="2303"/>
      <c r="F70" s="2303"/>
      <c r="G70" s="2303"/>
      <c r="H70" s="2303"/>
      <c r="I70" s="230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304" t="s">
        <v>1320</v>
      </c>
      <c r="B83" s="2304"/>
      <c r="C83" s="2304"/>
      <c r="D83" s="230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86" t="s">
        <v>2237</v>
      </c>
      <c r="C102" s="2287"/>
      <c r="D102" s="2287"/>
      <c r="E102" s="2287"/>
      <c r="F102" s="2287"/>
      <c r="G102" s="2287"/>
      <c r="H102" s="2287"/>
      <c r="I102" s="2288"/>
    </row>
    <row r="103" spans="1:9" s="181" customFormat="1" ht="11.25" customHeight="1" x14ac:dyDescent="0.2">
      <c r="A103" s="316"/>
      <c r="B103" s="2289"/>
      <c r="C103" s="2290"/>
      <c r="D103" s="2290"/>
      <c r="E103" s="2290"/>
      <c r="F103" s="2290"/>
      <c r="G103" s="2290"/>
      <c r="H103" s="2290"/>
      <c r="I103" s="2291"/>
    </row>
    <row r="104" spans="1:9" s="181" customFormat="1" ht="11.25" customHeight="1" x14ac:dyDescent="0.2">
      <c r="A104" s="316"/>
      <c r="B104" s="2289"/>
      <c r="C104" s="2290"/>
      <c r="D104" s="2290"/>
      <c r="E104" s="2290"/>
      <c r="F104" s="2290"/>
      <c r="G104" s="2290"/>
      <c r="H104" s="2290"/>
      <c r="I104" s="2291"/>
    </row>
    <row r="105" spans="1:9" s="181" customFormat="1" x14ac:dyDescent="0.2">
      <c r="A105" s="316"/>
      <c r="B105" s="2289"/>
      <c r="C105" s="2290"/>
      <c r="D105" s="2290"/>
      <c r="E105" s="2290"/>
      <c r="F105" s="2290"/>
      <c r="G105" s="2290"/>
      <c r="H105" s="2290"/>
      <c r="I105" s="2291"/>
    </row>
    <row r="106" spans="1:9" s="181" customFormat="1" ht="11.25" customHeight="1" x14ac:dyDescent="0.2">
      <c r="A106" s="316"/>
      <c r="B106" s="2289"/>
      <c r="C106" s="2290"/>
      <c r="D106" s="2290"/>
      <c r="E106" s="2290"/>
      <c r="F106" s="2290"/>
      <c r="G106" s="2290"/>
      <c r="H106" s="2290"/>
      <c r="I106" s="2291"/>
    </row>
    <row r="107" spans="1:9" s="181" customFormat="1" ht="11.25" customHeight="1" x14ac:dyDescent="0.2">
      <c r="A107" s="316"/>
      <c r="B107" s="2289"/>
      <c r="C107" s="2290"/>
      <c r="D107" s="2290"/>
      <c r="E107" s="2290"/>
      <c r="F107" s="2290"/>
      <c r="G107" s="2290"/>
      <c r="H107" s="2290"/>
      <c r="I107" s="2291"/>
    </row>
    <row r="108" spans="1:9" s="181" customFormat="1" ht="11.25" customHeight="1" x14ac:dyDescent="0.2">
      <c r="A108" s="316"/>
      <c r="B108" s="2289"/>
      <c r="C108" s="2290"/>
      <c r="D108" s="2290"/>
      <c r="E108" s="2290"/>
      <c r="F108" s="2290"/>
      <c r="G108" s="2290"/>
      <c r="H108" s="2290"/>
      <c r="I108" s="2291"/>
    </row>
    <row r="109" spans="1:9" s="181" customFormat="1" ht="11.25" customHeight="1" x14ac:dyDescent="0.2">
      <c r="A109" s="316"/>
      <c r="B109" s="2289"/>
      <c r="C109" s="2290"/>
      <c r="D109" s="2290"/>
      <c r="E109" s="2290"/>
      <c r="F109" s="2290"/>
      <c r="G109" s="2290"/>
      <c r="H109" s="2290"/>
      <c r="I109" s="2291"/>
    </row>
    <row r="110" spans="1:9" s="181" customFormat="1" ht="11.25" customHeight="1" x14ac:dyDescent="0.2">
      <c r="A110" s="316"/>
      <c r="B110" s="2289"/>
      <c r="C110" s="2290"/>
      <c r="D110" s="2290"/>
      <c r="E110" s="2290"/>
      <c r="F110" s="2290"/>
      <c r="G110" s="2290"/>
      <c r="H110" s="2290"/>
      <c r="I110" s="2291"/>
    </row>
    <row r="111" spans="1:9" s="181" customFormat="1" ht="11.25" customHeight="1" x14ac:dyDescent="0.2">
      <c r="A111" s="316"/>
      <c r="B111" s="2289"/>
      <c r="C111" s="2290"/>
      <c r="D111" s="2290"/>
      <c r="E111" s="2290"/>
      <c r="F111" s="2290"/>
      <c r="G111" s="2290"/>
      <c r="H111" s="2290"/>
      <c r="I111" s="2291"/>
    </row>
    <row r="112" spans="1:9" s="181" customFormat="1" ht="11.25" customHeight="1" x14ac:dyDescent="0.2">
      <c r="A112" s="316"/>
      <c r="B112" s="2292"/>
      <c r="C112" s="2293"/>
      <c r="D112" s="2293"/>
      <c r="E112" s="2293"/>
      <c r="F112" s="2293"/>
      <c r="G112" s="2293"/>
      <c r="H112" s="2293"/>
      <c r="I112" s="22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95" t="s">
        <v>2080</v>
      </c>
      <c r="D114" s="229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96" t="s">
        <v>1330</v>
      </c>
      <c r="D117" s="2297"/>
      <c r="E117" s="2298"/>
      <c r="F117" s="2298"/>
      <c r="G117" s="2298"/>
      <c r="H117" s="2298"/>
      <c r="I117" s="304"/>
    </row>
    <row r="118" spans="1:9" s="181" customFormat="1" ht="24" customHeight="1" x14ac:dyDescent="0.2">
      <c r="A118" s="316"/>
      <c r="B118" s="316"/>
      <c r="C118" s="316"/>
      <c r="D118" s="323" t="s">
        <v>2247</v>
      </c>
      <c r="E118" s="322"/>
      <c r="F118" s="324"/>
      <c r="G118" s="1836"/>
      <c r="H118" s="322"/>
      <c r="I118" s="304"/>
    </row>
    <row r="119" spans="1:9" s="181" customFormat="1" ht="11.25" customHeight="1" x14ac:dyDescent="0.2">
      <c r="A119" s="325"/>
      <c r="B119" s="325"/>
      <c r="C119" s="326"/>
      <c r="D119" s="327" t="s">
        <v>361</v>
      </c>
      <c r="E119" s="310"/>
      <c r="F119" s="1835" t="s">
        <v>1903</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682" t="s">
        <v>2073</v>
      </c>
      <c r="B1" s="2682"/>
      <c r="C1" s="2682"/>
      <c r="D1" s="2682"/>
      <c r="E1" s="2682"/>
      <c r="F1" s="2682"/>
    </row>
    <row r="2" spans="1:7" ht="13.5" customHeight="1" x14ac:dyDescent="0.2">
      <c r="A2" s="2665" t="s">
        <v>2071</v>
      </c>
      <c r="B2" s="2665"/>
      <c r="C2" s="2665"/>
      <c r="D2" s="2665"/>
      <c r="E2" s="2665"/>
      <c r="F2" s="2665"/>
      <c r="G2" s="1269"/>
    </row>
    <row r="3" spans="1:7" ht="15.75" customHeight="1" x14ac:dyDescent="0.2">
      <c r="A3" s="2683" t="s">
        <v>1271</v>
      </c>
      <c r="B3" s="2683"/>
      <c r="C3" s="2683"/>
      <c r="D3" s="2683"/>
      <c r="E3" s="2683"/>
      <c r="F3" s="2683"/>
    </row>
    <row r="4" spans="1:7" ht="13.5" customHeight="1" x14ac:dyDescent="0.2">
      <c r="A4" s="2684" t="s">
        <v>1986</v>
      </c>
      <c r="B4" s="2684"/>
      <c r="C4" s="2684"/>
      <c r="D4" s="2684"/>
      <c r="E4" s="2684"/>
      <c r="F4" s="2684"/>
    </row>
    <row r="5" spans="1:7" ht="8.25" customHeight="1" x14ac:dyDescent="0.2">
      <c r="C5" s="317"/>
      <c r="D5" s="317"/>
    </row>
    <row r="6" spans="1:7" ht="13.5" customHeight="1" x14ac:dyDescent="0.2">
      <c r="A6" s="1270" t="s">
        <v>1728</v>
      </c>
      <c r="C6" s="317"/>
      <c r="D6" s="317"/>
    </row>
    <row r="7" spans="1:7" ht="60.95" customHeight="1" x14ac:dyDescent="0.2">
      <c r="A7" s="2685" t="s">
        <v>2218</v>
      </c>
      <c r="B7" s="2685"/>
      <c r="C7" s="2685"/>
      <c r="D7" s="2685"/>
      <c r="E7" s="2685"/>
      <c r="F7" s="2685"/>
    </row>
    <row r="8" spans="1:7" ht="5.25"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2067</v>
      </c>
      <c r="F10" s="1274" t="s">
        <v>99</v>
      </c>
      <c r="G10" s="1272"/>
    </row>
    <row r="11" spans="1:7" ht="9.75" customHeight="1" x14ac:dyDescent="0.2">
      <c r="A11" s="1273"/>
      <c r="B11" s="1274"/>
      <c r="C11" s="1896"/>
      <c r="D11" s="1274"/>
      <c r="E11" s="1896"/>
      <c r="F11" s="1274"/>
      <c r="G11" s="1272"/>
    </row>
    <row r="12" spans="1:7" x14ac:dyDescent="0.2">
      <c r="A12" s="1270" t="s">
        <v>1587</v>
      </c>
      <c r="C12" s="1254"/>
      <c r="D12" s="1254"/>
    </row>
    <row r="13" spans="1:7" ht="24" customHeight="1" x14ac:dyDescent="0.2">
      <c r="A13" s="2685" t="s">
        <v>2219</v>
      </c>
      <c r="B13" s="2685"/>
      <c r="C13" s="2685"/>
      <c r="D13" s="2685"/>
      <c r="E13" s="2685"/>
      <c r="F13" s="2685"/>
    </row>
    <row r="14" spans="1:7" ht="6.75" customHeight="1" x14ac:dyDescent="0.2">
      <c r="C14" s="1254"/>
      <c r="D14" s="1254"/>
    </row>
    <row r="15" spans="1:7" ht="12" customHeight="1" x14ac:dyDescent="0.2">
      <c r="C15" s="2164" t="s">
        <v>1270</v>
      </c>
      <c r="D15" s="2686" t="s">
        <v>1269</v>
      </c>
      <c r="E15" s="2686"/>
      <c r="F15" s="2686"/>
    </row>
    <row r="16" spans="1:7" ht="13.5" customHeight="1" x14ac:dyDescent="0.2">
      <c r="A16" s="1276"/>
      <c r="B16" s="1270" t="s">
        <v>1268</v>
      </c>
      <c r="C16" s="2164" t="s">
        <v>1267</v>
      </c>
      <c r="D16" s="2687" t="s">
        <v>1588</v>
      </c>
      <c r="E16" s="2687"/>
      <c r="F16" s="2687"/>
    </row>
    <row r="17" spans="1:6" ht="20.45" customHeight="1" x14ac:dyDescent="0.2">
      <c r="A17" s="1277"/>
      <c r="B17" s="1278" t="s">
        <v>2222</v>
      </c>
      <c r="C17" s="1279">
        <v>84.027000000000001</v>
      </c>
      <c r="D17" s="2677">
        <v>5656</v>
      </c>
      <c r="E17" s="2677"/>
      <c r="F17" s="2677"/>
    </row>
    <row r="18" spans="1:6" ht="20.45" customHeight="1" x14ac:dyDescent="0.2">
      <c r="A18" s="1277"/>
      <c r="B18" s="1278" t="s">
        <v>2241</v>
      </c>
      <c r="C18" s="1279">
        <v>84.027000000000001</v>
      </c>
      <c r="D18" s="2677">
        <v>9262</v>
      </c>
      <c r="E18" s="2677"/>
      <c r="F18" s="2677"/>
    </row>
    <row r="19" spans="1:6" ht="20.65" customHeight="1" x14ac:dyDescent="0.2">
      <c r="A19" s="1277"/>
      <c r="B19" s="1278" t="s">
        <v>2223</v>
      </c>
      <c r="C19" s="1279">
        <v>84.173000000000002</v>
      </c>
      <c r="D19" s="2677">
        <v>30899</v>
      </c>
      <c r="E19" s="2677"/>
      <c r="F19" s="2677"/>
    </row>
    <row r="20" spans="1:6" ht="20.65" customHeight="1" x14ac:dyDescent="0.2">
      <c r="A20" s="1277"/>
      <c r="B20" s="1278" t="s">
        <v>2182</v>
      </c>
      <c r="C20" s="1279">
        <v>10.555</v>
      </c>
      <c r="D20" s="2677">
        <v>24248</v>
      </c>
      <c r="E20" s="2677"/>
      <c r="F20" s="2677"/>
    </row>
    <row r="21" spans="1:6" ht="20.65" customHeight="1" x14ac:dyDescent="0.2">
      <c r="A21" s="1277"/>
      <c r="B21" s="1278" t="s">
        <v>2183</v>
      </c>
      <c r="C21" s="1279">
        <v>10.553000000000001</v>
      </c>
      <c r="D21" s="2677">
        <v>12737</v>
      </c>
      <c r="E21" s="2677"/>
      <c r="F21" s="2677"/>
    </row>
    <row r="22" spans="1:6" ht="20.65" hidden="1" customHeight="1" x14ac:dyDescent="0.2">
      <c r="A22" s="1277"/>
      <c r="B22" s="1278"/>
      <c r="C22" s="1279"/>
      <c r="D22" s="2677"/>
      <c r="E22" s="2677"/>
      <c r="F22" s="2677"/>
    </row>
    <row r="23" spans="1:6" ht="20.65" hidden="1" customHeight="1" x14ac:dyDescent="0.2">
      <c r="A23" s="1277"/>
      <c r="B23" s="1278"/>
      <c r="C23" s="1279"/>
      <c r="D23" s="2677"/>
      <c r="E23" s="2677"/>
      <c r="F23" s="2677"/>
    </row>
    <row r="24" spans="1:6" ht="20.65" hidden="1" customHeight="1" x14ac:dyDescent="0.2">
      <c r="A24" s="1277"/>
      <c r="B24" s="1278"/>
      <c r="C24" s="1279"/>
      <c r="D24" s="2677"/>
      <c r="E24" s="2677"/>
      <c r="F24" s="2677"/>
    </row>
    <row r="25" spans="1:6" ht="20.65" hidden="1" customHeight="1" x14ac:dyDescent="0.2">
      <c r="A25" s="1277"/>
      <c r="B25" s="1278"/>
      <c r="C25" s="1279"/>
      <c r="D25" s="2677"/>
      <c r="E25" s="2677"/>
      <c r="F25" s="2677"/>
    </row>
    <row r="26" spans="1:6" ht="20.65" hidden="1" customHeight="1" x14ac:dyDescent="0.2">
      <c r="A26" s="1277"/>
      <c r="B26" s="1278"/>
      <c r="C26" s="1279"/>
      <c r="D26" s="2677"/>
      <c r="E26" s="2677"/>
      <c r="F26" s="2677"/>
    </row>
    <row r="27" spans="1:6" ht="20.65" hidden="1" customHeight="1" x14ac:dyDescent="0.2">
      <c r="A27" s="1277"/>
      <c r="B27" s="1278"/>
      <c r="C27" s="1279"/>
      <c r="D27" s="2677"/>
      <c r="E27" s="2677"/>
      <c r="F27" s="2677"/>
    </row>
    <row r="28" spans="1:6" ht="20.65" hidden="1" customHeight="1" x14ac:dyDescent="0.2">
      <c r="A28" s="1277"/>
      <c r="B28" s="1278"/>
      <c r="C28" s="1279"/>
      <c r="D28" s="2677"/>
      <c r="E28" s="2677"/>
      <c r="F28" s="2677"/>
    </row>
    <row r="29" spans="1:6" ht="20.65" hidden="1" customHeight="1" x14ac:dyDescent="0.2">
      <c r="A29" s="1277"/>
      <c r="B29" s="1278"/>
      <c r="C29" s="1279"/>
      <c r="D29" s="2677"/>
      <c r="E29" s="2677"/>
      <c r="F29" s="2677"/>
    </row>
    <row r="30" spans="1:6" ht="20.65" hidden="1" customHeight="1" x14ac:dyDescent="0.2">
      <c r="A30" s="1277"/>
      <c r="B30" s="1278"/>
      <c r="C30" s="1279"/>
      <c r="D30" s="2677"/>
      <c r="E30" s="2677"/>
      <c r="F30" s="2677"/>
    </row>
    <row r="31" spans="1:6" ht="12" customHeight="1" x14ac:dyDescent="0.2">
      <c r="A31" s="328"/>
      <c r="B31" s="328"/>
      <c r="C31" s="1458"/>
      <c r="D31" s="1897"/>
      <c r="E31" s="1280"/>
    </row>
    <row r="32" spans="1:6" ht="12" customHeight="1" x14ac:dyDescent="0.2">
      <c r="A32" s="1281" t="s">
        <v>1549</v>
      </c>
      <c r="B32" s="328"/>
      <c r="C32" s="1458"/>
      <c r="D32" s="1897"/>
      <c r="E32" s="1280"/>
    </row>
    <row r="33" spans="1:6" ht="30" customHeight="1" x14ac:dyDescent="0.2">
      <c r="A33" s="2678" t="s">
        <v>2220</v>
      </c>
      <c r="B33" s="2678"/>
      <c r="C33" s="2678"/>
      <c r="D33" s="2678"/>
      <c r="E33" s="2678"/>
      <c r="F33" s="2678"/>
    </row>
    <row r="34" spans="1:6" ht="13.5" customHeight="1" x14ac:dyDescent="0.2">
      <c r="A34" s="328" t="s">
        <v>1434</v>
      </c>
      <c r="B34" s="328"/>
      <c r="C34" s="1282">
        <v>0</v>
      </c>
      <c r="D34" s="1897"/>
      <c r="E34" s="1280"/>
    </row>
    <row r="35" spans="1:6" ht="13.5" customHeight="1" x14ac:dyDescent="0.2">
      <c r="A35" s="328" t="s">
        <v>1835</v>
      </c>
      <c r="B35" s="328"/>
      <c r="C35" s="1283">
        <v>2742</v>
      </c>
      <c r="D35" s="1897" t="s">
        <v>1589</v>
      </c>
      <c r="E35" s="2679">
        <f>+C34+C35</f>
        <v>2742</v>
      </c>
      <c r="F35" s="2680"/>
    </row>
    <row r="36" spans="1:6" ht="7.5" customHeight="1" x14ac:dyDescent="0.2">
      <c r="A36" s="328"/>
      <c r="B36" s="328"/>
      <c r="C36" s="1898"/>
      <c r="D36" s="1897"/>
      <c r="E36" s="1284"/>
      <c r="F36" s="1285"/>
    </row>
    <row r="37" spans="1:6" ht="13.5" customHeight="1" x14ac:dyDescent="0.2">
      <c r="A37" s="1281" t="s">
        <v>1550</v>
      </c>
      <c r="B37" s="328"/>
      <c r="C37" s="1458"/>
      <c r="D37" s="1897"/>
      <c r="E37" s="1280"/>
    </row>
    <row r="38" spans="1:6" ht="14.25" customHeight="1" x14ac:dyDescent="0.2">
      <c r="A38" s="328" t="s">
        <v>1484</v>
      </c>
      <c r="B38" s="328"/>
      <c r="C38" s="1899"/>
      <c r="D38" s="1897"/>
      <c r="E38" s="1280"/>
    </row>
    <row r="39" spans="1:6" ht="14.25" customHeight="1" x14ac:dyDescent="0.2">
      <c r="A39" s="328"/>
      <c r="B39" s="328" t="s">
        <v>1435</v>
      </c>
      <c r="C39" s="1286" t="s">
        <v>383</v>
      </c>
      <c r="D39" s="1897"/>
      <c r="E39" s="1280"/>
    </row>
    <row r="40" spans="1:6" ht="14.25" customHeight="1" x14ac:dyDescent="0.2">
      <c r="A40" s="328"/>
      <c r="B40" s="328" t="s">
        <v>1436</v>
      </c>
      <c r="C40" s="1286" t="s">
        <v>383</v>
      </c>
      <c r="D40" s="1897"/>
      <c r="E40" s="1280"/>
    </row>
    <row r="41" spans="1:6" ht="14.25" customHeight="1" x14ac:dyDescent="0.2">
      <c r="A41" s="328"/>
      <c r="B41" s="328" t="s">
        <v>1437</v>
      </c>
      <c r="C41" s="1286" t="s">
        <v>383</v>
      </c>
      <c r="D41" s="1897"/>
      <c r="E41" s="1280"/>
    </row>
    <row r="42" spans="1:6" ht="14.25" customHeight="1" x14ac:dyDescent="0.2">
      <c r="A42" s="328"/>
      <c r="B42" s="328" t="s">
        <v>1438</v>
      </c>
      <c r="C42" s="1286" t="s">
        <v>383</v>
      </c>
      <c r="D42" s="1897"/>
      <c r="E42" s="1280"/>
    </row>
    <row r="43" spans="1:6" ht="14.25" customHeight="1" x14ac:dyDescent="0.2">
      <c r="A43" s="328" t="s">
        <v>1439</v>
      </c>
      <c r="B43" s="328"/>
      <c r="C43" s="1895" t="s">
        <v>383</v>
      </c>
      <c r="D43" s="1897"/>
      <c r="E43" s="1280"/>
    </row>
    <row r="44" spans="1:6" ht="14.25" customHeight="1" x14ac:dyDescent="0.2">
      <c r="A44" s="328" t="s">
        <v>1440</v>
      </c>
      <c r="B44" s="328"/>
      <c r="C44" s="1895" t="s">
        <v>383</v>
      </c>
      <c r="D44" s="1897"/>
      <c r="E44" s="1280"/>
    </row>
    <row r="45" spans="1:6" ht="14.25" customHeight="1" x14ac:dyDescent="0.2">
      <c r="A45" s="328"/>
      <c r="B45" s="328"/>
      <c r="C45" s="1899" t="s">
        <v>1441</v>
      </c>
      <c r="D45" s="1897"/>
      <c r="E45" s="1280"/>
    </row>
    <row r="46" spans="1:6" ht="14.25" customHeight="1" x14ac:dyDescent="0.2">
      <c r="A46" s="328"/>
      <c r="B46" s="328"/>
      <c r="C46" s="1899"/>
      <c r="D46" s="1897"/>
      <c r="E46" s="1280"/>
    </row>
    <row r="47" spans="1:6" ht="14.25" customHeight="1" x14ac:dyDescent="0.2">
      <c r="A47" s="1281" t="s">
        <v>2221</v>
      </c>
      <c r="B47" s="328"/>
      <c r="C47" s="1899"/>
      <c r="D47" s="1897"/>
      <c r="E47" s="1280"/>
    </row>
    <row r="48" spans="1:6" ht="37.5" customHeight="1" x14ac:dyDescent="0.2">
      <c r="A48" s="2681" t="s">
        <v>2224</v>
      </c>
      <c r="B48" s="2681"/>
      <c r="C48" s="2681"/>
      <c r="D48" s="2681"/>
      <c r="E48" s="2681"/>
    </row>
    <row r="49" spans="1:6" ht="2.25" customHeight="1" x14ac:dyDescent="0.2">
      <c r="B49" s="322"/>
      <c r="C49" s="1287"/>
      <c r="D49" s="1287"/>
    </row>
    <row r="50" spans="1:6" ht="2.25" customHeight="1" x14ac:dyDescent="0.2">
      <c r="B50" s="322"/>
      <c r="C50" s="1287"/>
      <c r="D50" s="1287"/>
    </row>
    <row r="51" spans="1:6" x14ac:dyDescent="0.2">
      <c r="A51" s="1288" t="s">
        <v>1730</v>
      </c>
      <c r="C51" s="317"/>
      <c r="D51" s="317"/>
    </row>
    <row r="52" spans="1:6" s="322" customFormat="1" ht="11.25" customHeight="1" x14ac:dyDescent="0.2">
      <c r="A52" s="1289"/>
      <c r="B52" s="1290"/>
      <c r="C52" s="1290"/>
      <c r="D52" s="1290"/>
      <c r="E52" s="1290"/>
      <c r="F52" s="1290"/>
    </row>
    <row r="53" spans="1:6" s="322" customFormat="1" ht="6" customHeight="1" x14ac:dyDescent="0.2">
      <c r="A53" s="1291"/>
    </row>
    <row r="54" spans="1:6" s="1293" customFormat="1" ht="23.25" customHeight="1" x14ac:dyDescent="0.2">
      <c r="A54" s="1292">
        <v>5</v>
      </c>
      <c r="B54" s="2675" t="s">
        <v>1590</v>
      </c>
      <c r="C54" s="2675"/>
      <c r="D54" s="2675"/>
      <c r="E54" s="1392"/>
    </row>
    <row r="55" spans="1:6" s="1293" customFormat="1" ht="3.75" customHeight="1" x14ac:dyDescent="0.2">
      <c r="A55" s="1292"/>
      <c r="B55" s="2165"/>
      <c r="C55" s="2165"/>
      <c r="D55" s="2165"/>
      <c r="E55" s="1392"/>
    </row>
    <row r="56" spans="1:6" s="1293" customFormat="1" ht="20.25" customHeight="1" x14ac:dyDescent="0.2">
      <c r="A56" s="1294">
        <v>6</v>
      </c>
      <c r="B56" s="2676" t="s">
        <v>1551</v>
      </c>
      <c r="C56" s="2676"/>
      <c r="D56" s="2676"/>
    </row>
    <row r="57" spans="1:6" ht="14.25" customHeight="1" x14ac:dyDescent="0.2">
      <c r="A57" s="1294"/>
      <c r="B57" s="2676"/>
      <c r="C57" s="2676"/>
      <c r="D57" s="2676"/>
    </row>
  </sheetData>
  <mergeCells count="28">
    <mergeCell ref="D21:F21"/>
    <mergeCell ref="A1:F1"/>
    <mergeCell ref="A2:F2"/>
    <mergeCell ref="A3:F3"/>
    <mergeCell ref="A4:F4"/>
    <mergeCell ref="A7:F7"/>
    <mergeCell ref="A13:F13"/>
    <mergeCell ref="D15:F15"/>
    <mergeCell ref="D16:F16"/>
    <mergeCell ref="D17:F17"/>
    <mergeCell ref="D19:F19"/>
    <mergeCell ref="D20:F20"/>
    <mergeCell ref="B54:D54"/>
    <mergeCell ref="B56:D56"/>
    <mergeCell ref="B57:D57"/>
    <mergeCell ref="D18:F18"/>
    <mergeCell ref="D28:F28"/>
    <mergeCell ref="D29:F29"/>
    <mergeCell ref="D30:F30"/>
    <mergeCell ref="A33:F33"/>
    <mergeCell ref="E35:F35"/>
    <mergeCell ref="A48:E48"/>
    <mergeCell ref="D22:F22"/>
    <mergeCell ref="D23:F23"/>
    <mergeCell ref="D24:F24"/>
    <mergeCell ref="D25:F25"/>
    <mergeCell ref="D26:F26"/>
    <mergeCell ref="D27:F27"/>
  </mergeCells>
  <pageMargins left="0.9" right="0.27" top="0.43" bottom="0" header="0.26" footer="0.5"/>
  <pageSetup scale="97" firstPageNumber="39"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92" t="str">
        <f>'Single Audit Cover'!A7</f>
        <v>Bi County Special Educ Coop</v>
      </c>
      <c r="C1" s="2693"/>
      <c r="D1" s="2693"/>
      <c r="E1" s="2693"/>
      <c r="F1" s="2693"/>
      <c r="G1" s="2693"/>
      <c r="H1" s="2693"/>
      <c r="I1" s="2693"/>
      <c r="J1" s="1402"/>
    </row>
    <row r="2" spans="2:10" s="317" customFormat="1" ht="12.75" customHeight="1" x14ac:dyDescent="0.2">
      <c r="B2" s="2694">
        <f>'Single Audit Cover'!E7</f>
        <v>47098000061</v>
      </c>
      <c r="C2" s="2695"/>
      <c r="D2" s="2695"/>
      <c r="E2" s="2695"/>
      <c r="F2" s="2695"/>
      <c r="G2" s="2695"/>
      <c r="H2" s="2695"/>
      <c r="I2" s="2695"/>
      <c r="J2" s="1402"/>
    </row>
    <row r="3" spans="2:10" s="317" customFormat="1" ht="12.75" customHeight="1" x14ac:dyDescent="0.2">
      <c r="B3" s="2696" t="s">
        <v>1285</v>
      </c>
      <c r="C3" s="2697"/>
      <c r="D3" s="2697"/>
      <c r="E3" s="2697"/>
      <c r="F3" s="2697"/>
      <c r="G3" s="2697"/>
      <c r="H3" s="2697"/>
      <c r="I3" s="2697"/>
      <c r="J3" s="1403"/>
    </row>
    <row r="4" spans="2:10" s="317" customFormat="1" ht="12.75" customHeight="1" x14ac:dyDescent="0.2">
      <c r="B4" s="2696" t="str">
        <f>'Single Audit Cover'!A4</f>
        <v>Year Ending June 30, 2019</v>
      </c>
      <c r="C4" s="2697"/>
      <c r="D4" s="2697"/>
      <c r="E4" s="2697"/>
      <c r="F4" s="2697"/>
      <c r="G4" s="2697"/>
      <c r="H4" s="2697"/>
      <c r="I4" s="2697"/>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696" t="s">
        <v>1284</v>
      </c>
      <c r="C7" s="2697"/>
      <c r="D7" s="2697"/>
      <c r="E7" s="2697"/>
      <c r="F7" s="2697"/>
      <c r="G7" s="2697"/>
      <c r="H7" s="2697"/>
      <c r="I7" s="2697"/>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2"/>
    </row>
    <row r="11" spans="2:10" s="317" customFormat="1" ht="13.5" customHeight="1" x14ac:dyDescent="0.2">
      <c r="B11" s="1342" t="s">
        <v>1282</v>
      </c>
      <c r="C11" s="2698" t="s">
        <v>1164</v>
      </c>
      <c r="D11" s="2698"/>
      <c r="E11" s="1412"/>
      <c r="F11" s="1412"/>
      <c r="G11" s="1412"/>
    </row>
    <row r="12" spans="2:10" s="317" customFormat="1" ht="11.45" customHeight="1" x14ac:dyDescent="0.2">
      <c r="B12" s="1350"/>
      <c r="C12" s="1413" t="s">
        <v>1442</v>
      </c>
      <c r="D12" s="1414"/>
      <c r="E12" s="1252"/>
    </row>
    <row r="13" spans="2:10" s="317" customFormat="1" ht="12.75" customHeight="1" x14ac:dyDescent="0.2">
      <c r="B13" s="1415"/>
      <c r="C13" s="1380"/>
      <c r="D13" s="1380"/>
      <c r="E13" s="1252"/>
    </row>
    <row r="14" spans="2:10" s="317" customFormat="1" ht="12.75" customHeight="1" x14ac:dyDescent="0.2">
      <c r="B14" s="1361" t="s">
        <v>1281</v>
      </c>
      <c r="C14" s="1276"/>
      <c r="E14" s="1252"/>
    </row>
    <row r="15" spans="2:10" s="317" customFormat="1" ht="13.5" customHeight="1" x14ac:dyDescent="0.2">
      <c r="B15" s="1416" t="s">
        <v>1278</v>
      </c>
      <c r="C15" s="1417"/>
      <c r="D15" s="1391"/>
      <c r="E15" s="1418"/>
      <c r="F15" s="1293" t="s">
        <v>885</v>
      </c>
      <c r="G15" s="1418" t="s">
        <v>2070</v>
      </c>
      <c r="H15" s="1293" t="s">
        <v>1276</v>
      </c>
      <c r="I15" s="1293"/>
    </row>
    <row r="16" spans="2:10" s="317" customFormat="1" ht="8.4499999999999993" customHeight="1" x14ac:dyDescent="0.2">
      <c r="B16" s="1361"/>
      <c r="C16" s="1276"/>
      <c r="E16" s="1376"/>
      <c r="F16" s="1293"/>
      <c r="G16" s="322"/>
      <c r="H16" s="1293"/>
      <c r="I16" s="1293"/>
    </row>
    <row r="17" spans="2:9" s="317" customFormat="1" ht="13.5" customHeight="1" x14ac:dyDescent="0.2">
      <c r="B17" s="1416" t="s">
        <v>1277</v>
      </c>
      <c r="C17" s="1417"/>
      <c r="D17" s="1391"/>
      <c r="E17" s="1419"/>
      <c r="F17" s="1251"/>
      <c r="G17" s="1419"/>
      <c r="H17" s="1293"/>
      <c r="I17" s="1293"/>
    </row>
    <row r="18" spans="2:9" s="317" customFormat="1" ht="12.75" customHeight="1" x14ac:dyDescent="0.2">
      <c r="B18" s="1416" t="s">
        <v>1443</v>
      </c>
      <c r="C18" s="1417"/>
      <c r="D18" s="1391"/>
      <c r="E18" s="1418" t="s">
        <v>2070</v>
      </c>
      <c r="F18" s="1293" t="s">
        <v>885</v>
      </c>
      <c r="G18" s="1418"/>
      <c r="H18" s="1293" t="s">
        <v>1276</v>
      </c>
      <c r="I18" s="1293"/>
    </row>
    <row r="19" spans="2:9" s="317" customFormat="1" ht="8.4499999999999993" customHeight="1" x14ac:dyDescent="0.2">
      <c r="B19" s="1361"/>
      <c r="C19" s="1276"/>
      <c r="E19" s="1376"/>
      <c r="F19" s="1293"/>
      <c r="G19" s="322"/>
      <c r="H19" s="1293"/>
      <c r="I19" s="1293"/>
    </row>
    <row r="20" spans="2:9" s="317" customFormat="1" ht="13.5" customHeight="1" x14ac:dyDescent="0.2">
      <c r="B20" s="1416" t="s">
        <v>1591</v>
      </c>
      <c r="C20" s="1417"/>
      <c r="D20" s="1391"/>
      <c r="E20" s="1418"/>
      <c r="F20" s="1293" t="s">
        <v>885</v>
      </c>
      <c r="G20" s="1418" t="s">
        <v>2070</v>
      </c>
      <c r="H20" s="1293" t="s">
        <v>99</v>
      </c>
      <c r="I20" s="1293"/>
    </row>
    <row r="21" spans="2:9" s="317" customFormat="1" ht="12.75" customHeight="1" x14ac:dyDescent="0.2">
      <c r="B21" s="1361"/>
      <c r="C21" s="1276"/>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6"/>
      <c r="E23" s="1376"/>
      <c r="F23" s="1293"/>
      <c r="G23" s="322"/>
      <c r="H23" s="1293"/>
      <c r="I23" s="1293"/>
    </row>
    <row r="24" spans="2:9" s="317" customFormat="1" ht="13.5" customHeight="1" x14ac:dyDescent="0.2">
      <c r="B24" s="1416" t="s">
        <v>1278</v>
      </c>
      <c r="C24" s="1417"/>
      <c r="D24" s="1391"/>
      <c r="E24" s="1418" t="s">
        <v>2070</v>
      </c>
      <c r="F24" s="1293" t="s">
        <v>885</v>
      </c>
      <c r="G24" s="1418"/>
      <c r="H24" s="1293" t="s">
        <v>1276</v>
      </c>
      <c r="I24" s="1293"/>
    </row>
    <row r="25" spans="2:9" s="317" customFormat="1" ht="8.4499999999999993" customHeight="1" x14ac:dyDescent="0.2">
      <c r="B25" s="1361"/>
      <c r="C25" s="1276"/>
      <c r="E25" s="1376"/>
      <c r="F25" s="1293"/>
      <c r="G25" s="322"/>
      <c r="H25" s="1293"/>
      <c r="I25" s="1293"/>
    </row>
    <row r="26" spans="2:9" s="317" customFormat="1" ht="13.5" customHeight="1" x14ac:dyDescent="0.2">
      <c r="B26" s="1416" t="s">
        <v>1277</v>
      </c>
      <c r="C26" s="1417"/>
      <c r="D26" s="1391"/>
      <c r="E26" s="1419"/>
      <c r="F26" s="1251"/>
      <c r="G26" s="1419"/>
      <c r="H26" s="1293"/>
      <c r="I26" s="1293"/>
    </row>
    <row r="27" spans="2:9" s="317" customFormat="1" ht="12.75" customHeight="1" x14ac:dyDescent="0.2">
      <c r="B27" s="1416" t="s">
        <v>1443</v>
      </c>
      <c r="C27" s="1417"/>
      <c r="D27" s="1391"/>
      <c r="E27" s="1418"/>
      <c r="F27" s="1293" t="s">
        <v>885</v>
      </c>
      <c r="G27" s="1418" t="s">
        <v>2070</v>
      </c>
      <c r="H27" s="1293" t="s">
        <v>1276</v>
      </c>
      <c r="I27" s="1293"/>
    </row>
    <row r="28" spans="2:9" s="317" customFormat="1" ht="12.75" customHeight="1" x14ac:dyDescent="0.2">
      <c r="B28" s="1361"/>
      <c r="C28" s="1276"/>
      <c r="E28" s="1252"/>
    </row>
    <row r="29" spans="2:9" s="317" customFormat="1" ht="12.75" customHeight="1" x14ac:dyDescent="0.2">
      <c r="B29" s="1361" t="s">
        <v>1275</v>
      </c>
      <c r="C29" s="1276"/>
      <c r="D29" s="2699" t="s">
        <v>2184</v>
      </c>
      <c r="E29" s="2699"/>
      <c r="F29" s="2699"/>
      <c r="G29" s="2699"/>
      <c r="H29" s="2699"/>
      <c r="I29" s="2699"/>
    </row>
    <row r="30" spans="2:9" s="317" customFormat="1" x14ac:dyDescent="0.2">
      <c r="B30" s="1361"/>
      <c r="C30" s="322"/>
      <c r="D30" s="1413" t="s">
        <v>1745</v>
      </c>
      <c r="E30" s="1414"/>
      <c r="F30" s="1414"/>
      <c r="G30" s="1414"/>
      <c r="H30" s="1414"/>
      <c r="I30" s="1414"/>
    </row>
    <row r="31" spans="2:9" s="317" customFormat="1" ht="9.9499999999999993" customHeight="1" x14ac:dyDescent="0.2">
      <c r="B31" s="1361"/>
      <c r="E31" s="1252"/>
    </row>
    <row r="32" spans="2:9" s="317" customFormat="1" x14ac:dyDescent="0.2">
      <c r="B32" s="1361" t="s">
        <v>1274</v>
      </c>
      <c r="C32" s="1276"/>
      <c r="E32" s="1252"/>
    </row>
    <row r="33" spans="2:9" ht="13.5" customHeight="1" x14ac:dyDescent="0.2">
      <c r="B33" s="1361" t="s">
        <v>1552</v>
      </c>
      <c r="C33" s="1276"/>
      <c r="E33" s="1418" t="s">
        <v>2070</v>
      </c>
      <c r="F33" s="1293" t="s">
        <v>885</v>
      </c>
      <c r="G33" s="1418"/>
      <c r="H33" s="1293" t="s">
        <v>99</v>
      </c>
    </row>
    <row r="35" spans="2:9" x14ac:dyDescent="0.2">
      <c r="B35" s="1421" t="s">
        <v>1746</v>
      </c>
      <c r="C35" s="1422"/>
      <c r="D35" s="1261"/>
    </row>
    <row r="36" spans="2:9" ht="6" customHeight="1" x14ac:dyDescent="0.2">
      <c r="B36" s="1421"/>
      <c r="C36" s="1422"/>
      <c r="D36" s="1261"/>
    </row>
    <row r="37" spans="2:9" ht="17.25" customHeight="1" x14ac:dyDescent="0.2">
      <c r="B37" s="1423" t="s">
        <v>1747</v>
      </c>
      <c r="C37" s="2700" t="s">
        <v>1748</v>
      </c>
      <c r="D37" s="2701"/>
      <c r="E37" s="2701"/>
      <c r="F37" s="2702"/>
      <c r="G37" s="2700" t="s">
        <v>1592</v>
      </c>
      <c r="H37" s="2701"/>
      <c r="I37" s="2702"/>
    </row>
    <row r="38" spans="2:9" ht="16.5" customHeight="1" x14ac:dyDescent="0.2">
      <c r="B38" s="1424" t="s">
        <v>2185</v>
      </c>
      <c r="C38" s="2688" t="s">
        <v>2186</v>
      </c>
      <c r="D38" s="2689"/>
      <c r="E38" s="2689"/>
      <c r="F38" s="2690"/>
      <c r="G38" s="2703">
        <v>2678520</v>
      </c>
      <c r="H38" s="2704"/>
      <c r="I38" s="2705"/>
    </row>
    <row r="39" spans="2:9" ht="16.5" customHeight="1" x14ac:dyDescent="0.2">
      <c r="B39" s="1424"/>
      <c r="C39" s="2688"/>
      <c r="D39" s="2689"/>
      <c r="E39" s="2689"/>
      <c r="F39" s="2690"/>
      <c r="G39" s="2691"/>
      <c r="H39" s="2691"/>
      <c r="I39" s="2691"/>
    </row>
    <row r="40" spans="2:9" ht="16.5" customHeight="1" x14ac:dyDescent="0.2">
      <c r="B40" s="1424"/>
      <c r="C40" s="2688"/>
      <c r="D40" s="2689"/>
      <c r="E40" s="2689"/>
      <c r="F40" s="2690"/>
      <c r="G40" s="2691"/>
      <c r="H40" s="2691"/>
      <c r="I40" s="2691"/>
    </row>
    <row r="41" spans="2:9" ht="16.5" customHeight="1" x14ac:dyDescent="0.2">
      <c r="B41" s="1424"/>
      <c r="C41" s="2688"/>
      <c r="D41" s="2689"/>
      <c r="E41" s="2689"/>
      <c r="F41" s="2690"/>
      <c r="G41" s="2691"/>
      <c r="H41" s="2691"/>
      <c r="I41" s="2691"/>
    </row>
    <row r="42" spans="2:9" ht="16.5" customHeight="1" x14ac:dyDescent="0.2">
      <c r="B42" s="1424"/>
      <c r="C42" s="2688"/>
      <c r="D42" s="2689"/>
      <c r="E42" s="2689"/>
      <c r="F42" s="2690"/>
      <c r="G42" s="2691"/>
      <c r="H42" s="2691"/>
      <c r="I42" s="2691"/>
    </row>
    <row r="43" spans="2:9" ht="16.5" customHeight="1" x14ac:dyDescent="0.2">
      <c r="B43" s="1424"/>
      <c r="C43" s="2706" t="s">
        <v>1593</v>
      </c>
      <c r="D43" s="2707"/>
      <c r="E43" s="2707"/>
      <c r="F43" s="2708"/>
      <c r="G43" s="2709">
        <f>SUM(G38:I42)</f>
        <v>2678520</v>
      </c>
      <c r="H43" s="2709"/>
      <c r="I43" s="2709"/>
    </row>
    <row r="44" spans="2:9" ht="12.75" customHeight="1" x14ac:dyDescent="0.2"/>
    <row r="45" spans="2:9" ht="12.75" customHeight="1" x14ac:dyDescent="0.2">
      <c r="B45" s="1415" t="s">
        <v>1838</v>
      </c>
      <c r="D45" s="2710">
        <v>2795197</v>
      </c>
      <c r="E45" s="2711"/>
    </row>
    <row r="46" spans="2:9" ht="5.25" customHeight="1" x14ac:dyDescent="0.2">
      <c r="B46" s="1425"/>
      <c r="D46" s="1426"/>
      <c r="E46" s="1427"/>
    </row>
    <row r="47" spans="2:9" ht="12.75" customHeight="1" x14ac:dyDescent="0.2">
      <c r="B47" s="1293" t="s">
        <v>1594</v>
      </c>
      <c r="C47" s="1293"/>
      <c r="D47" s="1428">
        <f>+G43/D45</f>
        <v>0.95825804048873842</v>
      </c>
      <c r="E47" s="1429"/>
      <c r="F47" s="1430"/>
      <c r="I47" s="1431"/>
    </row>
    <row r="48" spans="2:9" ht="9.9499999999999993" customHeight="1" x14ac:dyDescent="0.2"/>
    <row r="49" spans="1:9" x14ac:dyDescent="0.2">
      <c r="B49" s="1361" t="s">
        <v>1273</v>
      </c>
      <c r="C49" s="1276"/>
      <c r="D49" s="1276"/>
      <c r="E49" s="2712">
        <v>750000</v>
      </c>
      <c r="F49" s="2712"/>
      <c r="G49" s="2712"/>
      <c r="H49" s="322"/>
    </row>
    <row r="51" spans="1:9" ht="13.5" customHeight="1" x14ac:dyDescent="0.2">
      <c r="B51" s="1361" t="s">
        <v>1272</v>
      </c>
      <c r="C51" s="1276"/>
      <c r="E51" s="1418"/>
      <c r="F51" s="1293" t="s">
        <v>885</v>
      </c>
      <c r="G51" s="1418" t="s">
        <v>2070</v>
      </c>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1749</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1750</v>
      </c>
      <c r="C58" s="1444"/>
      <c r="D58" s="1444"/>
    </row>
    <row r="59" spans="1:9" s="1441" customFormat="1" ht="3.95" customHeight="1" x14ac:dyDescent="0.2">
      <c r="A59" s="1438"/>
      <c r="B59" s="1443"/>
      <c r="C59" s="1444"/>
      <c r="D59" s="1444"/>
    </row>
    <row r="60" spans="1:9" s="1441" customFormat="1" ht="13.5" customHeight="1" x14ac:dyDescent="0.2">
      <c r="A60" s="1438"/>
      <c r="B60" s="1443" t="s">
        <v>1751</v>
      </c>
      <c r="C60" s="1444"/>
      <c r="D60" s="1444"/>
    </row>
    <row r="61" spans="1:9" s="1441" customFormat="1" ht="3.95" customHeight="1" x14ac:dyDescent="0.2">
      <c r="A61" s="1438"/>
      <c r="B61" s="1443"/>
      <c r="C61" s="1444"/>
      <c r="D61" s="1444"/>
    </row>
    <row r="62" spans="1:9" s="1441" customFormat="1" ht="12.75" customHeight="1" x14ac:dyDescent="0.2">
      <c r="A62" s="1438"/>
      <c r="B62" s="1443" t="s">
        <v>1752</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92" t="str">
        <f>'Single Audit Cover'!A7</f>
        <v>Bi County Special Educ Coop</v>
      </c>
      <c r="C1" s="2692"/>
      <c r="D1" s="2692"/>
      <c r="E1" s="2692"/>
      <c r="F1" s="2692"/>
      <c r="G1" s="2692"/>
      <c r="H1" s="2692"/>
      <c r="I1" s="2692"/>
      <c r="J1" s="2692"/>
      <c r="K1" s="2692"/>
      <c r="L1" s="1367"/>
      <c r="M1" s="1367"/>
    </row>
    <row r="2" spans="1:13" ht="12" customHeight="1" x14ac:dyDescent="0.2">
      <c r="B2" s="2694">
        <f>'Single Audit Cover'!E7</f>
        <v>47098000061</v>
      </c>
      <c r="C2" s="2694"/>
      <c r="D2" s="2694"/>
      <c r="E2" s="2694"/>
      <c r="F2" s="2694"/>
      <c r="G2" s="2694"/>
      <c r="H2" s="2694"/>
      <c r="I2" s="2694"/>
      <c r="J2" s="2694"/>
      <c r="K2" s="2694"/>
      <c r="L2" s="1368"/>
      <c r="M2" s="1369"/>
    </row>
    <row r="3" spans="1:13" ht="10.35" customHeight="1" x14ac:dyDescent="0.2">
      <c r="B3" s="2715" t="s">
        <v>1285</v>
      </c>
      <c r="C3" s="2715"/>
      <c r="D3" s="2715"/>
      <c r="E3" s="2715"/>
      <c r="F3" s="2715"/>
      <c r="G3" s="2715"/>
      <c r="H3" s="2715"/>
      <c r="I3" s="2715"/>
      <c r="J3" s="2715"/>
      <c r="K3" s="2715"/>
      <c r="L3" s="1370"/>
      <c r="M3" s="1370"/>
    </row>
    <row r="4" spans="1:13" ht="14.25" customHeight="1" x14ac:dyDescent="0.2">
      <c r="B4" s="2716" t="str">
        <f>'Single Audit Cover'!A4</f>
        <v>Year Ending June 30, 2019</v>
      </c>
      <c r="C4" s="2716"/>
      <c r="D4" s="2716"/>
      <c r="E4" s="2716"/>
      <c r="F4" s="2716"/>
      <c r="G4" s="2716"/>
      <c r="H4" s="2716"/>
      <c r="I4" s="2716"/>
      <c r="J4" s="2716"/>
      <c r="K4" s="2716"/>
      <c r="L4" s="313"/>
      <c r="M4" s="313"/>
    </row>
    <row r="5" spans="1:13" ht="7.5" customHeight="1" x14ac:dyDescent="0.2">
      <c r="B5" s="1254" t="s">
        <v>1169</v>
      </c>
      <c r="C5" s="1254"/>
    </row>
    <row r="6" spans="1:13" ht="7.5" customHeight="1" x14ac:dyDescent="0.2">
      <c r="B6" s="1371"/>
      <c r="C6" s="1371"/>
      <c r="D6" s="1372"/>
      <c r="E6" s="1372"/>
      <c r="F6" s="1372"/>
      <c r="G6" s="1373"/>
      <c r="H6" s="1372"/>
      <c r="I6" s="1373"/>
      <c r="J6" s="1372"/>
      <c r="K6" s="1372"/>
      <c r="L6" s="1374"/>
    </row>
    <row r="7" spans="1:13" ht="12.75" customHeight="1" x14ac:dyDescent="0.2">
      <c r="A7" s="1276"/>
      <c r="B7" s="2716" t="s">
        <v>1296</v>
      </c>
      <c r="C7" s="2716"/>
      <c r="D7" s="2717"/>
      <c r="E7" s="2717"/>
      <c r="F7" s="2717"/>
      <c r="G7" s="2717"/>
      <c r="H7" s="2717"/>
      <c r="I7" s="2717"/>
      <c r="J7" s="2717"/>
      <c r="K7" s="2717"/>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1739</v>
      </c>
      <c r="C10" s="1378" t="s">
        <v>1988</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6" customFormat="1" ht="13.5" customHeight="1" x14ac:dyDescent="0.2">
      <c r="B13" s="1386" t="s">
        <v>1291</v>
      </c>
      <c r="C13" s="1386"/>
      <c r="D13" s="1387"/>
      <c r="E13" s="1387"/>
      <c r="F13" s="1387"/>
      <c r="G13" s="1388"/>
      <c r="H13" s="1387"/>
      <c r="I13" s="1388"/>
      <c r="J13" s="1387"/>
      <c r="K13" s="1387"/>
      <c r="L13" s="1389"/>
    </row>
    <row r="14" spans="1:13" ht="45.75" customHeight="1" x14ac:dyDescent="0.2">
      <c r="B14" s="2714"/>
      <c r="C14" s="2714"/>
      <c r="D14" s="2714"/>
      <c r="E14" s="2714"/>
      <c r="F14" s="2714"/>
      <c r="G14" s="2714"/>
      <c r="H14" s="2714"/>
      <c r="I14" s="2714"/>
      <c r="J14" s="2714"/>
      <c r="K14" s="2714"/>
      <c r="L14" s="1390"/>
    </row>
    <row r="15" spans="1:13" ht="4.5" customHeight="1" x14ac:dyDescent="0.2">
      <c r="B15" s="1391"/>
      <c r="C15" s="1391"/>
      <c r="D15" s="1392"/>
      <c r="E15" s="1392"/>
      <c r="F15" s="1392"/>
      <c r="H15" s="1392"/>
      <c r="J15" s="1392"/>
      <c r="K15" s="1392"/>
      <c r="L15" s="1390"/>
    </row>
    <row r="16" spans="1:13" s="1276" customFormat="1" ht="13.5" customHeight="1" x14ac:dyDescent="0.2">
      <c r="B16" s="1386" t="s">
        <v>1290</v>
      </c>
      <c r="C16" s="1386"/>
      <c r="D16" s="1387"/>
      <c r="E16" s="1387"/>
      <c r="F16" s="1387"/>
      <c r="G16" s="1388"/>
      <c r="H16" s="1387"/>
      <c r="I16" s="1388"/>
      <c r="J16" s="1387"/>
      <c r="K16" s="1387"/>
      <c r="L16" s="1389"/>
    </row>
    <row r="17" spans="2:12" ht="45.75" customHeight="1" x14ac:dyDescent="0.2">
      <c r="B17" s="2714"/>
      <c r="C17" s="2714"/>
      <c r="D17" s="2714"/>
      <c r="E17" s="2714"/>
      <c r="F17" s="2714"/>
      <c r="G17" s="2714"/>
      <c r="H17" s="2714"/>
      <c r="I17" s="2714"/>
      <c r="J17" s="2714"/>
      <c r="K17" s="2714"/>
      <c r="L17" s="1374"/>
    </row>
    <row r="18" spans="2:12" ht="4.5" customHeight="1" x14ac:dyDescent="0.2">
      <c r="B18" s="1391"/>
      <c r="C18" s="1391"/>
      <c r="L18" s="1374"/>
    </row>
    <row r="19" spans="2:12" s="1276" customFormat="1" ht="13.5" customHeight="1" x14ac:dyDescent="0.2">
      <c r="B19" s="1386" t="s">
        <v>1740</v>
      </c>
      <c r="C19" s="1386"/>
      <c r="D19" s="1387"/>
      <c r="E19" s="1387"/>
      <c r="F19" s="1387"/>
      <c r="G19" s="1388"/>
      <c r="H19" s="1387"/>
      <c r="I19" s="1388"/>
      <c r="J19" s="1387"/>
      <c r="K19" s="1387"/>
      <c r="L19" s="1389"/>
    </row>
    <row r="20" spans="2:12" ht="45.75" customHeight="1" x14ac:dyDescent="0.2">
      <c r="B20" s="2718"/>
      <c r="C20" s="2718"/>
      <c r="D20" s="2714"/>
      <c r="E20" s="2714"/>
      <c r="F20" s="2714"/>
      <c r="G20" s="2714"/>
      <c r="H20" s="2714"/>
      <c r="I20" s="2714"/>
      <c r="J20" s="2714"/>
      <c r="K20" s="2714"/>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714"/>
      <c r="C23" s="2714"/>
      <c r="D23" s="2714"/>
      <c r="E23" s="2714"/>
      <c r="F23" s="2714"/>
      <c r="G23" s="2714"/>
      <c r="H23" s="2714"/>
      <c r="I23" s="2714"/>
      <c r="J23" s="2714"/>
      <c r="K23" s="2714"/>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714"/>
      <c r="C26" s="2714"/>
      <c r="D26" s="2714"/>
      <c r="E26" s="2714"/>
      <c r="F26" s="2714"/>
      <c r="G26" s="2714"/>
      <c r="H26" s="2714"/>
      <c r="I26" s="2714"/>
      <c r="J26" s="2714"/>
      <c r="K26" s="2714"/>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713"/>
      <c r="C29" s="2713"/>
      <c r="D29" s="2714"/>
      <c r="E29" s="2714"/>
      <c r="F29" s="2714"/>
      <c r="G29" s="2714"/>
      <c r="H29" s="2714"/>
      <c r="I29" s="2714"/>
      <c r="J29" s="2714"/>
      <c r="K29" s="2714"/>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1741</v>
      </c>
      <c r="C31" s="1396"/>
      <c r="D31" s="1371"/>
      <c r="E31" s="1372"/>
      <c r="F31" s="1372"/>
      <c r="G31" s="1373"/>
      <c r="H31" s="1372"/>
      <c r="I31" s="1373"/>
      <c r="J31" s="1372"/>
      <c r="K31" s="1372"/>
      <c r="L31" s="1374"/>
    </row>
    <row r="32" spans="2:12" s="322" customFormat="1" ht="44.25" customHeight="1" x14ac:dyDescent="0.2">
      <c r="B32" s="2713"/>
      <c r="C32" s="2713"/>
      <c r="D32" s="2714"/>
      <c r="E32" s="2714"/>
      <c r="F32" s="2714"/>
      <c r="G32" s="2714"/>
      <c r="H32" s="2714"/>
      <c r="I32" s="2714"/>
      <c r="J32" s="2714"/>
      <c r="K32" s="2714"/>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1742</v>
      </c>
      <c r="C35" s="1399"/>
      <c r="D35" s="322"/>
      <c r="E35" s="322"/>
      <c r="F35" s="322"/>
      <c r="L35" s="1374"/>
    </row>
    <row r="36" spans="1:13" ht="9.6" customHeight="1" x14ac:dyDescent="0.2">
      <c r="B36" s="1293" t="s">
        <v>1839</v>
      </c>
      <c r="C36" s="1293"/>
      <c r="L36" s="1374"/>
    </row>
    <row r="37" spans="1:13" ht="9.6" customHeight="1" x14ac:dyDescent="0.2">
      <c r="B37" s="1293" t="s">
        <v>1840</v>
      </c>
      <c r="C37" s="1293"/>
    </row>
    <row r="38" spans="1:13" ht="11.85" customHeight="1" x14ac:dyDescent="0.2">
      <c r="B38" s="1400" t="s">
        <v>1743</v>
      </c>
      <c r="C38" s="1400"/>
    </row>
    <row r="39" spans="1:13" ht="9.6" customHeight="1" x14ac:dyDescent="0.2">
      <c r="B39" s="1293" t="s">
        <v>1286</v>
      </c>
      <c r="C39" s="1293"/>
      <c r="M39" s="1401"/>
    </row>
    <row r="40" spans="1:13" ht="12.6" customHeight="1" x14ac:dyDescent="0.2">
      <c r="B40" s="1400" t="s">
        <v>1744</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92" t="str">
        <f>'[1]Single Audit Cover'!A7</f>
        <v>Bi-County Special Education Cooperative</v>
      </c>
      <c r="C1" s="2692"/>
      <c r="D1" s="2692"/>
      <c r="E1" s="2692"/>
      <c r="F1" s="2692"/>
      <c r="G1" s="2692"/>
      <c r="H1" s="2692"/>
      <c r="I1" s="2692"/>
      <c r="J1" s="2692"/>
      <c r="K1" s="2692"/>
      <c r="L1" s="1367"/>
      <c r="M1" s="1367"/>
    </row>
    <row r="2" spans="1:13" ht="12" customHeight="1" x14ac:dyDescent="0.2">
      <c r="B2" s="2694" t="str">
        <f>'[1]Single Audit Cover'!E7</f>
        <v>47-098-0000-61</v>
      </c>
      <c r="C2" s="2694"/>
      <c r="D2" s="2694"/>
      <c r="E2" s="2694"/>
      <c r="F2" s="2694"/>
      <c r="G2" s="2694"/>
      <c r="H2" s="2694"/>
      <c r="I2" s="2694"/>
      <c r="J2" s="2694"/>
      <c r="K2" s="2694"/>
      <c r="L2" s="1368"/>
      <c r="M2" s="1369"/>
    </row>
    <row r="3" spans="1:13" ht="10.35" customHeight="1" x14ac:dyDescent="0.2">
      <c r="B3" s="2715" t="s">
        <v>1285</v>
      </c>
      <c r="C3" s="2715"/>
      <c r="D3" s="2715"/>
      <c r="E3" s="2715"/>
      <c r="F3" s="2715"/>
      <c r="G3" s="2715"/>
      <c r="H3" s="2715"/>
      <c r="I3" s="2715"/>
      <c r="J3" s="2715"/>
      <c r="K3" s="2715"/>
      <c r="L3" s="1931"/>
      <c r="M3" s="1931"/>
    </row>
    <row r="4" spans="1:13" ht="14.25" customHeight="1" x14ac:dyDescent="0.2">
      <c r="B4" s="2716" t="str">
        <f>'[1]Single Audit Cover'!A4</f>
        <v>Year Ending June 30, 2019</v>
      </c>
      <c r="C4" s="2716"/>
      <c r="D4" s="2716"/>
      <c r="E4" s="2716"/>
      <c r="F4" s="2716"/>
      <c r="G4" s="2716"/>
      <c r="H4" s="2716"/>
      <c r="I4" s="2716"/>
      <c r="J4" s="2716"/>
      <c r="K4" s="2716"/>
      <c r="L4" s="313"/>
      <c r="M4" s="313"/>
    </row>
    <row r="5" spans="1:13" ht="7.5" customHeight="1" x14ac:dyDescent="0.2">
      <c r="B5" s="1254" t="s">
        <v>1169</v>
      </c>
      <c r="C5" s="1254"/>
    </row>
    <row r="6" spans="1:13" ht="7.5" customHeight="1" x14ac:dyDescent="0.2">
      <c r="B6" s="1371"/>
      <c r="C6" s="1371"/>
      <c r="D6" s="1372"/>
      <c r="E6" s="1372"/>
      <c r="F6" s="1372"/>
      <c r="G6" s="1373"/>
      <c r="H6" s="1372"/>
      <c r="I6" s="1373"/>
      <c r="J6" s="1372"/>
      <c r="K6" s="1372"/>
      <c r="L6" s="1374"/>
    </row>
    <row r="7" spans="1:13" ht="12.75" customHeight="1" x14ac:dyDescent="0.2">
      <c r="A7" s="1276"/>
      <c r="B7" s="2716" t="s">
        <v>1296</v>
      </c>
      <c r="C7" s="2716"/>
      <c r="D7" s="2717"/>
      <c r="E7" s="2717"/>
      <c r="F7" s="2717"/>
      <c r="G7" s="2717"/>
      <c r="H7" s="2717"/>
      <c r="I7" s="2717"/>
      <c r="J7" s="2717"/>
      <c r="K7" s="2717"/>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1739</v>
      </c>
      <c r="C10" s="1378" t="s">
        <v>1988</v>
      </c>
      <c r="D10" s="1379">
        <v>1</v>
      </c>
      <c r="E10" s="322"/>
      <c r="F10" s="1380" t="s">
        <v>1295</v>
      </c>
      <c r="G10" s="1381"/>
      <c r="H10" s="1382" t="s">
        <v>1294</v>
      </c>
      <c r="I10" s="1381" t="s">
        <v>2070</v>
      </c>
      <c r="J10" s="1383" t="s">
        <v>1293</v>
      </c>
      <c r="K10" s="322"/>
      <c r="L10" s="1374"/>
    </row>
    <row r="11" spans="1:13" ht="13.5" customHeight="1" x14ac:dyDescent="0.2">
      <c r="B11" s="322"/>
      <c r="C11" s="322"/>
      <c r="D11" s="322"/>
      <c r="E11" s="322"/>
      <c r="F11" s="322"/>
      <c r="G11" s="1376"/>
      <c r="H11" s="322"/>
      <c r="I11" s="1384" t="s">
        <v>1292</v>
      </c>
      <c r="J11" s="322"/>
      <c r="K11" s="1385">
        <v>1990</v>
      </c>
      <c r="L11" s="1374"/>
    </row>
    <row r="12" spans="1:13" ht="13.5" customHeight="1" x14ac:dyDescent="0.2">
      <c r="B12" s="1287"/>
      <c r="C12" s="1287"/>
      <c r="D12" s="322"/>
      <c r="E12" s="322"/>
      <c r="F12" s="322"/>
      <c r="G12" s="1376"/>
      <c r="H12" s="322"/>
      <c r="I12" s="1376"/>
      <c r="J12" s="322"/>
      <c r="L12" s="1374"/>
    </row>
    <row r="13" spans="1:13" s="1276" customFormat="1" ht="13.5" customHeight="1" x14ac:dyDescent="0.2">
      <c r="B13" s="1386" t="s">
        <v>1291</v>
      </c>
      <c r="C13" s="1386"/>
      <c r="D13" s="1387"/>
      <c r="E13" s="1387"/>
      <c r="F13" s="1387"/>
      <c r="G13" s="1388"/>
      <c r="H13" s="1387"/>
      <c r="I13" s="1388"/>
      <c r="J13" s="1387"/>
      <c r="K13" s="1387"/>
      <c r="L13" s="1389"/>
    </row>
    <row r="14" spans="1:13" ht="45.75" customHeight="1" x14ac:dyDescent="0.2">
      <c r="B14" s="2714" t="s">
        <v>2229</v>
      </c>
      <c r="C14" s="2714"/>
      <c r="D14" s="2714"/>
      <c r="E14" s="2714"/>
      <c r="F14" s="2714"/>
      <c r="G14" s="2714"/>
      <c r="H14" s="2714"/>
      <c r="I14" s="2714"/>
      <c r="J14" s="2714"/>
      <c r="K14" s="2714"/>
      <c r="L14" s="1390"/>
    </row>
    <row r="15" spans="1:13" ht="4.5" customHeight="1" x14ac:dyDescent="0.2">
      <c r="B15" s="1391"/>
      <c r="C15" s="1391"/>
      <c r="D15" s="1392"/>
      <c r="E15" s="1392"/>
      <c r="F15" s="1392"/>
      <c r="H15" s="1392"/>
      <c r="J15" s="1392"/>
      <c r="K15" s="1392"/>
      <c r="L15" s="1390"/>
    </row>
    <row r="16" spans="1:13" s="1276" customFormat="1" ht="13.5" customHeight="1" x14ac:dyDescent="0.2">
      <c r="B16" s="1386" t="s">
        <v>1290</v>
      </c>
      <c r="C16" s="1386"/>
      <c r="D16" s="1387"/>
      <c r="E16" s="1387"/>
      <c r="F16" s="1387"/>
      <c r="G16" s="1388"/>
      <c r="H16" s="1387"/>
      <c r="I16" s="1388"/>
      <c r="J16" s="1387"/>
      <c r="K16" s="1387"/>
      <c r="L16" s="1389"/>
    </row>
    <row r="17" spans="2:12" ht="45.75" customHeight="1" x14ac:dyDescent="0.2">
      <c r="B17" s="2714" t="s">
        <v>2242</v>
      </c>
      <c r="C17" s="2714"/>
      <c r="D17" s="2714"/>
      <c r="E17" s="2714"/>
      <c r="F17" s="2714"/>
      <c r="G17" s="2714"/>
      <c r="H17" s="2714"/>
      <c r="I17" s="2714"/>
      <c r="J17" s="2714"/>
      <c r="K17" s="2714"/>
      <c r="L17" s="1374"/>
    </row>
    <row r="18" spans="2:12" ht="4.5" customHeight="1" x14ac:dyDescent="0.2">
      <c r="B18" s="1391"/>
      <c r="C18" s="1391"/>
      <c r="L18" s="1374"/>
    </row>
    <row r="19" spans="2:12" s="1276" customFormat="1" ht="13.5" customHeight="1" x14ac:dyDescent="0.2">
      <c r="B19" s="1386" t="s">
        <v>1740</v>
      </c>
      <c r="C19" s="1386"/>
      <c r="D19" s="1387"/>
      <c r="E19" s="1387"/>
      <c r="F19" s="1387"/>
      <c r="G19" s="1388"/>
      <c r="H19" s="1387"/>
      <c r="I19" s="1388"/>
      <c r="J19" s="1387"/>
      <c r="K19" s="1387"/>
      <c r="L19" s="1389"/>
    </row>
    <row r="20" spans="2:12" ht="45.75" customHeight="1" x14ac:dyDescent="0.2">
      <c r="B20" s="2718" t="s">
        <v>2225</v>
      </c>
      <c r="C20" s="2718"/>
      <c r="D20" s="2714"/>
      <c r="E20" s="2714"/>
      <c r="F20" s="2714"/>
      <c r="G20" s="2714"/>
      <c r="H20" s="2714"/>
      <c r="I20" s="2714"/>
      <c r="J20" s="2714"/>
      <c r="K20" s="2714"/>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714" t="s">
        <v>2226</v>
      </c>
      <c r="C23" s="2714"/>
      <c r="D23" s="2714"/>
      <c r="E23" s="2714"/>
      <c r="F23" s="2714"/>
      <c r="G23" s="2714"/>
      <c r="H23" s="2714"/>
      <c r="I23" s="2714"/>
      <c r="J23" s="2714"/>
      <c r="K23" s="2714"/>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714" t="s">
        <v>2243</v>
      </c>
      <c r="C26" s="2714"/>
      <c r="D26" s="2714"/>
      <c r="E26" s="2714"/>
      <c r="F26" s="2714"/>
      <c r="G26" s="2714"/>
      <c r="H26" s="2714"/>
      <c r="I26" s="2714"/>
      <c r="J26" s="2714"/>
      <c r="K26" s="2714"/>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713" t="s">
        <v>2227</v>
      </c>
      <c r="C29" s="2713"/>
      <c r="D29" s="2714"/>
      <c r="E29" s="2714"/>
      <c r="F29" s="2714"/>
      <c r="G29" s="2714"/>
      <c r="H29" s="2714"/>
      <c r="I29" s="2714"/>
      <c r="J29" s="2714"/>
      <c r="K29" s="2714"/>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1741</v>
      </c>
      <c r="C31" s="1396"/>
      <c r="D31" s="1371"/>
      <c r="E31" s="1372"/>
      <c r="F31" s="1372"/>
      <c r="G31" s="1373"/>
      <c r="H31" s="1372"/>
      <c r="I31" s="1373"/>
      <c r="J31" s="1372"/>
      <c r="K31" s="1372"/>
      <c r="L31" s="1374"/>
    </row>
    <row r="32" spans="2:12" s="322" customFormat="1" ht="44.25" customHeight="1" x14ac:dyDescent="0.2">
      <c r="B32" s="2713" t="s">
        <v>2228</v>
      </c>
      <c r="C32" s="2713"/>
      <c r="D32" s="2714"/>
      <c r="E32" s="2714"/>
      <c r="F32" s="2714"/>
      <c r="G32" s="2714"/>
      <c r="H32" s="2714"/>
      <c r="I32" s="2714"/>
      <c r="J32" s="2714"/>
      <c r="K32" s="2714"/>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1742</v>
      </c>
      <c r="C35" s="1399"/>
      <c r="D35" s="322"/>
      <c r="E35" s="322"/>
      <c r="F35" s="322"/>
      <c r="L35" s="1374"/>
    </row>
    <row r="36" spans="1:13" ht="9.6" customHeight="1" x14ac:dyDescent="0.2">
      <c r="B36" s="1293" t="s">
        <v>1839</v>
      </c>
      <c r="C36" s="1293"/>
      <c r="L36" s="1374"/>
    </row>
    <row r="37" spans="1:13" ht="9.6" customHeight="1" x14ac:dyDescent="0.2">
      <c r="B37" s="1293" t="s">
        <v>1840</v>
      </c>
      <c r="C37" s="1293"/>
    </row>
    <row r="38" spans="1:13" ht="11.85" customHeight="1" x14ac:dyDescent="0.2">
      <c r="B38" s="1400" t="s">
        <v>1743</v>
      </c>
      <c r="C38" s="1400"/>
    </row>
    <row r="39" spans="1:13" ht="9.6" customHeight="1" x14ac:dyDescent="0.2">
      <c r="B39" s="1293" t="s">
        <v>1286</v>
      </c>
      <c r="C39" s="1293"/>
      <c r="M39" s="1401"/>
    </row>
    <row r="40" spans="1:13" ht="12.6" customHeight="1" x14ac:dyDescent="0.2">
      <c r="B40" s="1400" t="s">
        <v>1744</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19" t="s">
        <v>2073</v>
      </c>
      <c r="C1" s="2719"/>
      <c r="D1" s="2719"/>
      <c r="E1" s="2719"/>
      <c r="F1" s="2719"/>
      <c r="G1" s="2719"/>
      <c r="H1" s="2719"/>
      <c r="I1" s="2719"/>
      <c r="J1" s="2719"/>
      <c r="K1" s="2719"/>
      <c r="L1" s="1445"/>
    </row>
    <row r="2" spans="1:12" ht="12.75" customHeight="1" x14ac:dyDescent="0.2">
      <c r="B2" s="2720" t="s">
        <v>2071</v>
      </c>
      <c r="C2" s="2720"/>
      <c r="D2" s="2720"/>
      <c r="E2" s="2720"/>
      <c r="F2" s="2720"/>
      <c r="G2" s="2720"/>
      <c r="H2" s="2720"/>
      <c r="I2" s="2720"/>
      <c r="J2" s="2720"/>
      <c r="K2" s="2720"/>
      <c r="L2" s="1446"/>
    </row>
    <row r="3" spans="1:12" ht="12.75" customHeight="1" x14ac:dyDescent="0.2">
      <c r="B3" s="2715" t="s">
        <v>1285</v>
      </c>
      <c r="C3" s="2715"/>
      <c r="D3" s="2715"/>
      <c r="E3" s="2715"/>
      <c r="F3" s="2715"/>
      <c r="G3" s="2715"/>
      <c r="H3" s="2715"/>
      <c r="I3" s="2715"/>
      <c r="J3" s="2715"/>
      <c r="K3" s="2715"/>
      <c r="L3" s="1931"/>
    </row>
    <row r="4" spans="1:12" ht="12.75" customHeight="1" x14ac:dyDescent="0.2">
      <c r="B4" s="2715" t="s">
        <v>1986</v>
      </c>
      <c r="C4" s="2715"/>
      <c r="D4" s="2715"/>
      <c r="E4" s="2715"/>
      <c r="F4" s="2715"/>
      <c r="G4" s="2715"/>
      <c r="H4" s="2715"/>
      <c r="I4" s="2715"/>
      <c r="J4" s="2715"/>
      <c r="K4" s="2715"/>
      <c r="L4" s="1931"/>
    </row>
    <row r="5" spans="1:12" ht="5.25" customHeight="1" x14ac:dyDescent="0.2">
      <c r="B5" s="1254" t="s">
        <v>1169</v>
      </c>
      <c r="C5" s="1254"/>
      <c r="L5" s="322"/>
    </row>
    <row r="6" spans="1:12" ht="30.75" customHeight="1" x14ac:dyDescent="0.2">
      <c r="A6" s="322"/>
      <c r="B6" s="2721" t="s">
        <v>1308</v>
      </c>
      <c r="C6" s="2721"/>
      <c r="D6" s="2721"/>
      <c r="E6" s="2721"/>
      <c r="F6" s="2721"/>
      <c r="G6" s="2721"/>
      <c r="H6" s="2721"/>
      <c r="I6" s="2721"/>
      <c r="J6" s="2721"/>
      <c r="K6" s="2721"/>
      <c r="L6" s="322"/>
    </row>
    <row r="7" spans="1:12" ht="4.5" customHeight="1" x14ac:dyDescent="0.2">
      <c r="B7" s="1372"/>
      <c r="C7" s="1372"/>
      <c r="D7" s="1372"/>
      <c r="E7" s="1372"/>
      <c r="F7" s="1372"/>
      <c r="G7" s="1373"/>
      <c r="H7" s="1372"/>
      <c r="I7" s="1373"/>
      <c r="J7" s="1372"/>
      <c r="K7" s="1372"/>
      <c r="L7" s="322"/>
    </row>
    <row r="8" spans="1:12" ht="13.5" customHeight="1" x14ac:dyDescent="0.2">
      <c r="B8" s="1380" t="s">
        <v>1753</v>
      </c>
      <c r="C8" s="2722" t="s">
        <v>2187</v>
      </c>
      <c r="D8" s="2722"/>
      <c r="E8" s="322"/>
      <c r="F8" s="1377" t="s">
        <v>1295</v>
      </c>
      <c r="G8" s="1449" t="s">
        <v>2070</v>
      </c>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699" t="s">
        <v>2230</v>
      </c>
      <c r="G12" s="2699"/>
      <c r="H12" s="2699"/>
      <c r="I12" s="2699"/>
      <c r="J12" s="2699"/>
      <c r="K12" s="2699"/>
      <c r="L12" s="322"/>
    </row>
    <row r="13" spans="1:12" ht="9.6" customHeight="1" x14ac:dyDescent="0.2">
      <c r="B13" s="1251"/>
      <c r="C13" s="1251"/>
      <c r="D13" s="304"/>
      <c r="E13" s="322"/>
      <c r="F13" s="322"/>
      <c r="G13" s="1376"/>
      <c r="H13" s="322"/>
      <c r="I13" s="1376"/>
      <c r="J13" s="322"/>
      <c r="K13" s="1412"/>
      <c r="L13" s="322"/>
    </row>
    <row r="14" spans="1:12" ht="13.5" customHeight="1" x14ac:dyDescent="0.2">
      <c r="B14" s="1380" t="s">
        <v>1304</v>
      </c>
      <c r="C14" s="1380"/>
      <c r="D14" s="2723" t="s">
        <v>2188</v>
      </c>
      <c r="E14" s="2723"/>
      <c r="F14" s="2723"/>
      <c r="H14" s="1455" t="s">
        <v>1303</v>
      </c>
      <c r="I14" s="2724">
        <v>84.027000000000001</v>
      </c>
      <c r="J14" s="2724"/>
      <c r="K14" s="2724"/>
      <c r="L14" s="322"/>
    </row>
    <row r="15" spans="1:12" ht="9.4" customHeight="1" x14ac:dyDescent="0.2">
      <c r="B15" s="1380"/>
      <c r="C15" s="1380"/>
      <c r="D15" s="1366"/>
      <c r="E15" s="1254"/>
      <c r="F15" s="1254"/>
      <c r="G15" s="1280"/>
      <c r="H15" s="1254"/>
      <c r="I15" s="1456"/>
      <c r="J15" s="1287"/>
      <c r="K15" s="1285"/>
      <c r="L15" s="322"/>
    </row>
    <row r="16" spans="1:12" ht="13.5" customHeight="1" x14ac:dyDescent="0.2">
      <c r="B16" s="1380" t="s">
        <v>1302</v>
      </c>
      <c r="C16" s="1380"/>
      <c r="D16" s="2724" t="s">
        <v>2189</v>
      </c>
      <c r="E16" s="2724"/>
      <c r="F16" s="2724"/>
      <c r="G16" s="2724"/>
      <c r="H16" s="2724"/>
      <c r="I16" s="2724"/>
      <c r="J16" s="2724"/>
      <c r="K16" s="2724"/>
      <c r="L16" s="322"/>
    </row>
    <row r="17" spans="2:12" ht="13.5" customHeight="1" x14ac:dyDescent="0.2">
      <c r="B17" s="1380" t="s">
        <v>1301</v>
      </c>
      <c r="C17" s="1380"/>
      <c r="D17" s="2725" t="s">
        <v>2190</v>
      </c>
      <c r="E17" s="2725"/>
      <c r="F17" s="2725"/>
      <c r="G17" s="2725"/>
      <c r="H17" s="2725"/>
      <c r="I17" s="2725"/>
      <c r="J17" s="2725"/>
      <c r="K17" s="2725"/>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714" t="s">
        <v>2231</v>
      </c>
      <c r="C20" s="2714"/>
      <c r="D20" s="2714"/>
      <c r="E20" s="2714"/>
      <c r="F20" s="2714"/>
      <c r="G20" s="2714"/>
      <c r="H20" s="2714"/>
      <c r="I20" s="2714"/>
      <c r="J20" s="2714"/>
      <c r="K20" s="2714"/>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1754</v>
      </c>
      <c r="C22" s="1457"/>
      <c r="D22" s="322"/>
      <c r="E22" s="322"/>
      <c r="F22" s="322"/>
      <c r="G22" s="1376"/>
      <c r="H22" s="322"/>
      <c r="I22" s="1376"/>
      <c r="J22" s="322"/>
      <c r="K22" s="322"/>
      <c r="L22" s="322"/>
    </row>
    <row r="23" spans="2:12" ht="37.5" customHeight="1" x14ac:dyDescent="0.2">
      <c r="B23" s="2714" t="s">
        <v>2232</v>
      </c>
      <c r="C23" s="2714"/>
      <c r="D23" s="2714"/>
      <c r="E23" s="2714"/>
      <c r="F23" s="2714"/>
      <c r="G23" s="2714"/>
      <c r="H23" s="2714"/>
      <c r="I23" s="2714"/>
      <c r="J23" s="2714"/>
      <c r="K23" s="2714"/>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1755</v>
      </c>
      <c r="C25" s="1457"/>
      <c r="D25" s="322"/>
      <c r="E25" s="322"/>
      <c r="F25" s="322"/>
      <c r="G25" s="1376"/>
      <c r="H25" s="322"/>
      <c r="I25" s="1376"/>
      <c r="J25" s="322"/>
      <c r="K25" s="322"/>
      <c r="L25" s="322"/>
    </row>
    <row r="26" spans="2:12" ht="37.5" customHeight="1" x14ac:dyDescent="0.2">
      <c r="B26" s="2714" t="s">
        <v>2191</v>
      </c>
      <c r="C26" s="2714"/>
      <c r="D26" s="2714"/>
      <c r="E26" s="2714"/>
      <c r="F26" s="2714"/>
      <c r="G26" s="2714"/>
      <c r="H26" s="2714"/>
      <c r="I26" s="2714"/>
      <c r="J26" s="2714"/>
      <c r="K26" s="2714"/>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1756</v>
      </c>
      <c r="C28" s="1457"/>
      <c r="D28" s="322"/>
      <c r="E28" s="322"/>
      <c r="F28" s="322"/>
      <c r="G28" s="1376"/>
      <c r="H28" s="322"/>
      <c r="I28" s="1376"/>
      <c r="J28" s="322"/>
      <c r="K28" s="322"/>
      <c r="L28" s="322"/>
    </row>
    <row r="29" spans="2:12" ht="37.5" customHeight="1" x14ac:dyDescent="0.2">
      <c r="B29" s="2714" t="s">
        <v>2233</v>
      </c>
      <c r="C29" s="2714"/>
      <c r="D29" s="2714"/>
      <c r="E29" s="2714"/>
      <c r="F29" s="2714"/>
      <c r="G29" s="2714"/>
      <c r="H29" s="2714"/>
      <c r="I29" s="2714"/>
      <c r="J29" s="2714"/>
      <c r="K29" s="2714"/>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714" t="s">
        <v>2240</v>
      </c>
      <c r="C32" s="2714"/>
      <c r="D32" s="2714"/>
      <c r="E32" s="2714"/>
      <c r="F32" s="2714"/>
      <c r="G32" s="2714"/>
      <c r="H32" s="2714"/>
      <c r="I32" s="2714"/>
      <c r="J32" s="2714"/>
      <c r="K32" s="2714"/>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714" t="s">
        <v>2238</v>
      </c>
      <c r="C35" s="2714"/>
      <c r="D35" s="2714"/>
      <c r="E35" s="2714"/>
      <c r="F35" s="2714"/>
      <c r="G35" s="2714"/>
      <c r="H35" s="2714"/>
      <c r="I35" s="2714"/>
      <c r="J35" s="2714"/>
      <c r="K35" s="2714"/>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714" t="s">
        <v>2234</v>
      </c>
      <c r="C38" s="2714"/>
      <c r="D38" s="2714"/>
      <c r="E38" s="2714"/>
      <c r="F38" s="2714"/>
      <c r="G38" s="2714"/>
      <c r="H38" s="2714"/>
      <c r="I38" s="2714"/>
      <c r="J38" s="2714"/>
      <c r="K38" s="2714"/>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1757</v>
      </c>
      <c r="C40" s="1396"/>
      <c r="D40" s="1371"/>
      <c r="E40" s="1372"/>
      <c r="F40" s="1372"/>
      <c r="G40" s="1373"/>
      <c r="H40" s="1372"/>
      <c r="I40" s="1373"/>
      <c r="J40" s="1372"/>
      <c r="K40" s="1372"/>
    </row>
    <row r="41" spans="2:12" s="322" customFormat="1" ht="33.75" customHeight="1" x14ac:dyDescent="0.2">
      <c r="B41" s="2714" t="s">
        <v>2235</v>
      </c>
      <c r="C41" s="2714"/>
      <c r="D41" s="2714"/>
      <c r="E41" s="2714"/>
      <c r="F41" s="2714"/>
      <c r="G41" s="2714"/>
      <c r="H41" s="2714"/>
      <c r="I41" s="2714"/>
      <c r="J41" s="2714"/>
      <c r="K41" s="2714"/>
    </row>
    <row r="42" spans="2:12" s="322" customFormat="1" ht="4.5" customHeight="1" x14ac:dyDescent="0.2">
      <c r="B42" s="1395"/>
      <c r="C42" s="1395"/>
      <c r="G42" s="1376"/>
      <c r="I42" s="1376"/>
    </row>
    <row r="43" spans="2:12" s="322" customFormat="1" ht="13.5" customHeight="1" x14ac:dyDescent="0.2">
      <c r="B43" s="2123" t="s">
        <v>2192</v>
      </c>
      <c r="C43" s="2124"/>
      <c r="D43" s="2125"/>
      <c r="E43" s="2125"/>
      <c r="F43" s="2125"/>
      <c r="G43" s="2126"/>
      <c r="H43" s="2125"/>
      <c r="I43" s="2126"/>
      <c r="J43" s="2125"/>
      <c r="K43" s="2127"/>
      <c r="L43" s="2128"/>
    </row>
    <row r="44" spans="2:12" s="322" customFormat="1" ht="13.5" customHeight="1" x14ac:dyDescent="0.2">
      <c r="B44" s="2129" t="s">
        <v>2193</v>
      </c>
      <c r="C44" s="2130"/>
      <c r="D44" s="2131"/>
      <c r="E44" s="2132"/>
      <c r="F44" s="2133" t="s">
        <v>2194</v>
      </c>
      <c r="G44" s="2134"/>
      <c r="H44" s="2135"/>
      <c r="I44" s="2134"/>
      <c r="J44" s="2136"/>
      <c r="K44" s="2137"/>
      <c r="L44" s="2128"/>
    </row>
    <row r="45" spans="2:12" s="322" customFormat="1" ht="13.5" customHeight="1" x14ac:dyDescent="0.2">
      <c r="B45" s="2129" t="s">
        <v>2195</v>
      </c>
      <c r="C45" s="2130"/>
      <c r="D45" s="2136"/>
      <c r="E45" s="2135"/>
      <c r="F45" s="2133" t="s">
        <v>2196</v>
      </c>
      <c r="G45" s="2134"/>
      <c r="H45" s="2135"/>
      <c r="I45" s="2134"/>
      <c r="J45" s="2136"/>
      <c r="K45" s="2137"/>
      <c r="L45" s="2128"/>
    </row>
    <row r="46" spans="2:12" s="322" customFormat="1" ht="13.5" customHeight="1" x14ac:dyDescent="0.2">
      <c r="B46" s="2138"/>
      <c r="C46" s="2139"/>
      <c r="D46" s="2139"/>
      <c r="E46" s="2139"/>
      <c r="F46" s="2139"/>
      <c r="G46" s="2140"/>
      <c r="H46" s="2139"/>
      <c r="I46" s="2140"/>
      <c r="J46" s="2139"/>
      <c r="K46" s="2141"/>
      <c r="L46" s="2128"/>
    </row>
    <row r="47" spans="2:12" ht="7.5" customHeight="1" x14ac:dyDescent="0.25">
      <c r="B47" s="1462"/>
      <c r="C47" s="1462"/>
      <c r="D47" s="1463"/>
      <c r="E47" s="1463"/>
      <c r="F47" s="1463"/>
      <c r="G47" s="1464"/>
      <c r="H47" s="1463"/>
      <c r="I47" s="1464"/>
      <c r="J47" s="1463"/>
      <c r="K47" s="1463"/>
    </row>
    <row r="48" spans="2:12" ht="13.5" customHeight="1" x14ac:dyDescent="0.2">
      <c r="B48" s="1399" t="s">
        <v>1758</v>
      </c>
      <c r="C48" s="1399"/>
      <c r="D48" s="322"/>
      <c r="E48" s="322"/>
      <c r="F48" s="322"/>
    </row>
    <row r="49" spans="2:3" s="317" customFormat="1" ht="10.5" customHeight="1" x14ac:dyDescent="0.2">
      <c r="B49" s="1400" t="s">
        <v>1759</v>
      </c>
      <c r="C49" s="1400"/>
    </row>
    <row r="50" spans="2:3" s="317" customFormat="1" ht="11.1" customHeight="1" x14ac:dyDescent="0.2">
      <c r="B50" s="1400" t="s">
        <v>1760</v>
      </c>
      <c r="C50" s="1400"/>
    </row>
    <row r="51" spans="2:3" s="317" customFormat="1" ht="11.1" customHeight="1" x14ac:dyDescent="0.2">
      <c r="B51" s="1400" t="s">
        <v>1761</v>
      </c>
      <c r="C51" s="1400"/>
    </row>
    <row r="52" spans="2:3" s="317" customFormat="1" ht="11.1" customHeight="1" x14ac:dyDescent="0.2">
      <c r="B52" s="1400" t="s">
        <v>1762</v>
      </c>
      <c r="C52" s="1400"/>
    </row>
  </sheetData>
  <mergeCells count="19">
    <mergeCell ref="B20:K20"/>
    <mergeCell ref="B1:K1"/>
    <mergeCell ref="B2:K2"/>
    <mergeCell ref="B3:K3"/>
    <mergeCell ref="B4:K4"/>
    <mergeCell ref="B6:K6"/>
    <mergeCell ref="C8:D8"/>
    <mergeCell ref="F12:K12"/>
    <mergeCell ref="D14:F14"/>
    <mergeCell ref="I14:K14"/>
    <mergeCell ref="D16:K16"/>
    <mergeCell ref="D17:K17"/>
    <mergeCell ref="B41:K41"/>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19" t="str">
        <f>'Single Audit Cover'!A7</f>
        <v>Bi County Special Educ Coop</v>
      </c>
      <c r="C1" s="2719"/>
      <c r="D1" s="2719"/>
      <c r="E1" s="2719"/>
      <c r="F1" s="2719"/>
      <c r="G1" s="2719"/>
      <c r="H1" s="2719"/>
      <c r="I1" s="2719"/>
      <c r="J1" s="2719"/>
      <c r="K1" s="2719"/>
      <c r="L1" s="1445"/>
    </row>
    <row r="2" spans="1:12" ht="12.75" customHeight="1" x14ac:dyDescent="0.2">
      <c r="B2" s="2720">
        <f>'Single Audit Cover'!E7</f>
        <v>47098000061</v>
      </c>
      <c r="C2" s="2720"/>
      <c r="D2" s="2720"/>
      <c r="E2" s="2720"/>
      <c r="F2" s="2720"/>
      <c r="G2" s="2720"/>
      <c r="H2" s="2720"/>
      <c r="I2" s="2720"/>
      <c r="J2" s="2720"/>
      <c r="K2" s="2720"/>
      <c r="L2" s="1446"/>
    </row>
    <row r="3" spans="1:12" ht="12.75" customHeight="1" x14ac:dyDescent="0.2">
      <c r="B3" s="2715" t="s">
        <v>1285</v>
      </c>
      <c r="C3" s="2715"/>
      <c r="D3" s="2715"/>
      <c r="E3" s="2715"/>
      <c r="F3" s="2715"/>
      <c r="G3" s="2715"/>
      <c r="H3" s="2715"/>
      <c r="I3" s="2715"/>
      <c r="J3" s="2715"/>
      <c r="K3" s="2715"/>
      <c r="L3" s="1370"/>
    </row>
    <row r="4" spans="1:12" ht="12.75" customHeight="1" x14ac:dyDescent="0.2">
      <c r="B4" s="2715" t="str">
        <f>'Single Audit Cover'!A4</f>
        <v>Year Ending June 30, 2019</v>
      </c>
      <c r="C4" s="2715"/>
      <c r="D4" s="2715"/>
      <c r="E4" s="2715"/>
      <c r="F4" s="2715"/>
      <c r="G4" s="2715"/>
      <c r="H4" s="2715"/>
      <c r="I4" s="2715"/>
      <c r="J4" s="2715"/>
      <c r="K4" s="2715"/>
      <c r="L4" s="1370"/>
    </row>
    <row r="5" spans="1:12" ht="5.25" customHeight="1" x14ac:dyDescent="0.2">
      <c r="B5" s="1254" t="s">
        <v>1169</v>
      </c>
      <c r="C5" s="1254"/>
      <c r="L5" s="322"/>
    </row>
    <row r="6" spans="1:12" ht="30.75" customHeight="1" x14ac:dyDescent="0.2">
      <c r="A6" s="322"/>
      <c r="B6" s="2721" t="s">
        <v>1308</v>
      </c>
      <c r="C6" s="2721"/>
      <c r="D6" s="2721"/>
      <c r="E6" s="2721"/>
      <c r="F6" s="2721"/>
      <c r="G6" s="2721"/>
      <c r="H6" s="2721"/>
      <c r="I6" s="2721"/>
      <c r="J6" s="2721"/>
      <c r="K6" s="2721"/>
      <c r="L6" s="322"/>
    </row>
    <row r="7" spans="1:12" ht="4.5" customHeight="1" x14ac:dyDescent="0.2">
      <c r="B7" s="1372"/>
      <c r="C7" s="1372"/>
      <c r="D7" s="1372"/>
      <c r="E7" s="1372"/>
      <c r="F7" s="1372"/>
      <c r="G7" s="1373"/>
      <c r="H7" s="1372"/>
      <c r="I7" s="1373"/>
      <c r="J7" s="1372"/>
      <c r="K7" s="1372"/>
      <c r="L7" s="322"/>
    </row>
    <row r="8" spans="1:12" ht="13.5" customHeight="1" x14ac:dyDescent="0.2">
      <c r="B8" s="1380" t="s">
        <v>1753</v>
      </c>
      <c r="C8" s="1447" t="s">
        <v>1988</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699"/>
      <c r="G12" s="2699"/>
      <c r="H12" s="2699"/>
      <c r="I12" s="2699"/>
      <c r="J12" s="2699"/>
      <c r="K12" s="2699"/>
      <c r="L12" s="322"/>
    </row>
    <row r="13" spans="1:12" ht="9.6" customHeight="1" x14ac:dyDescent="0.2">
      <c r="B13" s="1251"/>
      <c r="C13" s="1251"/>
      <c r="D13" s="304"/>
      <c r="E13" s="322"/>
      <c r="F13" s="322"/>
      <c r="G13" s="1376"/>
      <c r="H13" s="322"/>
      <c r="I13" s="1376"/>
      <c r="J13" s="322"/>
      <c r="K13" s="1412"/>
      <c r="L13" s="322"/>
    </row>
    <row r="14" spans="1:12" ht="13.5" customHeight="1" x14ac:dyDescent="0.2">
      <c r="B14" s="1380" t="s">
        <v>1304</v>
      </c>
      <c r="C14" s="1380"/>
      <c r="D14" s="2723"/>
      <c r="E14" s="2723"/>
      <c r="F14" s="2723"/>
      <c r="H14" s="1455" t="s">
        <v>1303</v>
      </c>
      <c r="I14" s="2724"/>
      <c r="J14" s="2724"/>
      <c r="K14" s="2724"/>
      <c r="L14" s="322"/>
    </row>
    <row r="15" spans="1:12" ht="9.4" customHeight="1" x14ac:dyDescent="0.2">
      <c r="B15" s="1380"/>
      <c r="C15" s="1380"/>
      <c r="D15" s="1366"/>
      <c r="E15" s="1254"/>
      <c r="F15" s="1254"/>
      <c r="G15" s="1280"/>
      <c r="H15" s="1254"/>
      <c r="I15" s="1456"/>
      <c r="J15" s="1287"/>
      <c r="K15" s="1285"/>
      <c r="L15" s="322"/>
    </row>
    <row r="16" spans="1:12" ht="13.5" customHeight="1" x14ac:dyDescent="0.2">
      <c r="B16" s="1380" t="s">
        <v>1302</v>
      </c>
      <c r="C16" s="1380"/>
      <c r="D16" s="2724"/>
      <c r="E16" s="2724"/>
      <c r="F16" s="2724"/>
      <c r="G16" s="2724"/>
      <c r="H16" s="2724"/>
      <c r="I16" s="2724"/>
      <c r="J16" s="2724"/>
      <c r="K16" s="2724"/>
      <c r="L16" s="322"/>
    </row>
    <row r="17" spans="2:12" ht="13.5" customHeight="1" x14ac:dyDescent="0.2">
      <c r="B17" s="1380" t="s">
        <v>1301</v>
      </c>
      <c r="C17" s="1380"/>
      <c r="D17" s="2725"/>
      <c r="E17" s="2725"/>
      <c r="F17" s="2725"/>
      <c r="G17" s="2725"/>
      <c r="H17" s="2725"/>
      <c r="I17" s="2725"/>
      <c r="J17" s="2725"/>
      <c r="K17" s="2725"/>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714"/>
      <c r="C20" s="2714"/>
      <c r="D20" s="2714"/>
      <c r="E20" s="2714"/>
      <c r="F20" s="2714"/>
      <c r="G20" s="2714"/>
      <c r="H20" s="2714"/>
      <c r="I20" s="2714"/>
      <c r="J20" s="2714"/>
      <c r="K20" s="2714"/>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1754</v>
      </c>
      <c r="C22" s="1457"/>
      <c r="D22" s="322"/>
      <c r="E22" s="322"/>
      <c r="F22" s="322"/>
      <c r="G22" s="1376"/>
      <c r="H22" s="322"/>
      <c r="I22" s="1376"/>
      <c r="J22" s="322"/>
      <c r="K22" s="322"/>
      <c r="L22" s="322"/>
    </row>
    <row r="23" spans="2:12" ht="37.5" customHeight="1" x14ac:dyDescent="0.2">
      <c r="B23" s="2714"/>
      <c r="C23" s="2714"/>
      <c r="D23" s="2714"/>
      <c r="E23" s="2714"/>
      <c r="F23" s="2714"/>
      <c r="G23" s="2714"/>
      <c r="H23" s="2714"/>
      <c r="I23" s="2714"/>
      <c r="J23" s="2714"/>
      <c r="K23" s="2714"/>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1755</v>
      </c>
      <c r="C25" s="1457"/>
      <c r="D25" s="322"/>
      <c r="E25" s="322"/>
      <c r="F25" s="322"/>
      <c r="G25" s="1376"/>
      <c r="H25" s="322"/>
      <c r="I25" s="1376"/>
      <c r="J25" s="322"/>
      <c r="K25" s="322"/>
      <c r="L25" s="322"/>
    </row>
    <row r="26" spans="2:12" ht="37.5" customHeight="1" x14ac:dyDescent="0.2">
      <c r="B26" s="2714"/>
      <c r="C26" s="2714"/>
      <c r="D26" s="2714"/>
      <c r="E26" s="2714"/>
      <c r="F26" s="2714"/>
      <c r="G26" s="2714"/>
      <c r="H26" s="2714"/>
      <c r="I26" s="2714"/>
      <c r="J26" s="2714"/>
      <c r="K26" s="2714"/>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1756</v>
      </c>
      <c r="C28" s="1457"/>
      <c r="D28" s="322"/>
      <c r="E28" s="322"/>
      <c r="F28" s="322"/>
      <c r="G28" s="1376"/>
      <c r="H28" s="322"/>
      <c r="I28" s="1376"/>
      <c r="J28" s="322"/>
      <c r="K28" s="322"/>
      <c r="L28" s="322"/>
    </row>
    <row r="29" spans="2:12" ht="37.5" customHeight="1" x14ac:dyDescent="0.2">
      <c r="B29" s="2714"/>
      <c r="C29" s="2714"/>
      <c r="D29" s="2714"/>
      <c r="E29" s="2714"/>
      <c r="F29" s="2714"/>
      <c r="G29" s="2714"/>
      <c r="H29" s="2714"/>
      <c r="I29" s="2714"/>
      <c r="J29" s="2714"/>
      <c r="K29" s="2714"/>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714"/>
      <c r="C32" s="2714"/>
      <c r="D32" s="2714"/>
      <c r="E32" s="2714"/>
      <c r="F32" s="2714"/>
      <c r="G32" s="2714"/>
      <c r="H32" s="2714"/>
      <c r="I32" s="2714"/>
      <c r="J32" s="2714"/>
      <c r="K32" s="2714"/>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714"/>
      <c r="C35" s="2714"/>
      <c r="D35" s="2714"/>
      <c r="E35" s="2714"/>
      <c r="F35" s="2714"/>
      <c r="G35" s="2714"/>
      <c r="H35" s="2714"/>
      <c r="I35" s="2714"/>
      <c r="J35" s="2714"/>
      <c r="K35" s="2714"/>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714"/>
      <c r="C38" s="2714"/>
      <c r="D38" s="2714"/>
      <c r="E38" s="2714"/>
      <c r="F38" s="2714"/>
      <c r="G38" s="2714"/>
      <c r="H38" s="2714"/>
      <c r="I38" s="2714"/>
      <c r="J38" s="2714"/>
      <c r="K38" s="2714"/>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1757</v>
      </c>
      <c r="C40" s="1396"/>
      <c r="D40" s="1371"/>
      <c r="E40" s="1372"/>
      <c r="F40" s="1372"/>
      <c r="G40" s="1373"/>
      <c r="H40" s="1372"/>
      <c r="I40" s="1373"/>
      <c r="J40" s="1372"/>
      <c r="K40" s="1372"/>
    </row>
    <row r="41" spans="2:12" s="322" customFormat="1" ht="33.75" customHeight="1" x14ac:dyDescent="0.2">
      <c r="B41" s="2714"/>
      <c r="C41" s="2714"/>
      <c r="D41" s="2714"/>
      <c r="E41" s="2714"/>
      <c r="F41" s="2714"/>
      <c r="G41" s="2714"/>
      <c r="H41" s="2714"/>
      <c r="I41" s="2714"/>
      <c r="J41" s="2714"/>
      <c r="K41" s="2714"/>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1758</v>
      </c>
      <c r="C44" s="1399"/>
      <c r="D44" s="322"/>
      <c r="E44" s="322"/>
      <c r="F44" s="322"/>
    </row>
    <row r="45" spans="2:12" ht="10.5" customHeight="1" x14ac:dyDescent="0.2">
      <c r="B45" s="1400" t="s">
        <v>1759</v>
      </c>
      <c r="C45" s="1400"/>
      <c r="G45" s="317"/>
      <c r="I45" s="317"/>
    </row>
    <row r="46" spans="2:12" ht="11.1" customHeight="1" x14ac:dyDescent="0.2">
      <c r="B46" s="1400" t="s">
        <v>1760</v>
      </c>
      <c r="C46" s="1400"/>
      <c r="G46" s="317"/>
      <c r="I46" s="317"/>
    </row>
    <row r="47" spans="2:12" ht="11.1" customHeight="1" x14ac:dyDescent="0.2">
      <c r="B47" s="1400" t="s">
        <v>1761</v>
      </c>
      <c r="C47" s="1400"/>
      <c r="G47" s="317"/>
      <c r="I47" s="317"/>
    </row>
    <row r="48" spans="2:12" ht="11.1" customHeight="1" x14ac:dyDescent="0.2">
      <c r="B48" s="1400" t="s">
        <v>1762</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92" t="str">
        <f>'Single Audit Cover'!A7</f>
        <v>Bi County Special Educ Coop</v>
      </c>
      <c r="C1" s="2692"/>
      <c r="D1" s="2692"/>
      <c r="E1" s="1465"/>
    </row>
    <row r="2" spans="2:5" s="1276" customFormat="1" ht="12.75" customHeight="1" x14ac:dyDescent="0.2">
      <c r="B2" s="2694">
        <f>'Single Audit Cover'!E7</f>
        <v>47098000061</v>
      </c>
      <c r="C2" s="2694"/>
      <c r="D2" s="2694"/>
      <c r="E2" s="1466"/>
    </row>
    <row r="3" spans="2:5" ht="12.75" customHeight="1" x14ac:dyDescent="0.2">
      <c r="B3" s="2715" t="s">
        <v>1763</v>
      </c>
      <c r="C3" s="2715"/>
      <c r="D3" s="2715"/>
      <c r="E3" s="1268"/>
    </row>
    <row r="4" spans="2:5" s="1276" customFormat="1" ht="12.75" customHeight="1" x14ac:dyDescent="0.2">
      <c r="B4" s="2726" t="str">
        <f>'Single Audit Cover'!A4</f>
        <v>Year Ending June 30, 2019</v>
      </c>
      <c r="C4" s="2726"/>
      <c r="D4" s="2726"/>
      <c r="E4" s="1467"/>
    </row>
    <row r="5" spans="2:5" s="1276" customFormat="1" ht="40.15" customHeight="1" x14ac:dyDescent="0.2">
      <c r="B5" s="1468" t="s">
        <v>1764</v>
      </c>
      <c r="C5" s="328"/>
      <c r="D5" s="328"/>
      <c r="E5" s="328"/>
    </row>
    <row r="6" spans="2:5" s="1276" customFormat="1" ht="13.5" customHeight="1" x14ac:dyDescent="0.2">
      <c r="B6" s="1469" t="s">
        <v>1315</v>
      </c>
      <c r="C6" s="1469" t="s">
        <v>1314</v>
      </c>
      <c r="D6" s="1469" t="s">
        <v>1765</v>
      </c>
    </row>
    <row r="7" spans="2:5" ht="13.5" customHeight="1" x14ac:dyDescent="0.2">
      <c r="B7" s="1470" t="s">
        <v>2197</v>
      </c>
      <c r="C7" s="324" t="s">
        <v>2198</v>
      </c>
      <c r="D7" s="324" t="s">
        <v>2199</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1" t="s">
        <v>1313</v>
      </c>
      <c r="C44" s="322"/>
    </row>
    <row r="45" spans="2:5" ht="12.2" customHeight="1" x14ac:dyDescent="0.2">
      <c r="B45" s="1479" t="s">
        <v>1766</v>
      </c>
    </row>
    <row r="46" spans="2:5" ht="12.2" customHeight="1" x14ac:dyDescent="0.2">
      <c r="B46" s="1479" t="s">
        <v>1767</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2143" customWidth="1"/>
    <col min="2" max="2" width="11.28515625" style="2143" customWidth="1"/>
    <col min="3" max="3" width="6.42578125" style="2143" customWidth="1"/>
    <col min="4" max="4" width="5.42578125" style="2143" customWidth="1"/>
    <col min="5" max="5" width="74.7109375" style="2143" customWidth="1"/>
    <col min="6" max="6" width="1.5703125" style="2143" customWidth="1"/>
    <col min="7" max="8" width="2.42578125" style="2143" customWidth="1"/>
    <col min="9" max="9" width="9.28515625" style="2143" customWidth="1"/>
    <col min="10" max="10" width="14.42578125" style="2143" customWidth="1"/>
    <col min="11" max="11" width="7.28515625" style="2143" customWidth="1"/>
    <col min="12" max="12" width="3.140625" style="2143" customWidth="1"/>
    <col min="13" max="16384" width="9.140625" style="2143"/>
  </cols>
  <sheetData>
    <row r="1" spans="2:12" ht="13.5" customHeight="1" x14ac:dyDescent="0.2">
      <c r="B1" s="2728" t="s">
        <v>2073</v>
      </c>
      <c r="C1" s="2728"/>
      <c r="D1" s="2728"/>
      <c r="E1" s="2728"/>
      <c r="F1" s="2142"/>
      <c r="G1" s="2142"/>
      <c r="H1" s="2142"/>
      <c r="I1" s="2142"/>
      <c r="J1" s="2142"/>
      <c r="K1" s="2142"/>
      <c r="L1" s="2142"/>
    </row>
    <row r="2" spans="2:12" ht="13.5" customHeight="1" x14ac:dyDescent="0.2">
      <c r="B2" s="2729" t="s">
        <v>2071</v>
      </c>
      <c r="C2" s="2729"/>
      <c r="D2" s="2729"/>
      <c r="E2" s="2729"/>
      <c r="F2" s="2144"/>
      <c r="G2" s="2144"/>
      <c r="H2" s="2144"/>
      <c r="I2" s="2144"/>
      <c r="J2" s="2144"/>
      <c r="K2" s="2144"/>
      <c r="L2" s="2144"/>
    </row>
    <row r="3" spans="2:12" ht="13.5" customHeight="1" x14ac:dyDescent="0.2">
      <c r="B3" s="2730" t="s">
        <v>2200</v>
      </c>
      <c r="C3" s="2730"/>
      <c r="D3" s="2730"/>
      <c r="E3" s="2730"/>
      <c r="F3" s="2145"/>
      <c r="G3" s="2145"/>
      <c r="H3" s="2145"/>
      <c r="I3" s="2145"/>
      <c r="J3" s="2145"/>
      <c r="K3" s="2145"/>
      <c r="L3" s="2145"/>
    </row>
    <row r="4" spans="2:12" ht="13.5" customHeight="1" x14ac:dyDescent="0.2">
      <c r="B4" s="2731" t="s">
        <v>1986</v>
      </c>
      <c r="C4" s="2731"/>
      <c r="D4" s="2731"/>
      <c r="E4" s="2731"/>
      <c r="F4" s="2146"/>
      <c r="G4" s="2146"/>
      <c r="H4" s="2146"/>
      <c r="I4" s="2146"/>
      <c r="J4" s="2146"/>
      <c r="K4" s="2146"/>
      <c r="L4" s="2146"/>
    </row>
    <row r="5" spans="2:12" ht="29.85" customHeight="1" x14ac:dyDescent="0.2"/>
    <row r="6" spans="2:12" ht="13.5" customHeight="1" x14ac:dyDescent="0.2">
      <c r="B6" s="2147" t="s">
        <v>2201</v>
      </c>
      <c r="C6" s="2147"/>
      <c r="D6" s="2148"/>
      <c r="E6" s="2149"/>
      <c r="F6" s="2149"/>
      <c r="G6" s="2150"/>
      <c r="H6" s="2150"/>
      <c r="I6" s="2150"/>
    </row>
    <row r="7" spans="2:12" ht="13.5" customHeight="1" x14ac:dyDescent="0.2">
      <c r="B7" s="2143" t="s">
        <v>1169</v>
      </c>
    </row>
    <row r="8" spans="2:12" ht="13.5" customHeight="1" x14ac:dyDescent="0.2">
      <c r="B8" s="2151" t="s">
        <v>2202</v>
      </c>
      <c r="C8" s="2152" t="s">
        <v>1988</v>
      </c>
      <c r="D8" s="2153">
        <v>1</v>
      </c>
    </row>
    <row r="9" spans="2:12" ht="13.5" customHeight="1" x14ac:dyDescent="0.2">
      <c r="B9" s="2154"/>
      <c r="C9" s="2154"/>
      <c r="D9" s="2154"/>
    </row>
    <row r="10" spans="2:12" ht="13.5" customHeight="1" x14ac:dyDescent="0.2">
      <c r="B10" s="2151" t="s">
        <v>2203</v>
      </c>
      <c r="C10" s="2151"/>
    </row>
    <row r="11" spans="2:12" ht="66.75" customHeight="1" x14ac:dyDescent="0.2">
      <c r="B11" s="2727" t="s">
        <v>2236</v>
      </c>
      <c r="C11" s="2727"/>
      <c r="D11" s="2727"/>
      <c r="E11" s="2727"/>
    </row>
    <row r="12" spans="2:12" ht="13.5" customHeight="1" x14ac:dyDescent="0.2"/>
    <row r="13" spans="2:12" ht="13.5" customHeight="1" x14ac:dyDescent="0.2">
      <c r="B13" s="2151" t="s">
        <v>2204</v>
      </c>
      <c r="C13" s="2151"/>
    </row>
    <row r="14" spans="2:12" ht="76.5" customHeight="1" x14ac:dyDescent="0.2">
      <c r="B14" s="2727" t="s">
        <v>2205</v>
      </c>
      <c r="C14" s="2727"/>
      <c r="D14" s="2727"/>
      <c r="E14" s="2727"/>
    </row>
    <row r="15" spans="2:12" ht="13.5" customHeight="1" x14ac:dyDescent="0.2"/>
    <row r="16" spans="2:12" ht="13.5" customHeight="1" x14ac:dyDescent="0.2">
      <c r="B16" s="2151" t="s">
        <v>2206</v>
      </c>
      <c r="C16" s="2151"/>
      <c r="E16" s="2155">
        <v>44012</v>
      </c>
    </row>
    <row r="17" spans="2:5" ht="13.5" customHeight="1" x14ac:dyDescent="0.2"/>
    <row r="18" spans="2:5" ht="13.5" customHeight="1" x14ac:dyDescent="0.2">
      <c r="B18" s="2151" t="s">
        <v>2207</v>
      </c>
      <c r="C18" s="2151"/>
      <c r="E18" s="2156" t="s">
        <v>2208</v>
      </c>
    </row>
    <row r="19" spans="2:5" ht="13.5" customHeight="1" x14ac:dyDescent="0.2"/>
    <row r="20" spans="2:5" ht="13.5" customHeight="1" x14ac:dyDescent="0.2">
      <c r="B20" s="2151" t="s">
        <v>2209</v>
      </c>
      <c r="C20" s="2151"/>
      <c r="E20" s="2156" t="s">
        <v>2210</v>
      </c>
    </row>
    <row r="21" spans="2:5" ht="13.5" customHeight="1" x14ac:dyDescent="0.2">
      <c r="E21" s="2156" t="s">
        <v>2211</v>
      </c>
    </row>
    <row r="22" spans="2:5" ht="13.5" customHeight="1" x14ac:dyDescent="0.2">
      <c r="E22" s="2156"/>
    </row>
    <row r="23" spans="2:5" ht="13.5" customHeight="1" x14ac:dyDescent="0.2"/>
    <row r="24" spans="2:5" ht="13.5" customHeight="1" x14ac:dyDescent="0.2"/>
    <row r="25" spans="2:5" ht="13.5" customHeight="1" x14ac:dyDescent="0.2">
      <c r="B25" s="2157"/>
      <c r="C25" s="2157"/>
      <c r="D25" s="2157"/>
    </row>
    <row r="26" spans="2:5" ht="13.5" customHeight="1" x14ac:dyDescent="0.2">
      <c r="B26" s="2157"/>
      <c r="C26" s="2157"/>
      <c r="D26" s="2157"/>
    </row>
    <row r="27" spans="2:5" ht="13.5" customHeight="1" x14ac:dyDescent="0.2">
      <c r="B27" s="2157"/>
      <c r="C27" s="2157"/>
      <c r="D27" s="215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58"/>
      <c r="C35" s="2158"/>
      <c r="D35" s="2158"/>
    </row>
    <row r="36" spans="2:5" ht="13.5" customHeight="1" x14ac:dyDescent="0.2"/>
    <row r="37" spans="2:5" ht="13.5" customHeight="1" x14ac:dyDescent="0.2">
      <c r="B37" s="2158"/>
      <c r="C37" s="2158"/>
      <c r="D37" s="2158"/>
    </row>
    <row r="38" spans="2:5" ht="13.5" customHeight="1" x14ac:dyDescent="0.2">
      <c r="B38" s="2158"/>
      <c r="C38" s="2158"/>
      <c r="D38" s="2158"/>
    </row>
    <row r="39" spans="2:5" ht="13.5" customHeight="1" x14ac:dyDescent="0.2">
      <c r="B39" s="2158"/>
      <c r="C39" s="2158"/>
      <c r="D39" s="2158"/>
    </row>
    <row r="40" spans="2:5" ht="13.5" customHeight="1" x14ac:dyDescent="0.2">
      <c r="B40" s="2158"/>
      <c r="C40" s="2158"/>
      <c r="D40" s="2158"/>
    </row>
    <row r="41" spans="2:5" ht="13.5" customHeight="1" x14ac:dyDescent="0.2">
      <c r="B41" s="2159"/>
      <c r="C41" s="2159"/>
      <c r="D41" s="2159"/>
      <c r="E41" s="2159"/>
    </row>
    <row r="42" spans="2:5" ht="12.2" customHeight="1" x14ac:dyDescent="0.2">
      <c r="B42" s="2160" t="s">
        <v>2212</v>
      </c>
      <c r="C42" s="2160"/>
      <c r="D42" s="2160"/>
    </row>
    <row r="43" spans="2:5" ht="12.2" customHeight="1" x14ac:dyDescent="0.2">
      <c r="B43" s="2161"/>
      <c r="C43" s="2161"/>
      <c r="D43" s="2161"/>
    </row>
    <row r="44" spans="2:5" ht="12.75" customHeight="1" x14ac:dyDescent="0.2">
      <c r="B44" s="2151"/>
      <c r="C44" s="2151"/>
      <c r="D44" s="2151"/>
    </row>
    <row r="45" spans="2:5" ht="12.75" customHeight="1" x14ac:dyDescent="0.2">
      <c r="B45" s="2151"/>
      <c r="C45" s="2151"/>
      <c r="D45" s="2151"/>
    </row>
    <row r="46" spans="2:5" x14ac:dyDescent="0.2">
      <c r="B46" s="2151"/>
      <c r="C46" s="2151"/>
      <c r="D46" s="2151"/>
    </row>
    <row r="47" spans="2:5" x14ac:dyDescent="0.2">
      <c r="B47" s="2151"/>
      <c r="C47" s="2151"/>
      <c r="D47" s="2151"/>
    </row>
    <row r="51" spans="2:4" x14ac:dyDescent="0.2">
      <c r="B51" s="2162"/>
      <c r="C51" s="2162"/>
      <c r="D51" s="216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63"/>
      <c r="C64" s="2163"/>
      <c r="D64" s="2163"/>
    </row>
    <row r="65" spans="2:4" x14ac:dyDescent="0.2">
      <c r="B65" s="2151"/>
      <c r="C65" s="2151"/>
      <c r="D65" s="2151"/>
    </row>
    <row r="66" spans="2:4" x14ac:dyDescent="0.2">
      <c r="B66" s="2151"/>
      <c r="C66" s="2151"/>
      <c r="D66" s="2151"/>
    </row>
    <row r="67" spans="2:4" x14ac:dyDescent="0.2">
      <c r="B67" s="2163"/>
      <c r="C67" s="2163"/>
      <c r="D67" s="2163"/>
    </row>
    <row r="68" spans="2:4" x14ac:dyDescent="0.2">
      <c r="B68" s="2163"/>
      <c r="C68" s="2163"/>
      <c r="D68" s="2163"/>
    </row>
    <row r="69" spans="2:4" x14ac:dyDescent="0.2">
      <c r="B69" s="2163"/>
      <c r="C69" s="2163"/>
      <c r="D69" s="2163"/>
    </row>
    <row r="70" spans="2:4" x14ac:dyDescent="0.2">
      <c r="B70" s="2151"/>
      <c r="C70" s="2151"/>
      <c r="D70" s="2151"/>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F20B-4B5A-4D06-A9B6-11BA0CF2E9DC}">
  <dimension ref="B1:L70"/>
  <sheetViews>
    <sheetView showGridLines="0" zoomScale="110" zoomScaleNormal="110" zoomScaleSheetLayoutView="100" workbookViewId="0"/>
  </sheetViews>
  <sheetFormatPr defaultColWidth="9.140625" defaultRowHeight="12.75" x14ac:dyDescent="0.2"/>
  <cols>
    <col min="1" max="1" width="1.5703125" style="2143" customWidth="1"/>
    <col min="2" max="2" width="11.28515625" style="2143" customWidth="1"/>
    <col min="3" max="3" width="6.42578125" style="2143" customWidth="1"/>
    <col min="4" max="4" width="5.42578125" style="2143" customWidth="1"/>
    <col min="5" max="5" width="74.7109375" style="2143" customWidth="1"/>
    <col min="6" max="6" width="1.5703125" style="2143" customWidth="1"/>
    <col min="7" max="8" width="2.42578125" style="2143" customWidth="1"/>
    <col min="9" max="9" width="9.28515625" style="2143" customWidth="1"/>
    <col min="10" max="10" width="14.42578125" style="2143" customWidth="1"/>
    <col min="11" max="11" width="7.28515625" style="2143" customWidth="1"/>
    <col min="12" max="12" width="3.140625" style="2143" customWidth="1"/>
    <col min="13" max="16384" width="9.140625" style="2143"/>
  </cols>
  <sheetData>
    <row r="1" spans="2:12" ht="13.5" customHeight="1" x14ac:dyDescent="0.2">
      <c r="B1" s="2728" t="s">
        <v>2073</v>
      </c>
      <c r="C1" s="2728"/>
      <c r="D1" s="2728"/>
      <c r="E1" s="2728"/>
      <c r="F1" s="2142"/>
      <c r="G1" s="2142"/>
      <c r="H1" s="2142"/>
      <c r="I1" s="2142"/>
      <c r="J1" s="2142"/>
      <c r="K1" s="2142"/>
      <c r="L1" s="2142"/>
    </row>
    <row r="2" spans="2:12" ht="13.5" customHeight="1" x14ac:dyDescent="0.2">
      <c r="B2" s="2729" t="s">
        <v>2071</v>
      </c>
      <c r="C2" s="2729"/>
      <c r="D2" s="2729"/>
      <c r="E2" s="2729"/>
      <c r="F2" s="2144"/>
      <c r="G2" s="2144"/>
      <c r="H2" s="2144"/>
      <c r="I2" s="2144"/>
      <c r="J2" s="2144"/>
      <c r="K2" s="2144"/>
      <c r="L2" s="2144"/>
    </row>
    <row r="3" spans="2:12" ht="13.5" customHeight="1" x14ac:dyDescent="0.2">
      <c r="B3" s="2730" t="s">
        <v>2200</v>
      </c>
      <c r="C3" s="2730"/>
      <c r="D3" s="2730"/>
      <c r="E3" s="2730"/>
      <c r="F3" s="2145"/>
      <c r="G3" s="2145"/>
      <c r="H3" s="2145"/>
      <c r="I3" s="2145"/>
      <c r="J3" s="2145"/>
      <c r="K3" s="2145"/>
      <c r="L3" s="2145"/>
    </row>
    <row r="4" spans="2:12" ht="13.5" customHeight="1" x14ac:dyDescent="0.2">
      <c r="B4" s="2731" t="s">
        <v>1986</v>
      </c>
      <c r="C4" s="2731"/>
      <c r="D4" s="2731"/>
      <c r="E4" s="2731"/>
      <c r="F4" s="2146"/>
      <c r="G4" s="2146"/>
      <c r="H4" s="2146"/>
      <c r="I4" s="2146"/>
      <c r="J4" s="2146"/>
      <c r="K4" s="2146"/>
      <c r="L4" s="2146"/>
    </row>
    <row r="5" spans="2:12" ht="29.85" customHeight="1" x14ac:dyDescent="0.2"/>
    <row r="6" spans="2:12" ht="13.5" customHeight="1" x14ac:dyDescent="0.2">
      <c r="B6" s="2147" t="s">
        <v>2201</v>
      </c>
      <c r="C6" s="2147"/>
      <c r="D6" s="2148"/>
      <c r="E6" s="2149"/>
      <c r="F6" s="2149"/>
      <c r="G6" s="2150"/>
      <c r="H6" s="2150"/>
      <c r="I6" s="2150"/>
    </row>
    <row r="7" spans="2:12" ht="13.5" customHeight="1" x14ac:dyDescent="0.2">
      <c r="B7" s="2143" t="s">
        <v>1169</v>
      </c>
    </row>
    <row r="8" spans="2:12" ht="13.5" customHeight="1" x14ac:dyDescent="0.2">
      <c r="B8" s="2151" t="s">
        <v>2202</v>
      </c>
      <c r="C8" s="2152" t="s">
        <v>1988</v>
      </c>
      <c r="D8" s="2153">
        <v>2</v>
      </c>
    </row>
    <row r="9" spans="2:12" ht="13.5" customHeight="1" x14ac:dyDescent="0.2">
      <c r="B9" s="2154"/>
      <c r="C9" s="2154"/>
      <c r="D9" s="2154"/>
    </row>
    <row r="10" spans="2:12" ht="13.5" customHeight="1" x14ac:dyDescent="0.2">
      <c r="B10" s="2151" t="s">
        <v>2203</v>
      </c>
      <c r="C10" s="2151"/>
    </row>
    <row r="11" spans="2:12" ht="66.75" customHeight="1" x14ac:dyDescent="0.2">
      <c r="B11" s="2727" t="s">
        <v>2244</v>
      </c>
      <c r="C11" s="2727"/>
      <c r="D11" s="2727"/>
      <c r="E11" s="2727"/>
    </row>
    <row r="12" spans="2:12" ht="13.5" customHeight="1" x14ac:dyDescent="0.2"/>
    <row r="13" spans="2:12" ht="13.5" customHeight="1" x14ac:dyDescent="0.2">
      <c r="B13" s="2151" t="s">
        <v>2204</v>
      </c>
      <c r="C13" s="2151"/>
    </row>
    <row r="14" spans="2:12" ht="76.5" customHeight="1" x14ac:dyDescent="0.2">
      <c r="B14" s="2727" t="s">
        <v>2245</v>
      </c>
      <c r="C14" s="2727"/>
      <c r="D14" s="2727"/>
      <c r="E14" s="2727"/>
    </row>
    <row r="15" spans="2:12" ht="13.5" customHeight="1" x14ac:dyDescent="0.2"/>
    <row r="16" spans="2:12" ht="13.5" customHeight="1" x14ac:dyDescent="0.2">
      <c r="B16" s="2151" t="s">
        <v>2206</v>
      </c>
      <c r="C16" s="2151"/>
      <c r="E16" s="2155">
        <v>44012</v>
      </c>
    </row>
    <row r="17" spans="2:5" ht="13.5" customHeight="1" x14ac:dyDescent="0.2"/>
    <row r="18" spans="2:5" ht="13.5" customHeight="1" x14ac:dyDescent="0.2">
      <c r="B18" s="2151" t="s">
        <v>2207</v>
      </c>
      <c r="C18" s="2151"/>
      <c r="E18" s="2156" t="s">
        <v>2208</v>
      </c>
    </row>
    <row r="19" spans="2:5" ht="13.5" customHeight="1" x14ac:dyDescent="0.2"/>
    <row r="20" spans="2:5" ht="13.5" customHeight="1" x14ac:dyDescent="0.2">
      <c r="B20" s="2151" t="s">
        <v>2209</v>
      </c>
      <c r="C20" s="2151"/>
      <c r="E20" s="2156" t="s">
        <v>2246</v>
      </c>
    </row>
    <row r="21" spans="2:5" ht="13.5" customHeight="1" x14ac:dyDescent="0.2">
      <c r="E21" s="2156"/>
    </row>
    <row r="22" spans="2:5" ht="13.5" customHeight="1" x14ac:dyDescent="0.2">
      <c r="E22" s="2156"/>
    </row>
    <row r="23" spans="2:5" ht="13.5" customHeight="1" x14ac:dyDescent="0.2"/>
    <row r="24" spans="2:5" ht="13.5" customHeight="1" x14ac:dyDescent="0.2"/>
    <row r="25" spans="2:5" ht="13.5" customHeight="1" x14ac:dyDescent="0.2">
      <c r="B25" s="2157"/>
      <c r="C25" s="2157"/>
      <c r="D25" s="2157"/>
    </row>
    <row r="26" spans="2:5" ht="13.5" customHeight="1" x14ac:dyDescent="0.2">
      <c r="B26" s="2157"/>
      <c r="C26" s="2157"/>
      <c r="D26" s="2157"/>
    </row>
    <row r="27" spans="2:5" ht="13.5" customHeight="1" x14ac:dyDescent="0.2">
      <c r="B27" s="2157"/>
      <c r="C27" s="2157"/>
      <c r="D27" s="215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58"/>
      <c r="C35" s="2158"/>
      <c r="D35" s="2158"/>
    </row>
    <row r="36" spans="2:5" ht="13.5" customHeight="1" x14ac:dyDescent="0.2"/>
    <row r="37" spans="2:5" ht="13.5" customHeight="1" x14ac:dyDescent="0.2">
      <c r="B37" s="2158"/>
      <c r="C37" s="2158"/>
      <c r="D37" s="2158"/>
    </row>
    <row r="38" spans="2:5" ht="13.5" customHeight="1" x14ac:dyDescent="0.2">
      <c r="B38" s="2158"/>
      <c r="C38" s="2158"/>
      <c r="D38" s="2158"/>
    </row>
    <row r="39" spans="2:5" ht="13.5" customHeight="1" x14ac:dyDescent="0.2">
      <c r="B39" s="2158"/>
      <c r="C39" s="2158"/>
      <c r="D39" s="2158"/>
    </row>
    <row r="40" spans="2:5" ht="13.5" customHeight="1" x14ac:dyDescent="0.2">
      <c r="B40" s="2158"/>
      <c r="C40" s="2158"/>
      <c r="D40" s="2158"/>
    </row>
    <row r="41" spans="2:5" ht="13.5" customHeight="1" x14ac:dyDescent="0.2">
      <c r="B41" s="2159"/>
      <c r="C41" s="2159"/>
      <c r="D41" s="2159"/>
      <c r="E41" s="2159"/>
    </row>
    <row r="42" spans="2:5" ht="12.2" customHeight="1" x14ac:dyDescent="0.2">
      <c r="B42" s="2160" t="s">
        <v>2212</v>
      </c>
      <c r="C42" s="2160"/>
      <c r="D42" s="2160"/>
    </row>
    <row r="43" spans="2:5" ht="12.2" customHeight="1" x14ac:dyDescent="0.2">
      <c r="B43" s="2161"/>
      <c r="C43" s="2161"/>
      <c r="D43" s="2161"/>
    </row>
    <row r="44" spans="2:5" ht="12.75" customHeight="1" x14ac:dyDescent="0.2">
      <c r="B44" s="2151"/>
      <c r="C44" s="2151"/>
      <c r="D44" s="2151"/>
    </row>
    <row r="45" spans="2:5" ht="12.75" customHeight="1" x14ac:dyDescent="0.2">
      <c r="B45" s="2151"/>
      <c r="C45" s="2151"/>
      <c r="D45" s="2151"/>
    </row>
    <row r="46" spans="2:5" x14ac:dyDescent="0.2">
      <c r="B46" s="2151"/>
      <c r="C46" s="2151"/>
      <c r="D46" s="2151"/>
    </row>
    <row r="47" spans="2:5" x14ac:dyDescent="0.2">
      <c r="B47" s="2151"/>
      <c r="C47" s="2151"/>
      <c r="D47" s="2151"/>
    </row>
    <row r="51" spans="2:4" x14ac:dyDescent="0.2">
      <c r="B51" s="2162"/>
      <c r="C51" s="2162"/>
      <c r="D51" s="216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63"/>
      <c r="C64" s="2163"/>
      <c r="D64" s="2163"/>
    </row>
    <row r="65" spans="2:4" x14ac:dyDescent="0.2">
      <c r="B65" s="2151"/>
      <c r="C65" s="2151"/>
      <c r="D65" s="2151"/>
    </row>
    <row r="66" spans="2:4" x14ac:dyDescent="0.2">
      <c r="B66" s="2151"/>
      <c r="C66" s="2151"/>
      <c r="D66" s="2151"/>
    </row>
    <row r="67" spans="2:4" x14ac:dyDescent="0.2">
      <c r="B67" s="2163"/>
      <c r="C67" s="2163"/>
      <c r="D67" s="2163"/>
    </row>
    <row r="68" spans="2:4" x14ac:dyDescent="0.2">
      <c r="B68" s="2163"/>
      <c r="C68" s="2163"/>
      <c r="D68" s="2163"/>
    </row>
    <row r="69" spans="2:4" x14ac:dyDescent="0.2">
      <c r="B69" s="2163"/>
      <c r="C69" s="2163"/>
      <c r="D69" s="2163"/>
    </row>
    <row r="70" spans="2:4" x14ac:dyDescent="0.2">
      <c r="B70" s="2151"/>
      <c r="C70" s="2151"/>
      <c r="D70" s="2151"/>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315" t="s">
        <v>386</v>
      </c>
      <c r="B1" s="2315"/>
      <c r="C1" s="2315"/>
      <c r="D1" s="2315"/>
      <c r="E1" s="2315"/>
      <c r="F1" s="2315"/>
      <c r="G1" s="2315"/>
      <c r="H1" s="2315"/>
      <c r="I1" s="2315"/>
      <c r="J1" s="2315"/>
      <c r="K1" s="2315"/>
      <c r="L1" s="2315"/>
      <c r="M1" s="231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8">
        <f>ROUND(D10+F10+H10,5)</f>
        <v>0</v>
      </c>
      <c r="K10" s="222"/>
      <c r="L10" s="355"/>
      <c r="M10" s="222"/>
    </row>
    <row r="11" spans="1:14" ht="7.5" customHeight="1" x14ac:dyDescent="0.2">
      <c r="B11" s="222"/>
      <c r="C11" s="222"/>
      <c r="D11" s="2325" t="str">
        <f>IF(SUM(J10)&lt;=0.0999999,"","Enter the Tax Rates by moving the decimal two places to the left.")</f>
        <v/>
      </c>
      <c r="E11" s="2326"/>
      <c r="F11" s="2326"/>
      <c r="G11" s="2326"/>
      <c r="H11" s="2326"/>
      <c r="I11" s="2326"/>
      <c r="J11" s="23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6148295</v>
      </c>
      <c r="E16" s="356"/>
      <c r="F16" s="1729">
        <f>SUM('Acct Summary 7-8'!C17,'Acct Summary 7-8'!D17,'Acct Summary 7-8'!F17)</f>
        <v>6070646</v>
      </c>
      <c r="G16" s="356"/>
      <c r="H16" s="1729">
        <f>SUM(D16-F16)</f>
        <v>77649</v>
      </c>
      <c r="I16" s="222"/>
      <c r="J16" s="1729">
        <f>SUM('Acct Summary 7-8'!C81,'Acct Summary 7-8'!D81,'Acct Summary 7-8'!F81,'Acct Summary 7-8'!I81)</f>
        <v>125539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316"/>
      <c r="C54" s="2317"/>
      <c r="D54" s="2317"/>
      <c r="E54" s="2317"/>
      <c r="F54" s="2317"/>
      <c r="G54" s="2317"/>
      <c r="H54" s="2317"/>
      <c r="I54" s="2317"/>
      <c r="J54" s="2317"/>
      <c r="K54" s="2317"/>
      <c r="L54" s="2318"/>
      <c r="M54" s="380"/>
    </row>
    <row r="55" spans="1:13" ht="12.75" customHeight="1" x14ac:dyDescent="0.2">
      <c r="B55" s="2319"/>
      <c r="C55" s="2320"/>
      <c r="D55" s="2320"/>
      <c r="E55" s="2320"/>
      <c r="F55" s="2320"/>
      <c r="G55" s="2320"/>
      <c r="H55" s="2320"/>
      <c r="I55" s="2320"/>
      <c r="J55" s="2320"/>
      <c r="K55" s="2320"/>
      <c r="L55" s="2321"/>
      <c r="M55" s="380"/>
    </row>
    <row r="56" spans="1:13" ht="12.75" customHeight="1" x14ac:dyDescent="0.2">
      <c r="B56" s="2319"/>
      <c r="C56" s="2320"/>
      <c r="D56" s="2320"/>
      <c r="E56" s="2320"/>
      <c r="F56" s="2320"/>
      <c r="G56" s="2320"/>
      <c r="H56" s="2320"/>
      <c r="I56" s="2320"/>
      <c r="J56" s="2320"/>
      <c r="K56" s="2320"/>
      <c r="L56" s="2321"/>
      <c r="M56" s="222"/>
    </row>
    <row r="57" spans="1:13" ht="12.75" customHeight="1" x14ac:dyDescent="0.2">
      <c r="B57" s="2319"/>
      <c r="C57" s="2320"/>
      <c r="D57" s="2320"/>
      <c r="E57" s="2320"/>
      <c r="F57" s="2320"/>
      <c r="G57" s="2320"/>
      <c r="H57" s="2320"/>
      <c r="I57" s="2320"/>
      <c r="J57" s="2320"/>
      <c r="K57" s="2320"/>
      <c r="L57" s="2321"/>
      <c r="M57" s="222"/>
    </row>
    <row r="58" spans="1:13" x14ac:dyDescent="0.2">
      <c r="B58" s="2322"/>
      <c r="C58" s="2323"/>
      <c r="D58" s="2323"/>
      <c r="E58" s="2323"/>
      <c r="F58" s="2323"/>
      <c r="G58" s="2323"/>
      <c r="H58" s="2323"/>
      <c r="I58" s="2323"/>
      <c r="J58" s="2323"/>
      <c r="K58" s="2323"/>
      <c r="L58" s="23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27"/>
      <c r="D61" s="23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30"/>
      <c r="B1" s="2331"/>
      <c r="C1" s="2331"/>
      <c r="D1" s="384"/>
      <c r="E1" s="384"/>
      <c r="F1" s="384"/>
      <c r="G1" s="384"/>
      <c r="H1" s="384"/>
      <c r="I1" s="384"/>
      <c r="J1" s="384"/>
      <c r="K1" s="384"/>
      <c r="L1" s="384"/>
      <c r="M1" s="384"/>
      <c r="N1" s="384"/>
      <c r="O1" s="2330"/>
      <c r="P1" s="2331"/>
      <c r="Q1" s="2331"/>
    </row>
    <row r="2" spans="1:18" ht="15" x14ac:dyDescent="0.2">
      <c r="A2" s="2334" t="s">
        <v>556</v>
      </c>
      <c r="B2" s="2334"/>
      <c r="C2" s="2334"/>
      <c r="D2" s="2334"/>
      <c r="E2" s="2334"/>
      <c r="F2" s="2334"/>
      <c r="G2" s="2334"/>
      <c r="H2" s="2334"/>
      <c r="I2" s="2334"/>
      <c r="J2" s="2334"/>
      <c r="K2" s="2334"/>
      <c r="L2" s="2334"/>
      <c r="M2" s="2334"/>
      <c r="N2" s="2334"/>
      <c r="O2" s="2334"/>
      <c r="P2" s="2334"/>
      <c r="Q2" s="2334"/>
      <c r="R2" s="2334"/>
    </row>
    <row r="3" spans="1:18" ht="12.75" x14ac:dyDescent="0.2">
      <c r="A3" s="2335" t="s">
        <v>1413</v>
      </c>
      <c r="B3" s="2335"/>
      <c r="C3" s="2335"/>
      <c r="D3" s="2335"/>
      <c r="E3" s="2335"/>
      <c r="F3" s="2335"/>
      <c r="G3" s="2335"/>
      <c r="H3" s="2335"/>
      <c r="I3" s="2335"/>
      <c r="J3" s="2335"/>
      <c r="K3" s="2335"/>
      <c r="L3" s="2335"/>
      <c r="M3" s="2335"/>
      <c r="N3" s="2335"/>
      <c r="O3" s="2335"/>
      <c r="P3" s="2335"/>
      <c r="Q3" s="2335"/>
      <c r="R3" s="2335"/>
    </row>
    <row r="4" spans="1:18" x14ac:dyDescent="0.2">
      <c r="A4" s="2336" t="s">
        <v>1554</v>
      </c>
      <c r="B4" s="2336"/>
      <c r="C4" s="2336"/>
      <c r="D4" s="2336"/>
      <c r="E4" s="2336"/>
      <c r="F4" s="2336"/>
      <c r="G4" s="2336"/>
      <c r="H4" s="2336"/>
      <c r="I4" s="2336"/>
      <c r="J4" s="2336"/>
      <c r="K4" s="2336"/>
      <c r="L4" s="2336"/>
      <c r="M4" s="2336"/>
      <c r="N4" s="2336"/>
      <c r="O4" s="2336"/>
      <c r="P4" s="2336"/>
      <c r="Q4" s="2336"/>
      <c r="R4" s="23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Bi County Special Educ Coop</v>
      </c>
      <c r="E7" s="391"/>
      <c r="G7" s="252"/>
      <c r="H7" s="387"/>
      <c r="I7" s="387"/>
      <c r="J7" s="387"/>
      <c r="K7" s="387"/>
      <c r="L7" s="329"/>
      <c r="M7" s="329"/>
      <c r="N7" s="329"/>
      <c r="O7" s="329"/>
      <c r="P7" s="329"/>
    </row>
    <row r="8" spans="1:18" ht="12.75" x14ac:dyDescent="0.2">
      <c r="A8" s="329"/>
      <c r="B8" s="329"/>
      <c r="C8" s="389" t="s">
        <v>1125</v>
      </c>
      <c r="D8" s="392">
        <f>COVER!A13</f>
        <v>47098000061</v>
      </c>
      <c r="E8" s="393"/>
      <c r="G8" s="329"/>
      <c r="H8" s="329"/>
      <c r="I8" s="329"/>
      <c r="J8" s="329"/>
      <c r="K8" s="329"/>
      <c r="L8" s="329"/>
      <c r="M8" s="329"/>
      <c r="N8" s="329"/>
      <c r="O8" s="329"/>
      <c r="P8" s="329"/>
    </row>
    <row r="9" spans="1:18" ht="12.75" x14ac:dyDescent="0.2">
      <c r="A9" s="329"/>
      <c r="B9" s="329"/>
      <c r="C9" s="389" t="s">
        <v>713</v>
      </c>
      <c r="D9" s="394" t="str">
        <f>COVER!A15</f>
        <v>Whiteside/Carroll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125539</v>
      </c>
      <c r="I12" s="404"/>
      <c r="J12" s="404"/>
      <c r="K12" s="405">
        <f>TRUNC((H12/H13*100000),5)/100000</f>
        <v>2.0418506199999999E-2</v>
      </c>
      <c r="L12" s="406"/>
      <c r="M12" s="360" t="s">
        <v>1144</v>
      </c>
      <c r="N12" s="360"/>
      <c r="O12" s="407">
        <v>0.35</v>
      </c>
      <c r="P12" s="218"/>
      <c r="Q12" s="218"/>
    </row>
    <row r="13" spans="1:18" s="408" customFormat="1" ht="12.75" x14ac:dyDescent="0.2">
      <c r="A13" s="218"/>
      <c r="B13" s="401"/>
      <c r="C13" s="2332" t="s">
        <v>1324</v>
      </c>
      <c r="D13" s="2333"/>
      <c r="E13" s="218"/>
      <c r="F13" s="409" t="s">
        <v>793</v>
      </c>
      <c r="G13" s="402"/>
      <c r="H13" s="403">
        <f>SUM('Acct Summary 7-8'!C8+'Acct Summary 7-8'!D8+'Acct Summary 7-8'!F8+'Acct Summary 7-8'!I8)+H14</f>
        <v>6148295</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6070646</v>
      </c>
      <c r="I17" s="404"/>
      <c r="J17" s="416"/>
      <c r="K17" s="405">
        <f>TRUNC((H17/H18*100000),5)/100000</f>
        <v>0.98737064499999994</v>
      </c>
      <c r="L17" s="406"/>
      <c r="M17" s="417" t="s">
        <v>1171</v>
      </c>
      <c r="O17" s="418" t="str">
        <f>IF(AND(O16="2", J20 &gt; 2),"1",IF(AND(O16 = "1", J20 &gt; 2),"2",IF(AND(O16="1", J20 &gt;1),"1","0")))</f>
        <v>0</v>
      </c>
      <c r="P17" s="218"/>
    </row>
    <row r="18" spans="1:18" s="408" customFormat="1" ht="11.25" x14ac:dyDescent="0.2">
      <c r="A18" s="218"/>
      <c r="B18" s="401"/>
      <c r="C18" s="2332" t="s">
        <v>1317</v>
      </c>
      <c r="D18" s="2333"/>
      <c r="E18" s="218"/>
      <c r="F18" s="419" t="s">
        <v>794</v>
      </c>
      <c r="G18" s="402"/>
      <c r="H18" s="403">
        <f>SUM('Acct Summary 7-8'!C8+'Acct Summary 7-8'!D8+'Acct Summary 7-8'!F8+'Acct Summary 7-8'!I8)+H19</f>
        <v>6148295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329" t="s">
        <v>1412</v>
      </c>
      <c r="D24" s="2329"/>
      <c r="E24" s="218"/>
      <c r="F24" s="218" t="s">
        <v>445</v>
      </c>
      <c r="G24" s="402"/>
      <c r="H24" s="403">
        <f>SUM('Assets-Liab 5-6'!C4+'Assets-Liab 5-6'!D4+'Assets-Liab 5-6'!F4+'Assets-Liab 5-6'!I4+'Assets-Liab 5-6'!C5+'Assets-Liab 5-6'!D5+'Assets-Liab 5-6'!F5+'Assets-Liab 5-6'!I5)</f>
        <v>135743</v>
      </c>
      <c r="I24" s="422"/>
      <c r="J24" s="422"/>
      <c r="K24" s="423">
        <f>TRUNC(((H24/H25*100000)/100000),2)</f>
        <v>8.0399999999999991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16862.905559999999</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16" sqref="F1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33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33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339" t="s">
        <v>973</v>
      </c>
      <c r="B3" s="2340"/>
      <c r="C3" s="1555"/>
      <c r="D3" s="1556"/>
      <c r="E3" s="1556"/>
      <c r="F3" s="1556"/>
      <c r="G3" s="1556"/>
      <c r="H3" s="1556"/>
      <c r="I3" s="1556"/>
      <c r="J3" s="1556"/>
      <c r="K3" s="1556"/>
      <c r="L3" s="1556"/>
      <c r="M3" s="1557"/>
      <c r="N3" s="1558"/>
    </row>
    <row r="4" spans="1:14" ht="13.5" customHeight="1" x14ac:dyDescent="0.2">
      <c r="A4" s="463" t="s">
        <v>1651</v>
      </c>
      <c r="B4" s="464"/>
      <c r="C4" s="465">
        <v>135743</v>
      </c>
      <c r="D4" s="465">
        <v>0</v>
      </c>
      <c r="E4" s="465">
        <v>0</v>
      </c>
      <c r="F4" s="465">
        <v>0</v>
      </c>
      <c r="G4" s="465">
        <v>0</v>
      </c>
      <c r="H4" s="465">
        <v>0</v>
      </c>
      <c r="I4" s="465">
        <v>0</v>
      </c>
      <c r="J4" s="465">
        <v>0</v>
      </c>
      <c r="K4" s="465">
        <v>0</v>
      </c>
      <c r="L4" s="465">
        <v>4722</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135743</v>
      </c>
      <c r="D13" s="1733">
        <f t="shared" ref="D13:L13" si="0">SUM(D4:D12)</f>
        <v>0</v>
      </c>
      <c r="E13" s="1733">
        <f t="shared" si="0"/>
        <v>0</v>
      </c>
      <c r="F13" s="1733">
        <f t="shared" si="0"/>
        <v>0</v>
      </c>
      <c r="G13" s="1733">
        <f t="shared" si="0"/>
        <v>0</v>
      </c>
      <c r="H13" s="1733">
        <f t="shared" si="0"/>
        <v>0</v>
      </c>
      <c r="I13" s="1733">
        <f t="shared" si="0"/>
        <v>0</v>
      </c>
      <c r="J13" s="1733">
        <f t="shared" si="0"/>
        <v>0</v>
      </c>
      <c r="K13" s="1733">
        <f t="shared" si="0"/>
        <v>0</v>
      </c>
      <c r="L13" s="1733">
        <f t="shared" si="0"/>
        <v>4722</v>
      </c>
      <c r="M13" s="468"/>
      <c r="N13" s="469"/>
    </row>
    <row r="14" spans="1:14" ht="18" customHeight="1" thickTop="1" x14ac:dyDescent="0.2">
      <c r="A14" s="2341" t="s">
        <v>147</v>
      </c>
      <c r="B14" s="2342"/>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7">
        <v>0</v>
      </c>
      <c r="N17" s="482"/>
    </row>
    <row r="18" spans="1:14" s="483" customFormat="1" ht="12.75" customHeight="1" x14ac:dyDescent="0.2">
      <c r="A18" s="480" t="s">
        <v>1404</v>
      </c>
      <c r="B18" s="481">
        <v>240</v>
      </c>
      <c r="C18" s="475"/>
      <c r="D18" s="475"/>
      <c r="E18" s="475"/>
      <c r="F18" s="475"/>
      <c r="G18" s="475"/>
      <c r="H18" s="475"/>
      <c r="I18" s="475"/>
      <c r="J18" s="475"/>
      <c r="K18" s="475"/>
      <c r="L18" s="475"/>
      <c r="M18" s="467">
        <v>0</v>
      </c>
      <c r="N18" s="482"/>
    </row>
    <row r="19" spans="1:14" s="483" customFormat="1" ht="12.75" customHeight="1" x14ac:dyDescent="0.2">
      <c r="A19" s="480" t="s">
        <v>1405</v>
      </c>
      <c r="B19" s="481">
        <v>250</v>
      </c>
      <c r="C19" s="475"/>
      <c r="D19" s="475"/>
      <c r="E19" s="475"/>
      <c r="F19" s="475"/>
      <c r="G19" s="475"/>
      <c r="H19" s="475"/>
      <c r="I19" s="475"/>
      <c r="J19" s="475"/>
      <c r="K19" s="475"/>
      <c r="L19" s="475"/>
      <c r="M19" s="467">
        <v>1063774</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2" t="s">
        <v>643</v>
      </c>
      <c r="B23" s="1737"/>
      <c r="C23" s="468"/>
      <c r="D23" s="468"/>
      <c r="E23" s="468"/>
      <c r="F23" s="468"/>
      <c r="G23" s="468"/>
      <c r="H23" s="468"/>
      <c r="I23" s="468"/>
      <c r="J23" s="468"/>
      <c r="K23" s="468"/>
      <c r="L23" s="468"/>
      <c r="M23" s="1684">
        <f>SUM(M15:M22)</f>
        <v>1063774</v>
      </c>
      <c r="N23" s="1684">
        <f>SUM(N21:N22)</f>
        <v>0</v>
      </c>
    </row>
    <row r="24" spans="1:14" ht="18" customHeight="1" thickTop="1" x14ac:dyDescent="0.2">
      <c r="A24" s="2343" t="s">
        <v>598</v>
      </c>
      <c r="B24" s="2344"/>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10204</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34" t="s">
        <v>654</v>
      </c>
      <c r="B34" s="1735"/>
      <c r="C34" s="1736">
        <f>SUM(C25:C33)</f>
        <v>10204</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0</v>
      </c>
      <c r="M34" s="468"/>
      <c r="N34" s="478"/>
    </row>
    <row r="35" spans="1:14" ht="18" customHeight="1" thickTop="1" x14ac:dyDescent="0.2">
      <c r="A35" s="2345" t="s">
        <v>529</v>
      </c>
      <c r="B35" s="2346"/>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2" t="s">
        <v>653</v>
      </c>
      <c r="B37" s="1737"/>
      <c r="C37" s="475"/>
      <c r="D37" s="475"/>
      <c r="E37" s="475"/>
      <c r="F37" s="475"/>
      <c r="G37" s="475"/>
      <c r="H37" s="475"/>
      <c r="I37" s="475"/>
      <c r="J37" s="475"/>
      <c r="K37" s="475"/>
      <c r="L37" s="478"/>
      <c r="M37" s="468"/>
      <c r="N37" s="1684">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4722</v>
      </c>
      <c r="M38" s="494"/>
      <c r="N38" s="494"/>
    </row>
    <row r="39" spans="1:14" s="329" customFormat="1" ht="13.5" customHeight="1" x14ac:dyDescent="0.2">
      <c r="A39" s="493" t="s">
        <v>342</v>
      </c>
      <c r="B39" s="481">
        <v>730</v>
      </c>
      <c r="C39" s="465">
        <v>125539</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1063774</v>
      </c>
      <c r="N40" s="494"/>
    </row>
    <row r="41" spans="1:14" ht="13.5" customHeight="1" thickBot="1" x14ac:dyDescent="0.25">
      <c r="A41" s="1732" t="s">
        <v>655</v>
      </c>
      <c r="B41" s="1702"/>
      <c r="C41" s="1684">
        <f>(SUM(C34,C37,C38,C39))</f>
        <v>135743</v>
      </c>
      <c r="D41" s="1684">
        <f t="shared" ref="D41:L41" si="2">SUM(D34,D37,D38:D39)</f>
        <v>0</v>
      </c>
      <c r="E41" s="1684">
        <f t="shared" si="2"/>
        <v>0</v>
      </c>
      <c r="F41" s="1684">
        <f t="shared" si="2"/>
        <v>0</v>
      </c>
      <c r="G41" s="1684">
        <f t="shared" si="2"/>
        <v>0</v>
      </c>
      <c r="H41" s="1684">
        <f t="shared" si="2"/>
        <v>0</v>
      </c>
      <c r="I41" s="1684">
        <f t="shared" si="2"/>
        <v>0</v>
      </c>
      <c r="J41" s="1684">
        <f t="shared" si="2"/>
        <v>0</v>
      </c>
      <c r="K41" s="1684">
        <f t="shared" si="2"/>
        <v>0</v>
      </c>
      <c r="L41" s="1684">
        <f t="shared" si="2"/>
        <v>4722</v>
      </c>
      <c r="M41" s="1684">
        <f>SUM(M40)</f>
        <v>1063774</v>
      </c>
      <c r="N41" s="1684">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16" sqref="F1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355"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356"/>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67" t="s">
        <v>1175</v>
      </c>
      <c r="B3" s="2368"/>
      <c r="C3" s="1569"/>
      <c r="D3" s="1570"/>
      <c r="E3" s="1570"/>
      <c r="F3" s="1570"/>
      <c r="G3" s="1570"/>
      <c r="H3" s="1570"/>
      <c r="I3" s="1570"/>
      <c r="J3" s="1570"/>
      <c r="K3" s="1571"/>
      <c r="L3" s="503"/>
    </row>
    <row r="4" spans="1:13" ht="15.75" customHeight="1" x14ac:dyDescent="0.2">
      <c r="A4" s="1922" t="s">
        <v>1499</v>
      </c>
      <c r="B4" s="1923">
        <v>1000</v>
      </c>
      <c r="C4" s="1738">
        <f>'Revenues 9-14'!C109</f>
        <v>2664827</v>
      </c>
      <c r="D4" s="1738">
        <f>'Revenues 9-14'!D109</f>
        <v>0</v>
      </c>
      <c r="E4" s="1738">
        <f>'Revenues 9-14'!E109</f>
        <v>0</v>
      </c>
      <c r="F4" s="1738">
        <f>'Revenues 9-14'!F109</f>
        <v>0</v>
      </c>
      <c r="G4" s="1738">
        <f>'Revenues 9-14'!G109</f>
        <v>0</v>
      </c>
      <c r="H4" s="1738">
        <f>'Revenues 9-14'!H109</f>
        <v>0</v>
      </c>
      <c r="I4" s="1738">
        <f>'Revenues 9-14'!I109</f>
        <v>0</v>
      </c>
      <c r="J4" s="1738">
        <f>'Revenues 9-14'!J109</f>
        <v>0</v>
      </c>
      <c r="K4" s="1738">
        <f>'Revenues 9-14'!K109</f>
        <v>0</v>
      </c>
      <c r="L4" s="347"/>
    </row>
    <row r="5" spans="1:13" ht="15.75" customHeight="1" x14ac:dyDescent="0.2">
      <c r="A5" s="1572" t="s">
        <v>1500</v>
      </c>
      <c r="B5" s="1573">
        <v>2000</v>
      </c>
      <c r="C5" s="1739">
        <f>'Revenues 9-14'!C114</f>
        <v>80688</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567593</v>
      </c>
      <c r="D6" s="1739">
        <f>'Revenues 9-14'!D170</f>
        <v>0</v>
      </c>
      <c r="E6" s="1739">
        <f>'Revenues 9-14'!E170</f>
        <v>0</v>
      </c>
      <c r="F6" s="1739">
        <f>'Revenues 9-14'!F170</f>
        <v>0</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2835187</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6148295</v>
      </c>
      <c r="D8" s="1684">
        <f t="shared" ref="D8:K8" si="0">SUM(D4:D7)</f>
        <v>0</v>
      </c>
      <c r="E8" s="1684">
        <f t="shared" si="0"/>
        <v>0</v>
      </c>
      <c r="F8" s="1684">
        <f t="shared" si="0"/>
        <v>0</v>
      </c>
      <c r="G8" s="1684">
        <f t="shared" si="0"/>
        <v>0</v>
      </c>
      <c r="H8" s="1684">
        <f t="shared" si="0"/>
        <v>0</v>
      </c>
      <c r="I8" s="1684">
        <f t="shared" si="0"/>
        <v>0</v>
      </c>
      <c r="J8" s="1684">
        <f t="shared" si="0"/>
        <v>0</v>
      </c>
      <c r="K8" s="1684">
        <f t="shared" si="0"/>
        <v>0</v>
      </c>
      <c r="L8" s="347"/>
    </row>
    <row r="9" spans="1:13" ht="15.75" thickTop="1" x14ac:dyDescent="0.2">
      <c r="A9" s="511" t="s">
        <v>1653</v>
      </c>
      <c r="B9" s="512">
        <v>3998</v>
      </c>
      <c r="C9" s="465">
        <v>1832564</v>
      </c>
      <c r="D9" s="513"/>
      <c r="E9" s="479"/>
      <c r="F9" s="479"/>
      <c r="G9" s="514"/>
      <c r="H9" s="479"/>
      <c r="I9" s="506" t="s">
        <v>1169</v>
      </c>
      <c r="J9" s="476"/>
      <c r="K9" s="479"/>
      <c r="L9" s="347"/>
    </row>
    <row r="10" spans="1:13" s="516" customFormat="1" ht="13.5" thickBot="1" x14ac:dyDescent="0.25">
      <c r="A10" s="1732" t="s">
        <v>1173</v>
      </c>
      <c r="B10" s="1705"/>
      <c r="C10" s="1684">
        <f>SUM(C8:C9)</f>
        <v>7980859</v>
      </c>
      <c r="D10" s="1684">
        <f t="shared" ref="D10:K10" si="1">SUM(D8:D9)</f>
        <v>0</v>
      </c>
      <c r="E10" s="1684">
        <f t="shared" si="1"/>
        <v>0</v>
      </c>
      <c r="F10" s="1684">
        <f t="shared" si="1"/>
        <v>0</v>
      </c>
      <c r="G10" s="1684">
        <f t="shared" si="1"/>
        <v>0</v>
      </c>
      <c r="H10" s="1684">
        <f t="shared" si="1"/>
        <v>0</v>
      </c>
      <c r="I10" s="1684">
        <f t="shared" si="1"/>
        <v>0</v>
      </c>
      <c r="J10" s="1684">
        <f t="shared" si="1"/>
        <v>0</v>
      </c>
      <c r="K10" s="1684">
        <f t="shared" si="1"/>
        <v>0</v>
      </c>
      <c r="L10" s="515"/>
    </row>
    <row r="11" spans="1:13" s="516" customFormat="1" ht="16.7" customHeight="1" thickTop="1" x14ac:dyDescent="0.2">
      <c r="A11" s="2341" t="s">
        <v>1176</v>
      </c>
      <c r="B11" s="2342"/>
      <c r="C11" s="1566"/>
      <c r="D11" s="1567"/>
      <c r="E11" s="1567"/>
      <c r="F11" s="1567"/>
      <c r="G11" s="1567"/>
      <c r="H11" s="1567"/>
      <c r="I11" s="1567"/>
      <c r="J11" s="1567"/>
      <c r="K11" s="1568"/>
      <c r="L11" s="515"/>
    </row>
    <row r="12" spans="1:13" ht="15.75" customHeight="1" x14ac:dyDescent="0.2">
      <c r="A12" s="1572" t="s">
        <v>456</v>
      </c>
      <c r="B12" s="1574">
        <v>1000</v>
      </c>
      <c r="C12" s="1738">
        <f>'Expenditures 15-22'!K33</f>
        <v>2820973</v>
      </c>
      <c r="D12" s="517" t="s">
        <v>1169</v>
      </c>
      <c r="E12" s="468" t="s">
        <v>1169</v>
      </c>
      <c r="F12" s="468" t="s">
        <v>1169</v>
      </c>
      <c r="G12" s="1738">
        <f>'Expenditures 15-22'!K229</f>
        <v>0</v>
      </c>
      <c r="H12" s="518"/>
      <c r="I12" s="468" t="s">
        <v>1169</v>
      </c>
      <c r="J12" s="468" t="s">
        <v>1169</v>
      </c>
      <c r="K12" s="518" t="s">
        <v>1169</v>
      </c>
      <c r="L12" s="347"/>
    </row>
    <row r="13" spans="1:13" ht="15.75" customHeight="1" x14ac:dyDescent="0.2">
      <c r="A13" s="1572" t="s">
        <v>457</v>
      </c>
      <c r="B13" s="1574">
        <v>2000</v>
      </c>
      <c r="C13" s="1739">
        <f>'Expenditures 15-22'!K74</f>
        <v>2807515</v>
      </c>
      <c r="D13" s="1739">
        <f>'Expenditures 15-22'!K129</f>
        <v>0</v>
      </c>
      <c r="E13" s="469" t="s">
        <v>1169</v>
      </c>
      <c r="F13" s="1739">
        <f>'Expenditures 15-22'!K184</f>
        <v>0</v>
      </c>
      <c r="G13" s="1739">
        <f>'Expenditures 15-22'!K279</f>
        <v>0</v>
      </c>
      <c r="H13" s="1739">
        <f>'Expenditures 15-22'!K303</f>
        <v>0</v>
      </c>
      <c r="I13" s="468" t="s">
        <v>1169</v>
      </c>
      <c r="J13" s="1739">
        <f>'Expenditures 15-22'!K330</f>
        <v>0</v>
      </c>
      <c r="K13" s="1743">
        <f>'Expenditures 15-22'!K352</f>
        <v>0</v>
      </c>
      <c r="L13" s="347"/>
    </row>
    <row r="14" spans="1:13" ht="15.75" customHeight="1" x14ac:dyDescent="0.2">
      <c r="A14" s="1572" t="s">
        <v>449</v>
      </c>
      <c r="B14" s="1574">
        <v>3000</v>
      </c>
      <c r="C14" s="1739">
        <f>'Expenditures 15-22'!K75</f>
        <v>0</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442158</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0</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6070646</v>
      </c>
      <c r="D17" s="1684">
        <f t="shared" si="2"/>
        <v>0</v>
      </c>
      <c r="E17" s="1684">
        <f t="shared" si="2"/>
        <v>0</v>
      </c>
      <c r="F17" s="1684">
        <f t="shared" si="2"/>
        <v>0</v>
      </c>
      <c r="G17" s="1684">
        <f t="shared" si="2"/>
        <v>0</v>
      </c>
      <c r="H17" s="1684">
        <f t="shared" si="2"/>
        <v>0</v>
      </c>
      <c r="I17" s="468"/>
      <c r="J17" s="1684">
        <f>SUM(J12:J16)</f>
        <v>0</v>
      </c>
      <c r="K17" s="1684">
        <f>SUM(K12:K16)</f>
        <v>0</v>
      </c>
      <c r="L17" s="347"/>
    </row>
    <row r="18" spans="1:12" ht="15" customHeight="1" thickTop="1" x14ac:dyDescent="0.2">
      <c r="A18" s="1740" t="s">
        <v>1654</v>
      </c>
      <c r="B18" s="1741">
        <v>4180</v>
      </c>
      <c r="C18" s="1738">
        <f t="shared" ref="C18:H18" si="3">C9</f>
        <v>1832564</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7903210</v>
      </c>
      <c r="D19" s="1684">
        <f t="shared" si="4"/>
        <v>0</v>
      </c>
      <c r="E19" s="1684">
        <f t="shared" si="4"/>
        <v>0</v>
      </c>
      <c r="F19" s="1684">
        <f t="shared" si="4"/>
        <v>0</v>
      </c>
      <c r="G19" s="1684">
        <f t="shared" si="4"/>
        <v>0</v>
      </c>
      <c r="H19" s="1684">
        <f t="shared" si="4"/>
        <v>0</v>
      </c>
      <c r="I19" s="468"/>
      <c r="J19" s="1684">
        <f>SUM(J17:J18)</f>
        <v>0</v>
      </c>
      <c r="K19" s="1684">
        <f>SUM(K17:K18)</f>
        <v>0</v>
      </c>
      <c r="L19" s="347"/>
    </row>
    <row r="20" spans="1:12" ht="16.5" thickTop="1" thickBot="1" x14ac:dyDescent="0.25">
      <c r="A20" s="2357" t="s">
        <v>1655</v>
      </c>
      <c r="B20" s="2358"/>
      <c r="C20" s="1742">
        <f>C8-C17</f>
        <v>77649</v>
      </c>
      <c r="D20" s="1742">
        <f t="shared" ref="D20:K20" si="5">D8-D17</f>
        <v>0</v>
      </c>
      <c r="E20" s="1742">
        <f t="shared" si="5"/>
        <v>0</v>
      </c>
      <c r="F20" s="1742">
        <f t="shared" si="5"/>
        <v>0</v>
      </c>
      <c r="G20" s="1742">
        <f t="shared" si="5"/>
        <v>0</v>
      </c>
      <c r="H20" s="1742">
        <f t="shared" si="5"/>
        <v>0</v>
      </c>
      <c r="I20" s="1742">
        <f t="shared" si="5"/>
        <v>0</v>
      </c>
      <c r="J20" s="1742">
        <f t="shared" si="5"/>
        <v>0</v>
      </c>
      <c r="K20" s="1742">
        <f t="shared" si="5"/>
        <v>0</v>
      </c>
      <c r="L20" s="347"/>
    </row>
    <row r="21" spans="1:12" ht="16.7" customHeight="1" thickTop="1" x14ac:dyDescent="0.2">
      <c r="A21" s="2369" t="s">
        <v>595</v>
      </c>
      <c r="B21" s="2370"/>
      <c r="C21" s="1566"/>
      <c r="D21" s="1567"/>
      <c r="E21" s="1567"/>
      <c r="F21" s="1567"/>
      <c r="G21" s="1567"/>
      <c r="H21" s="1567"/>
      <c r="I21" s="1567"/>
      <c r="J21" s="1567"/>
      <c r="K21" s="1568"/>
      <c r="L21" s="521"/>
    </row>
    <row r="22" spans="1:12" ht="15.75" customHeight="1" collapsed="1" x14ac:dyDescent="0.2">
      <c r="A22" s="2365" t="s">
        <v>596</v>
      </c>
      <c r="B22" s="2366"/>
      <c r="C22" s="475"/>
      <c r="D22" s="475"/>
      <c r="E22" s="475"/>
      <c r="F22" s="475"/>
      <c r="G22" s="475"/>
      <c r="H22" s="475"/>
      <c r="I22" s="475"/>
      <c r="J22" s="475"/>
      <c r="K22" s="475"/>
      <c r="L22" s="347"/>
    </row>
    <row r="23" spans="1:12" s="483" customFormat="1" ht="15.75" customHeight="1" x14ac:dyDescent="0.2">
      <c r="A23" s="2361" t="s">
        <v>293</v>
      </c>
      <c r="B23" s="2362"/>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1791</v>
      </c>
      <c r="B30" s="524">
        <v>7160</v>
      </c>
      <c r="C30" s="475"/>
      <c r="D30" s="467">
        <v>0</v>
      </c>
      <c r="E30" s="475"/>
      <c r="F30" s="475"/>
      <c r="G30" s="475"/>
      <c r="H30" s="475"/>
      <c r="I30" s="475"/>
      <c r="J30" s="475"/>
      <c r="K30" s="475"/>
      <c r="L30" s="521"/>
    </row>
    <row r="31" spans="1:12" s="483" customFormat="1" ht="26.25" x14ac:dyDescent="0.2">
      <c r="A31" s="1485" t="s">
        <v>1795</v>
      </c>
      <c r="B31" s="524">
        <v>7170</v>
      </c>
      <c r="C31" s="475"/>
      <c r="D31" s="475"/>
      <c r="E31" s="473">
        <v>0</v>
      </c>
      <c r="F31" s="475"/>
      <c r="G31" s="475"/>
      <c r="H31" s="475"/>
      <c r="I31" s="475"/>
      <c r="J31" s="475"/>
      <c r="K31" s="475"/>
      <c r="L31" s="521"/>
    </row>
    <row r="32" spans="1:12" s="483" customFormat="1" ht="15.75" customHeight="1" x14ac:dyDescent="0.2">
      <c r="A32" s="2363" t="s">
        <v>981</v>
      </c>
      <c r="B32" s="2364"/>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71" t="s">
        <v>374</v>
      </c>
      <c r="B44" s="2372"/>
      <c r="C44" s="1699">
        <f>SUM(C24:C43)</f>
        <v>0</v>
      </c>
      <c r="D44" s="1699">
        <f t="shared" ref="D44:K44" si="6">SUM(D24:D43)</f>
        <v>0</v>
      </c>
      <c r="E44" s="1699">
        <f t="shared" si="6"/>
        <v>0</v>
      </c>
      <c r="F44" s="1699">
        <f t="shared" si="6"/>
        <v>0</v>
      </c>
      <c r="G44" s="1699">
        <f t="shared" si="6"/>
        <v>0</v>
      </c>
      <c r="H44" s="1699">
        <f t="shared" si="6"/>
        <v>0</v>
      </c>
      <c r="I44" s="1699">
        <f t="shared" si="6"/>
        <v>0</v>
      </c>
      <c r="J44" s="1699">
        <f t="shared" si="6"/>
        <v>0</v>
      </c>
      <c r="K44" s="1699">
        <f t="shared" si="6"/>
        <v>0</v>
      </c>
      <c r="L44" s="521"/>
    </row>
    <row r="45" spans="1:12" ht="15.75" customHeight="1" thickTop="1" x14ac:dyDescent="0.2">
      <c r="A45" s="2365" t="s">
        <v>108</v>
      </c>
      <c r="B45" s="2366"/>
      <c r="C45" s="525"/>
      <c r="D45" s="525"/>
      <c r="E45" s="525"/>
      <c r="F45" s="525"/>
      <c r="G45" s="525"/>
      <c r="H45" s="525"/>
      <c r="I45" s="525"/>
      <c r="J45" s="525"/>
      <c r="K45" s="525"/>
      <c r="L45" s="347"/>
    </row>
    <row r="46" spans="1:12" s="483" customFormat="1" ht="15.75" customHeight="1" x14ac:dyDescent="0.2">
      <c r="A46" s="2373" t="s">
        <v>109</v>
      </c>
      <c r="B46" s="2374"/>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1794</v>
      </c>
      <c r="B52" s="481">
        <v>8160</v>
      </c>
      <c r="C52" s="475"/>
      <c r="D52" s="475"/>
      <c r="E52" s="475"/>
      <c r="F52" s="475"/>
      <c r="G52" s="475"/>
      <c r="H52" s="475"/>
      <c r="I52" s="475"/>
      <c r="J52" s="475"/>
      <c r="K52" s="1739">
        <f>D30</f>
        <v>0</v>
      </c>
      <c r="L52" s="521"/>
    </row>
    <row r="53" spans="1:12" s="483" customFormat="1" ht="26.25" x14ac:dyDescent="0.2">
      <c r="A53" s="1486" t="s">
        <v>1793</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347" t="s">
        <v>440</v>
      </c>
      <c r="B76" s="2348"/>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349" t="s">
        <v>1177</v>
      </c>
      <c r="B77" s="2350"/>
      <c r="C77" s="1699">
        <f t="shared" ref="C77:K77" si="8">C44-C76</f>
        <v>0</v>
      </c>
      <c r="D77" s="1699">
        <f t="shared" si="8"/>
        <v>0</v>
      </c>
      <c r="E77" s="1699">
        <f t="shared" si="8"/>
        <v>0</v>
      </c>
      <c r="F77" s="1699">
        <f t="shared" si="8"/>
        <v>0</v>
      </c>
      <c r="G77" s="1699">
        <f t="shared" si="8"/>
        <v>0</v>
      </c>
      <c r="H77" s="1699">
        <f t="shared" si="8"/>
        <v>0</v>
      </c>
      <c r="I77" s="1699">
        <f t="shared" si="8"/>
        <v>0</v>
      </c>
      <c r="J77" s="1699">
        <f t="shared" si="8"/>
        <v>0</v>
      </c>
      <c r="K77" s="1699">
        <f t="shared" si="8"/>
        <v>0</v>
      </c>
      <c r="L77" s="347"/>
    </row>
    <row r="78" spans="1:12" ht="21.75" customHeight="1" thickTop="1" thickBot="1" x14ac:dyDescent="0.25">
      <c r="A78" s="2353" t="s">
        <v>597</v>
      </c>
      <c r="B78" s="2354"/>
      <c r="C78" s="1698">
        <f t="shared" ref="C78:K78" si="9">C20+C77</f>
        <v>77649</v>
      </c>
      <c r="D78" s="1698">
        <f t="shared" si="9"/>
        <v>0</v>
      </c>
      <c r="E78" s="1698">
        <f t="shared" si="9"/>
        <v>0</v>
      </c>
      <c r="F78" s="1698">
        <f t="shared" si="9"/>
        <v>0</v>
      </c>
      <c r="G78" s="1698">
        <f t="shared" si="9"/>
        <v>0</v>
      </c>
      <c r="H78" s="1698">
        <f t="shared" si="9"/>
        <v>0</v>
      </c>
      <c r="I78" s="1698">
        <f t="shared" si="9"/>
        <v>0</v>
      </c>
      <c r="J78" s="1698">
        <f t="shared" si="9"/>
        <v>0</v>
      </c>
      <c r="K78" s="1698">
        <f t="shared" si="9"/>
        <v>0</v>
      </c>
      <c r="L78" s="530"/>
    </row>
    <row r="79" spans="1:12" ht="13.5" thickTop="1" x14ac:dyDescent="0.2">
      <c r="A79" s="1490" t="s">
        <v>1946</v>
      </c>
      <c r="B79" s="531"/>
      <c r="C79" s="476">
        <v>47890</v>
      </c>
      <c r="D79" s="476">
        <v>0</v>
      </c>
      <c r="E79" s="476">
        <v>0</v>
      </c>
      <c r="F79" s="476">
        <v>0</v>
      </c>
      <c r="G79" s="476">
        <v>0</v>
      </c>
      <c r="H79" s="476">
        <v>0</v>
      </c>
      <c r="I79" s="476">
        <v>0</v>
      </c>
      <c r="J79" s="476">
        <v>0</v>
      </c>
      <c r="K79" s="476">
        <v>0</v>
      </c>
      <c r="L79" s="347"/>
    </row>
    <row r="80" spans="1:12" x14ac:dyDescent="0.2">
      <c r="A80" s="2359" t="s">
        <v>1792</v>
      </c>
      <c r="B80" s="2360"/>
      <c r="C80" s="467">
        <v>0</v>
      </c>
      <c r="D80" s="467">
        <v>0</v>
      </c>
      <c r="E80" s="467">
        <v>0</v>
      </c>
      <c r="F80" s="467">
        <v>0</v>
      </c>
      <c r="G80" s="467">
        <v>0</v>
      </c>
      <c r="H80" s="467">
        <v>0</v>
      </c>
      <c r="I80" s="467">
        <v>0</v>
      </c>
      <c r="J80" s="467">
        <v>0</v>
      </c>
      <c r="K80" s="467">
        <v>0</v>
      </c>
      <c r="L80" s="347"/>
    </row>
    <row r="81" spans="1:12" ht="13.5" thickBot="1" x14ac:dyDescent="0.25">
      <c r="A81" s="2351" t="s">
        <v>1947</v>
      </c>
      <c r="B81" s="2352"/>
      <c r="C81" s="1684">
        <f>(SUM(C78:C80))</f>
        <v>125539</v>
      </c>
      <c r="D81" s="1684">
        <f>SUM(D78:D80)</f>
        <v>0</v>
      </c>
      <c r="E81" s="1684">
        <f t="shared" ref="E81:K81" si="10">SUM(E78:E80)</f>
        <v>0</v>
      </c>
      <c r="F81" s="1684">
        <f t="shared" si="10"/>
        <v>0</v>
      </c>
      <c r="G81" s="1684">
        <f t="shared" si="10"/>
        <v>0</v>
      </c>
      <c r="H81" s="1684">
        <f t="shared" si="10"/>
        <v>0</v>
      </c>
      <c r="I81" s="1684">
        <f t="shared" si="10"/>
        <v>0</v>
      </c>
      <c r="J81" s="1684">
        <f t="shared" si="10"/>
        <v>0</v>
      </c>
      <c r="K81" s="1684">
        <f t="shared" si="10"/>
        <v>0</v>
      </c>
      <c r="L81" s="347"/>
    </row>
    <row r="82" spans="1:12" ht="0.75" customHeight="1" thickTop="1" thickBot="1" x14ac:dyDescent="0.25">
      <c r="A82" s="533" t="s">
        <v>343</v>
      </c>
      <c r="B82" s="534"/>
      <c r="C82" s="535">
        <f>(C81-C79)</f>
        <v>77649</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0.6185249205426202</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16" sqref="F16"/>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355" t="s">
        <v>1799</v>
      </c>
      <c r="B1" s="452"/>
      <c r="C1" s="453" t="s">
        <v>425</v>
      </c>
      <c r="D1" s="453" t="s">
        <v>426</v>
      </c>
      <c r="E1" s="453" t="s">
        <v>427</v>
      </c>
      <c r="F1" s="453" t="s">
        <v>428</v>
      </c>
      <c r="G1" s="453" t="s">
        <v>429</v>
      </c>
      <c r="H1" s="453" t="s">
        <v>430</v>
      </c>
      <c r="I1" s="453" t="s">
        <v>431</v>
      </c>
      <c r="J1" s="453" t="s">
        <v>432</v>
      </c>
      <c r="K1" s="453" t="s">
        <v>756</v>
      </c>
    </row>
    <row r="2" spans="1:12" ht="36" x14ac:dyDescent="0.2">
      <c r="A2" s="2356"/>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0</v>
      </c>
      <c r="D12" s="1703">
        <f t="shared" si="0"/>
        <v>0</v>
      </c>
      <c r="E12" s="1703">
        <f t="shared" si="0"/>
        <v>0</v>
      </c>
      <c r="F12" s="1703">
        <f t="shared" si="0"/>
        <v>0</v>
      </c>
      <c r="G12" s="1703">
        <f t="shared" si="0"/>
        <v>0</v>
      </c>
      <c r="H12" s="1703">
        <f t="shared" si="0"/>
        <v>0</v>
      </c>
      <c r="I12" s="1703">
        <f t="shared" si="0"/>
        <v>0</v>
      </c>
      <c r="J12" s="1703">
        <f t="shared" si="0"/>
        <v>0</v>
      </c>
      <c r="K12" s="1684">
        <f t="shared" si="0"/>
        <v>0</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0</v>
      </c>
      <c r="D18" s="1706">
        <f t="shared" ref="D18:K18" si="1">SUM(D14:D17)</f>
        <v>0</v>
      </c>
      <c r="E18" s="1706">
        <f t="shared" si="1"/>
        <v>0</v>
      </c>
      <c r="F18" s="1706">
        <f t="shared" si="1"/>
        <v>0</v>
      </c>
      <c r="G18" s="1706">
        <f t="shared" si="1"/>
        <v>0</v>
      </c>
      <c r="H18" s="1706">
        <f t="shared" si="1"/>
        <v>0</v>
      </c>
      <c r="I18" s="1706">
        <f t="shared" si="1"/>
        <v>0</v>
      </c>
      <c r="J18" s="1706">
        <f t="shared" si="1"/>
        <v>0</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94282</v>
      </c>
      <c r="D32" s="468"/>
      <c r="E32" s="468"/>
      <c r="F32" s="468"/>
      <c r="G32" s="468"/>
      <c r="H32" s="468"/>
      <c r="I32" s="468"/>
      <c r="J32" s="468"/>
      <c r="K32" s="468"/>
    </row>
    <row r="33" spans="1:11" ht="12.75" customHeight="1" x14ac:dyDescent="0.2">
      <c r="A33" s="463" t="s">
        <v>835</v>
      </c>
      <c r="B33" s="470">
        <v>1342</v>
      </c>
      <c r="C33" s="548">
        <v>2560902</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2655184</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53</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53</v>
      </c>
      <c r="D67" s="1684">
        <f t="shared" ref="D67:K67" si="2">SUM(D65:D66)</f>
        <v>0</v>
      </c>
      <c r="E67" s="1684">
        <f t="shared" si="2"/>
        <v>0</v>
      </c>
      <c r="F67" s="1684">
        <f t="shared" si="2"/>
        <v>0</v>
      </c>
      <c r="G67" s="1684">
        <f t="shared" si="2"/>
        <v>0</v>
      </c>
      <c r="H67" s="1684">
        <f t="shared" si="2"/>
        <v>0</v>
      </c>
      <c r="I67" s="1684">
        <f t="shared" si="2"/>
        <v>0</v>
      </c>
      <c r="J67" s="1684">
        <f t="shared" si="2"/>
        <v>0</v>
      </c>
      <c r="K67" s="1684">
        <f t="shared" si="2"/>
        <v>0</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0</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4" t="s">
        <v>241</v>
      </c>
      <c r="B82" s="1705"/>
      <c r="C82" s="1703">
        <f>SUM(C77:C81)</f>
        <v>0</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3145</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6083</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362</v>
      </c>
      <c r="D107" s="466">
        <v>0</v>
      </c>
      <c r="E107" s="466">
        <v>0</v>
      </c>
      <c r="F107" s="466">
        <v>0</v>
      </c>
      <c r="G107" s="466">
        <v>0</v>
      </c>
      <c r="H107" s="466">
        <v>0</v>
      </c>
      <c r="I107" s="466">
        <v>0</v>
      </c>
      <c r="J107" s="467">
        <v>0</v>
      </c>
      <c r="K107" s="466">
        <v>0</v>
      </c>
    </row>
    <row r="108" spans="1:12" ht="12.75" customHeight="1" thickBot="1" x14ac:dyDescent="0.25">
      <c r="A108" s="1704" t="s">
        <v>487</v>
      </c>
      <c r="B108" s="1708"/>
      <c r="C108" s="1703">
        <f>SUM(C95:C107)</f>
        <v>9590</v>
      </c>
      <c r="D108" s="1703">
        <f t="shared" ref="D108:K108" si="3">SUM(D95:D107)</f>
        <v>0</v>
      </c>
      <c r="E108" s="1703">
        <f t="shared" si="3"/>
        <v>0</v>
      </c>
      <c r="F108" s="1703">
        <f t="shared" si="3"/>
        <v>0</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2664827</v>
      </c>
      <c r="D109" s="1711">
        <f t="shared" si="4"/>
        <v>0</v>
      </c>
      <c r="E109" s="1711">
        <f t="shared" si="4"/>
        <v>0</v>
      </c>
      <c r="F109" s="1711">
        <f t="shared" si="4"/>
        <v>0</v>
      </c>
      <c r="G109" s="1711">
        <f t="shared" si="4"/>
        <v>0</v>
      </c>
      <c r="H109" s="1711">
        <f t="shared" si="4"/>
        <v>0</v>
      </c>
      <c r="I109" s="1711">
        <f t="shared" si="4"/>
        <v>0</v>
      </c>
      <c r="J109" s="1711">
        <f t="shared" si="4"/>
        <v>0</v>
      </c>
      <c r="K109" s="1698">
        <f t="shared" si="4"/>
        <v>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728</v>
      </c>
      <c r="D111" s="479">
        <v>0</v>
      </c>
      <c r="E111" s="558"/>
      <c r="F111" s="479">
        <v>0</v>
      </c>
      <c r="G111" s="479">
        <v>0</v>
      </c>
      <c r="H111" s="558"/>
      <c r="I111" s="468"/>
      <c r="J111" s="468"/>
      <c r="K111" s="468"/>
    </row>
    <row r="112" spans="1:12" ht="12.75" customHeight="1" x14ac:dyDescent="0.2">
      <c r="A112" s="463" t="s">
        <v>824</v>
      </c>
      <c r="B112" s="470">
        <v>2200</v>
      </c>
      <c r="C112" s="548">
        <v>79960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80688</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567593</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4" t="s">
        <v>1933</v>
      </c>
      <c r="B120" s="559">
        <v>3030</v>
      </c>
      <c r="C120" s="548">
        <v>0</v>
      </c>
      <c r="D120" s="466">
        <v>0</v>
      </c>
      <c r="E120" s="466">
        <v>0</v>
      </c>
      <c r="F120" s="466">
        <v>0</v>
      </c>
      <c r="G120" s="466">
        <v>0</v>
      </c>
      <c r="H120" s="466">
        <v>0</v>
      </c>
      <c r="I120" s="468"/>
      <c r="J120" s="467">
        <v>0</v>
      </c>
      <c r="K120" s="466">
        <v>0</v>
      </c>
    </row>
    <row r="121" spans="1:11" x14ac:dyDescent="0.2">
      <c r="A121" s="1492"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567593</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0</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0</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0</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0</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375" t="s">
        <v>398</v>
      </c>
      <c r="B169" s="2376"/>
      <c r="C169" s="1718">
        <f t="shared" ref="C169:K169" si="6">SUM(C132,C141,C145,C146:C150,C155,C156:C167,C168)</f>
        <v>0</v>
      </c>
      <c r="D169" s="1718">
        <f t="shared" si="6"/>
        <v>0</v>
      </c>
      <c r="E169" s="1718">
        <f t="shared" si="6"/>
        <v>0</v>
      </c>
      <c r="F169" s="1718">
        <f t="shared" si="6"/>
        <v>0</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567593</v>
      </c>
      <c r="D170" s="1711">
        <f t="shared" si="7"/>
        <v>0</v>
      </c>
      <c r="E170" s="1711">
        <f t="shared" si="7"/>
        <v>0</v>
      </c>
      <c r="F170" s="1711">
        <f t="shared" si="7"/>
        <v>0</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377" t="s">
        <v>1492</v>
      </c>
      <c r="B172" s="2378"/>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81" t="s">
        <v>1665</v>
      </c>
      <c r="B175" s="2382"/>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385" t="s">
        <v>1664</v>
      </c>
      <c r="B176" s="2386"/>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83" t="s">
        <v>785</v>
      </c>
      <c r="B181" s="2384"/>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379" t="s">
        <v>1800</v>
      </c>
      <c r="B182" s="2380"/>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0</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0</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48407</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2571156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2619563</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4" t="s">
        <v>1934</v>
      </c>
      <c r="B261" s="470">
        <v>4981</v>
      </c>
      <c r="C261" s="572">
        <v>0</v>
      </c>
      <c r="D261" s="573">
        <v>0</v>
      </c>
      <c r="E261" s="468"/>
      <c r="F261" s="573">
        <v>0</v>
      </c>
      <c r="G261" s="573">
        <v>0</v>
      </c>
      <c r="H261" s="468"/>
      <c r="I261" s="468"/>
      <c r="J261" s="468"/>
      <c r="K261" s="468"/>
    </row>
    <row r="262" spans="1:11" ht="12.75" customHeight="1" thickTop="1" thickBot="1" x14ac:dyDescent="0.25">
      <c r="A262" s="1925"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73100</v>
      </c>
      <c r="D263" s="573">
        <v>0</v>
      </c>
      <c r="E263" s="468"/>
      <c r="F263" s="573">
        <v>0</v>
      </c>
      <c r="G263" s="573">
        <v>0</v>
      </c>
      <c r="H263" s="468"/>
      <c r="I263" s="468"/>
      <c r="J263" s="468"/>
      <c r="K263" s="468"/>
    </row>
    <row r="264" spans="1:11" ht="12.75" customHeight="1" thickTop="1" thickBot="1" x14ac:dyDescent="0.25">
      <c r="A264" s="463" t="s">
        <v>377</v>
      </c>
      <c r="B264" s="470">
        <v>4992</v>
      </c>
      <c r="C264" s="572">
        <v>142524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2835187</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2835187</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6148295</v>
      </c>
      <c r="D268" s="1711">
        <f t="shared" si="12"/>
        <v>0</v>
      </c>
      <c r="E268" s="1711">
        <f t="shared" si="12"/>
        <v>0</v>
      </c>
      <c r="F268" s="1711">
        <f t="shared" si="12"/>
        <v>0</v>
      </c>
      <c r="G268" s="1711">
        <f t="shared" si="12"/>
        <v>0</v>
      </c>
      <c r="H268" s="1711">
        <f t="shared" si="12"/>
        <v>0</v>
      </c>
      <c r="I268" s="1711">
        <f t="shared" si="12"/>
        <v>0</v>
      </c>
      <c r="J268" s="1711">
        <f t="shared" si="12"/>
        <v>0</v>
      </c>
      <c r="K268" s="1698">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61" bottom="0.5" header="0.28000000000000003" footer="0.1"/>
  <pageSetup scale="72" firstPageNumber="9" orientation="landscape" useFirstPageNumber="1" r:id="rId1"/>
  <headerFooter alignWithMargins="0">
    <oddHeader>&amp;L&amp;8Page &amp;P&amp;C&amp;"Arial,Bold"&amp;9STATEMENT OF REVENUES RECEIVED/REVENUES
FOR THE YEAR ENDING JUNE 30, 2018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16" sqref="F1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355"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8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95" t="s">
        <v>297</v>
      </c>
      <c r="B3" s="2396"/>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0</v>
      </c>
      <c r="D5" s="466">
        <v>0</v>
      </c>
      <c r="E5" s="466">
        <v>0</v>
      </c>
      <c r="F5" s="466">
        <v>0</v>
      </c>
      <c r="G5" s="466">
        <v>0</v>
      </c>
      <c r="H5" s="466">
        <v>0</v>
      </c>
      <c r="I5" s="467">
        <v>0</v>
      </c>
      <c r="J5" s="467">
        <v>0</v>
      </c>
      <c r="K5" s="1667">
        <f>SUM(C5:J5)</f>
        <v>0</v>
      </c>
      <c r="L5" s="471">
        <v>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0</v>
      </c>
      <c r="D7" s="467">
        <v>0</v>
      </c>
      <c r="E7" s="467">
        <v>0</v>
      </c>
      <c r="F7" s="467">
        <v>0</v>
      </c>
      <c r="G7" s="467">
        <v>0</v>
      </c>
      <c r="H7" s="467">
        <v>0</v>
      </c>
      <c r="I7" s="467">
        <v>0</v>
      </c>
      <c r="J7" s="467">
        <v>0</v>
      </c>
      <c r="K7" s="1667">
        <f t="shared" ref="K7:K32" si="0">SUM(C7:J7)</f>
        <v>0</v>
      </c>
      <c r="L7" s="471">
        <v>0</v>
      </c>
    </row>
    <row r="8" spans="1:14" x14ac:dyDescent="0.2">
      <c r="A8" s="1500" t="s">
        <v>164</v>
      </c>
      <c r="B8" s="611">
        <v>1200</v>
      </c>
      <c r="C8" s="466">
        <v>1945641</v>
      </c>
      <c r="D8" s="466">
        <v>459415</v>
      </c>
      <c r="E8" s="466">
        <v>26789</v>
      </c>
      <c r="F8" s="466">
        <v>23262</v>
      </c>
      <c r="G8" s="466">
        <v>20790</v>
      </c>
      <c r="H8" s="466">
        <v>0</v>
      </c>
      <c r="I8" s="467">
        <v>0</v>
      </c>
      <c r="J8" s="467">
        <v>0</v>
      </c>
      <c r="K8" s="1667">
        <f t="shared" si="0"/>
        <v>2475897</v>
      </c>
      <c r="L8" s="471">
        <v>2583153</v>
      </c>
    </row>
    <row r="9" spans="1:14" x14ac:dyDescent="0.2">
      <c r="A9" s="1500" t="s">
        <v>721</v>
      </c>
      <c r="B9" s="611" t="s">
        <v>968</v>
      </c>
      <c r="C9" s="467">
        <v>224438</v>
      </c>
      <c r="D9" s="467">
        <v>58946</v>
      </c>
      <c r="E9" s="467">
        <v>1351</v>
      </c>
      <c r="F9" s="467">
        <v>8971</v>
      </c>
      <c r="G9" s="467">
        <v>3505</v>
      </c>
      <c r="H9" s="467">
        <v>0</v>
      </c>
      <c r="I9" s="467">
        <v>0</v>
      </c>
      <c r="J9" s="467">
        <v>0</v>
      </c>
      <c r="K9" s="1667">
        <f t="shared" si="0"/>
        <v>297211</v>
      </c>
      <c r="L9" s="471">
        <v>314613</v>
      </c>
    </row>
    <row r="10" spans="1:14" x14ac:dyDescent="0.2">
      <c r="A10" s="1500" t="s">
        <v>722</v>
      </c>
      <c r="B10" s="611">
        <v>1250</v>
      </c>
      <c r="C10" s="466">
        <v>0</v>
      </c>
      <c r="D10" s="466">
        <v>0</v>
      </c>
      <c r="E10" s="466">
        <v>0</v>
      </c>
      <c r="F10" s="466">
        <v>0</v>
      </c>
      <c r="G10" s="466">
        <v>0</v>
      </c>
      <c r="H10" s="466">
        <v>0</v>
      </c>
      <c r="I10" s="467">
        <v>0</v>
      </c>
      <c r="J10" s="467">
        <v>0</v>
      </c>
      <c r="K10" s="1667">
        <f t="shared" si="0"/>
        <v>0</v>
      </c>
      <c r="L10" s="471">
        <v>0</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0</v>
      </c>
      <c r="D13" s="466">
        <v>0</v>
      </c>
      <c r="E13" s="466">
        <v>43637</v>
      </c>
      <c r="F13" s="466">
        <v>0</v>
      </c>
      <c r="G13" s="466">
        <v>0</v>
      </c>
      <c r="H13" s="466">
        <v>0</v>
      </c>
      <c r="I13" s="467">
        <v>0</v>
      </c>
      <c r="J13" s="467">
        <v>0</v>
      </c>
      <c r="K13" s="1667">
        <f t="shared" si="0"/>
        <v>43637</v>
      </c>
      <c r="L13" s="471">
        <v>46000</v>
      </c>
    </row>
    <row r="14" spans="1:14" x14ac:dyDescent="0.2">
      <c r="A14" s="1500" t="s">
        <v>963</v>
      </c>
      <c r="B14" s="611">
        <v>1500</v>
      </c>
      <c r="C14" s="466">
        <v>0</v>
      </c>
      <c r="D14" s="466">
        <v>0</v>
      </c>
      <c r="E14" s="466">
        <v>0</v>
      </c>
      <c r="F14" s="466">
        <v>0</v>
      </c>
      <c r="G14" s="466">
        <v>0</v>
      </c>
      <c r="H14" s="466">
        <v>0</v>
      </c>
      <c r="I14" s="467">
        <v>0</v>
      </c>
      <c r="J14" s="467">
        <v>0</v>
      </c>
      <c r="K14" s="1667">
        <f t="shared" si="0"/>
        <v>0</v>
      </c>
      <c r="L14" s="471">
        <v>0</v>
      </c>
    </row>
    <row r="15" spans="1:14" x14ac:dyDescent="0.2">
      <c r="A15" s="1500" t="s">
        <v>964</v>
      </c>
      <c r="B15" s="611">
        <v>1600</v>
      </c>
      <c r="C15" s="467">
        <v>3638</v>
      </c>
      <c r="D15" s="466">
        <v>512</v>
      </c>
      <c r="E15" s="466">
        <v>78</v>
      </c>
      <c r="F15" s="466">
        <v>0</v>
      </c>
      <c r="G15" s="466">
        <v>0</v>
      </c>
      <c r="H15" s="466">
        <v>0</v>
      </c>
      <c r="I15" s="467">
        <v>0</v>
      </c>
      <c r="J15" s="467">
        <v>0</v>
      </c>
      <c r="K15" s="1667">
        <f t="shared" si="0"/>
        <v>4228</v>
      </c>
      <c r="L15" s="471">
        <v>5296</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0</v>
      </c>
      <c r="D17" s="467">
        <v>0</v>
      </c>
      <c r="E17" s="467">
        <v>0</v>
      </c>
      <c r="F17" s="467">
        <v>0</v>
      </c>
      <c r="G17" s="467">
        <v>0</v>
      </c>
      <c r="H17" s="467">
        <v>0</v>
      </c>
      <c r="I17" s="467">
        <v>0</v>
      </c>
      <c r="J17" s="467">
        <v>0</v>
      </c>
      <c r="K17" s="1667">
        <f t="shared" si="0"/>
        <v>0</v>
      </c>
      <c r="L17" s="471">
        <v>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2173717</v>
      </c>
      <c r="D33" s="1666">
        <f t="shared" ref="D33:L33" si="1">SUM(D5:D32)</f>
        <v>518873</v>
      </c>
      <c r="E33" s="1666">
        <f t="shared" si="1"/>
        <v>71855</v>
      </c>
      <c r="F33" s="1666">
        <f t="shared" si="1"/>
        <v>32233</v>
      </c>
      <c r="G33" s="1666">
        <f t="shared" si="1"/>
        <v>24295</v>
      </c>
      <c r="H33" s="1666">
        <f t="shared" si="1"/>
        <v>0</v>
      </c>
      <c r="I33" s="1666">
        <f t="shared" si="1"/>
        <v>0</v>
      </c>
      <c r="J33" s="1666">
        <f t="shared" si="1"/>
        <v>0</v>
      </c>
      <c r="K33" s="1666">
        <f t="shared" si="1"/>
        <v>2820973</v>
      </c>
      <c r="L33" s="1666">
        <f t="shared" si="1"/>
        <v>2949062</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360295</v>
      </c>
      <c r="D36" s="479">
        <v>90214</v>
      </c>
      <c r="E36" s="479">
        <v>8279</v>
      </c>
      <c r="F36" s="479">
        <v>871</v>
      </c>
      <c r="G36" s="479">
        <v>4248</v>
      </c>
      <c r="H36" s="479">
        <v>0</v>
      </c>
      <c r="I36" s="467">
        <v>0</v>
      </c>
      <c r="J36" s="467">
        <v>0</v>
      </c>
      <c r="K36" s="1667">
        <f t="shared" ref="K36:K41" si="2">SUM(C36:J36)</f>
        <v>463907</v>
      </c>
      <c r="L36" s="466">
        <v>472613</v>
      </c>
    </row>
    <row r="37" spans="1:14" x14ac:dyDescent="0.2">
      <c r="A37" s="1500" t="s">
        <v>1090</v>
      </c>
      <c r="B37" s="611">
        <v>2120</v>
      </c>
      <c r="C37" s="466">
        <v>28324</v>
      </c>
      <c r="D37" s="466">
        <v>4572</v>
      </c>
      <c r="E37" s="466">
        <v>4067</v>
      </c>
      <c r="F37" s="466">
        <v>0</v>
      </c>
      <c r="G37" s="466">
        <v>0</v>
      </c>
      <c r="H37" s="466">
        <v>0</v>
      </c>
      <c r="I37" s="467">
        <v>0</v>
      </c>
      <c r="J37" s="467">
        <v>0</v>
      </c>
      <c r="K37" s="1667">
        <f t="shared" si="2"/>
        <v>36963</v>
      </c>
      <c r="L37" s="466">
        <v>42133</v>
      </c>
    </row>
    <row r="38" spans="1:14" x14ac:dyDescent="0.2">
      <c r="A38" s="1500" t="s">
        <v>198</v>
      </c>
      <c r="B38" s="611">
        <v>2130</v>
      </c>
      <c r="C38" s="466">
        <v>226685</v>
      </c>
      <c r="D38" s="466">
        <v>62743</v>
      </c>
      <c r="E38" s="466">
        <v>77018</v>
      </c>
      <c r="F38" s="466">
        <v>2950</v>
      </c>
      <c r="G38" s="466">
        <v>10620</v>
      </c>
      <c r="H38" s="466">
        <v>0</v>
      </c>
      <c r="I38" s="467">
        <v>0</v>
      </c>
      <c r="J38" s="467">
        <v>0</v>
      </c>
      <c r="K38" s="1667">
        <f t="shared" si="2"/>
        <v>380016</v>
      </c>
      <c r="L38" s="466">
        <v>392781</v>
      </c>
    </row>
    <row r="39" spans="1:14" x14ac:dyDescent="0.2">
      <c r="A39" s="1500" t="s">
        <v>199</v>
      </c>
      <c r="B39" s="611">
        <v>2140</v>
      </c>
      <c r="C39" s="466">
        <v>423596</v>
      </c>
      <c r="D39" s="466">
        <v>99539</v>
      </c>
      <c r="E39" s="466">
        <v>10594</v>
      </c>
      <c r="F39" s="466">
        <v>6478</v>
      </c>
      <c r="G39" s="466">
        <v>0</v>
      </c>
      <c r="H39" s="466">
        <v>0</v>
      </c>
      <c r="I39" s="467">
        <v>0</v>
      </c>
      <c r="J39" s="467">
        <v>0</v>
      </c>
      <c r="K39" s="1667">
        <f t="shared" si="2"/>
        <v>540207</v>
      </c>
      <c r="L39" s="466">
        <v>560257</v>
      </c>
    </row>
    <row r="40" spans="1:14" x14ac:dyDescent="0.2">
      <c r="A40" s="1500" t="s">
        <v>200</v>
      </c>
      <c r="B40" s="611">
        <v>2150</v>
      </c>
      <c r="C40" s="466">
        <v>165368</v>
      </c>
      <c r="D40" s="466">
        <v>54324</v>
      </c>
      <c r="E40" s="466">
        <v>6780</v>
      </c>
      <c r="F40" s="466">
        <v>2537</v>
      </c>
      <c r="G40" s="466">
        <v>6372</v>
      </c>
      <c r="H40" s="466">
        <v>0</v>
      </c>
      <c r="I40" s="467">
        <v>0</v>
      </c>
      <c r="J40" s="467">
        <v>0</v>
      </c>
      <c r="K40" s="1667">
        <f t="shared" si="2"/>
        <v>235381</v>
      </c>
      <c r="L40" s="466">
        <v>242267</v>
      </c>
    </row>
    <row r="41" spans="1:14" x14ac:dyDescent="0.2">
      <c r="A41" s="1500" t="s">
        <v>1669</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1204268</v>
      </c>
      <c r="D42" s="1666">
        <f t="shared" ref="D42:L42" si="3">SUM(D36:D41)</f>
        <v>311392</v>
      </c>
      <c r="E42" s="1666">
        <f t="shared" si="3"/>
        <v>106738</v>
      </c>
      <c r="F42" s="1666">
        <f t="shared" si="3"/>
        <v>12836</v>
      </c>
      <c r="G42" s="1666">
        <f t="shared" si="3"/>
        <v>21240</v>
      </c>
      <c r="H42" s="1666">
        <f t="shared" si="3"/>
        <v>0</v>
      </c>
      <c r="I42" s="1666">
        <f t="shared" si="3"/>
        <v>0</v>
      </c>
      <c r="J42" s="1666">
        <f t="shared" si="3"/>
        <v>0</v>
      </c>
      <c r="K42" s="1666">
        <f t="shared" si="3"/>
        <v>1656474</v>
      </c>
      <c r="L42" s="1666">
        <f t="shared" si="3"/>
        <v>1710051</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75000</v>
      </c>
      <c r="D44" s="479">
        <v>17980</v>
      </c>
      <c r="E44" s="479">
        <v>82288</v>
      </c>
      <c r="F44" s="479">
        <v>0</v>
      </c>
      <c r="G44" s="479">
        <v>0</v>
      </c>
      <c r="H44" s="479">
        <v>0</v>
      </c>
      <c r="I44" s="467">
        <v>0</v>
      </c>
      <c r="J44" s="467">
        <v>0</v>
      </c>
      <c r="K44" s="1668">
        <f>SUM(C44:J44)</f>
        <v>175268</v>
      </c>
      <c r="L44" s="479">
        <v>189453</v>
      </c>
    </row>
    <row r="45" spans="1:14" x14ac:dyDescent="0.2">
      <c r="A45" s="1500" t="s">
        <v>815</v>
      </c>
      <c r="B45" s="611">
        <v>2220</v>
      </c>
      <c r="C45" s="466">
        <v>0</v>
      </c>
      <c r="D45" s="466">
        <v>0</v>
      </c>
      <c r="E45" s="466">
        <v>0</v>
      </c>
      <c r="F45" s="466">
        <v>0</v>
      </c>
      <c r="G45" s="466">
        <v>0</v>
      </c>
      <c r="H45" s="466">
        <v>0</v>
      </c>
      <c r="I45" s="467">
        <v>0</v>
      </c>
      <c r="J45" s="467">
        <v>0</v>
      </c>
      <c r="K45" s="1668">
        <f>SUM(C45:J45)</f>
        <v>0</v>
      </c>
      <c r="L45" s="466">
        <v>0</v>
      </c>
    </row>
    <row r="46" spans="1:14" x14ac:dyDescent="0.2">
      <c r="A46" s="1500" t="s">
        <v>816</v>
      </c>
      <c r="B46" s="611">
        <v>2230</v>
      </c>
      <c r="C46" s="466">
        <v>0</v>
      </c>
      <c r="D46" s="466">
        <v>0</v>
      </c>
      <c r="E46" s="466">
        <v>0</v>
      </c>
      <c r="F46" s="466">
        <v>0</v>
      </c>
      <c r="G46" s="466">
        <v>0</v>
      </c>
      <c r="H46" s="466">
        <v>0</v>
      </c>
      <c r="I46" s="467">
        <v>0</v>
      </c>
      <c r="J46" s="467">
        <v>0</v>
      </c>
      <c r="K46" s="1668">
        <f>SUM(C46:J46)</f>
        <v>0</v>
      </c>
      <c r="L46" s="466">
        <v>0</v>
      </c>
    </row>
    <row r="47" spans="1:14" ht="12.75" customHeight="1" thickBot="1" x14ac:dyDescent="0.25">
      <c r="A47" s="1664" t="s">
        <v>561</v>
      </c>
      <c r="B47" s="1665" t="s">
        <v>32</v>
      </c>
      <c r="C47" s="1666">
        <f>SUM(C44:C46)</f>
        <v>75000</v>
      </c>
      <c r="D47" s="1666">
        <f t="shared" ref="D47:K47" si="4">SUM(D44:D46)</f>
        <v>17980</v>
      </c>
      <c r="E47" s="1666">
        <f t="shared" si="4"/>
        <v>82288</v>
      </c>
      <c r="F47" s="1666">
        <f t="shared" si="4"/>
        <v>0</v>
      </c>
      <c r="G47" s="1666">
        <f t="shared" si="4"/>
        <v>0</v>
      </c>
      <c r="H47" s="1666">
        <f t="shared" si="4"/>
        <v>0</v>
      </c>
      <c r="I47" s="1666">
        <f t="shared" si="4"/>
        <v>0</v>
      </c>
      <c r="J47" s="1666">
        <f t="shared" si="4"/>
        <v>0</v>
      </c>
      <c r="K47" s="1666">
        <f t="shared" si="4"/>
        <v>175268</v>
      </c>
      <c r="L47" s="1666">
        <f>SUM(L44:L46)</f>
        <v>189453</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266262</v>
      </c>
      <c r="D49" s="479">
        <v>110721</v>
      </c>
      <c r="E49" s="479">
        <v>75213</v>
      </c>
      <c r="F49" s="479">
        <v>83090</v>
      </c>
      <c r="G49" s="479">
        <v>28676</v>
      </c>
      <c r="H49" s="479">
        <v>0</v>
      </c>
      <c r="I49" s="467">
        <v>0</v>
      </c>
      <c r="J49" s="467">
        <v>0</v>
      </c>
      <c r="K49" s="1668">
        <f>SUM(C49:J49)</f>
        <v>563962</v>
      </c>
      <c r="L49" s="479">
        <v>601500</v>
      </c>
    </row>
    <row r="50" spans="1:14" x14ac:dyDescent="0.2">
      <c r="A50" s="1500" t="s">
        <v>818</v>
      </c>
      <c r="B50" s="611">
        <v>2320</v>
      </c>
      <c r="C50" s="467">
        <v>116835</v>
      </c>
      <c r="D50" s="466">
        <v>27565</v>
      </c>
      <c r="E50" s="466">
        <v>5756</v>
      </c>
      <c r="F50" s="466">
        <v>0</v>
      </c>
      <c r="G50" s="466">
        <v>0</v>
      </c>
      <c r="H50" s="466">
        <v>0</v>
      </c>
      <c r="I50" s="467">
        <v>0</v>
      </c>
      <c r="J50" s="467">
        <v>0</v>
      </c>
      <c r="K50" s="1668">
        <f>SUM(C50:J50)</f>
        <v>150156</v>
      </c>
      <c r="L50" s="466">
        <v>154809</v>
      </c>
    </row>
    <row r="51" spans="1:14" x14ac:dyDescent="0.2">
      <c r="A51" s="1500" t="s">
        <v>42</v>
      </c>
      <c r="B51" s="611">
        <v>2330</v>
      </c>
      <c r="C51" s="466">
        <v>0</v>
      </c>
      <c r="D51" s="466">
        <v>0</v>
      </c>
      <c r="E51" s="466">
        <v>4891</v>
      </c>
      <c r="F51" s="466">
        <v>0</v>
      </c>
      <c r="G51" s="466">
        <v>0</v>
      </c>
      <c r="H51" s="466">
        <v>0</v>
      </c>
      <c r="I51" s="467">
        <v>0</v>
      </c>
      <c r="J51" s="467">
        <v>0</v>
      </c>
      <c r="K51" s="1668">
        <f>SUM(C51:J51)</f>
        <v>4891</v>
      </c>
      <c r="L51" s="466">
        <v>5679</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383097</v>
      </c>
      <c r="D53" s="1666">
        <f t="shared" ref="D53:L53" si="5">SUM(D49:D52)</f>
        <v>138286</v>
      </c>
      <c r="E53" s="1666">
        <f t="shared" si="5"/>
        <v>85860</v>
      </c>
      <c r="F53" s="1666">
        <f t="shared" si="5"/>
        <v>83090</v>
      </c>
      <c r="G53" s="1666">
        <f t="shared" si="5"/>
        <v>28676</v>
      </c>
      <c r="H53" s="1666">
        <f t="shared" si="5"/>
        <v>0</v>
      </c>
      <c r="I53" s="1666">
        <f t="shared" si="5"/>
        <v>0</v>
      </c>
      <c r="J53" s="1666">
        <f t="shared" si="5"/>
        <v>0</v>
      </c>
      <c r="K53" s="1666">
        <f t="shared" si="5"/>
        <v>719009</v>
      </c>
      <c r="L53" s="1666">
        <f t="shared" si="5"/>
        <v>761988</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28002</v>
      </c>
      <c r="D55" s="479">
        <v>12508</v>
      </c>
      <c r="E55" s="479">
        <v>0</v>
      </c>
      <c r="F55" s="479">
        <v>0</v>
      </c>
      <c r="G55" s="479">
        <v>0</v>
      </c>
      <c r="H55" s="479">
        <v>0</v>
      </c>
      <c r="I55" s="467">
        <v>0</v>
      </c>
      <c r="J55" s="467">
        <v>0</v>
      </c>
      <c r="K55" s="1668">
        <f>SUM(C55:J55)</f>
        <v>40510</v>
      </c>
      <c r="L55" s="479">
        <v>40824</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28002</v>
      </c>
      <c r="D57" s="1670">
        <f t="shared" ref="D57:K57" si="6">SUM(D55:D56)</f>
        <v>12508</v>
      </c>
      <c r="E57" s="1670">
        <f t="shared" si="6"/>
        <v>0</v>
      </c>
      <c r="F57" s="1670">
        <f t="shared" si="6"/>
        <v>0</v>
      </c>
      <c r="G57" s="1670">
        <f t="shared" si="6"/>
        <v>0</v>
      </c>
      <c r="H57" s="1670">
        <f t="shared" si="6"/>
        <v>0</v>
      </c>
      <c r="I57" s="1670">
        <f t="shared" si="6"/>
        <v>0</v>
      </c>
      <c r="J57" s="1670">
        <f t="shared" si="6"/>
        <v>0</v>
      </c>
      <c r="K57" s="1670">
        <f t="shared" si="6"/>
        <v>40510</v>
      </c>
      <c r="L57" s="1666">
        <f>SUM(L55:L56)</f>
        <v>40824</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42679</v>
      </c>
      <c r="D60" s="466">
        <v>15825</v>
      </c>
      <c r="E60" s="466">
        <v>1184</v>
      </c>
      <c r="F60" s="466">
        <v>0</v>
      </c>
      <c r="G60" s="466">
        <v>0</v>
      </c>
      <c r="H60" s="466">
        <v>0</v>
      </c>
      <c r="I60" s="467">
        <v>0</v>
      </c>
      <c r="J60" s="467">
        <v>0</v>
      </c>
      <c r="K60" s="1668">
        <f t="shared" si="7"/>
        <v>59688</v>
      </c>
      <c r="L60" s="466">
        <v>60164</v>
      </c>
      <c r="M60" s="606"/>
      <c r="N60" s="606"/>
    </row>
    <row r="61" spans="1:14" s="343" customFormat="1" x14ac:dyDescent="0.2">
      <c r="A61" s="1500" t="s">
        <v>197</v>
      </c>
      <c r="B61" s="611">
        <v>2540</v>
      </c>
      <c r="C61" s="466">
        <v>0</v>
      </c>
      <c r="D61" s="466">
        <v>0</v>
      </c>
      <c r="E61" s="466">
        <v>66970</v>
      </c>
      <c r="F61" s="466">
        <v>15641</v>
      </c>
      <c r="G61" s="466">
        <v>0</v>
      </c>
      <c r="H61" s="466">
        <v>0</v>
      </c>
      <c r="I61" s="467">
        <v>0</v>
      </c>
      <c r="J61" s="467">
        <v>0</v>
      </c>
      <c r="K61" s="1668">
        <f t="shared" si="7"/>
        <v>82611</v>
      </c>
      <c r="L61" s="466">
        <v>95000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0</v>
      </c>
      <c r="D63" s="466">
        <v>0</v>
      </c>
      <c r="E63" s="466">
        <v>0</v>
      </c>
      <c r="F63" s="466">
        <v>0</v>
      </c>
      <c r="G63" s="466">
        <v>0</v>
      </c>
      <c r="H63" s="466">
        <v>0</v>
      </c>
      <c r="I63" s="467">
        <v>0</v>
      </c>
      <c r="J63" s="467">
        <v>0</v>
      </c>
      <c r="K63" s="1668">
        <f t="shared" si="7"/>
        <v>0</v>
      </c>
      <c r="L63" s="466">
        <v>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42679</v>
      </c>
      <c r="D65" s="1666">
        <f t="shared" ref="D65:L65" si="8">SUM(D59:D64)</f>
        <v>15825</v>
      </c>
      <c r="E65" s="1666">
        <f t="shared" si="8"/>
        <v>68154</v>
      </c>
      <c r="F65" s="1666">
        <f t="shared" si="8"/>
        <v>15641</v>
      </c>
      <c r="G65" s="1666">
        <f t="shared" si="8"/>
        <v>0</v>
      </c>
      <c r="H65" s="1666">
        <f t="shared" si="8"/>
        <v>0</v>
      </c>
      <c r="I65" s="1666">
        <f t="shared" si="8"/>
        <v>0</v>
      </c>
      <c r="J65" s="1666">
        <f t="shared" si="8"/>
        <v>0</v>
      </c>
      <c r="K65" s="1666">
        <f t="shared" si="8"/>
        <v>142299</v>
      </c>
      <c r="L65" s="1666">
        <f t="shared" si="8"/>
        <v>155164</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2724</v>
      </c>
      <c r="F70" s="466">
        <v>0</v>
      </c>
      <c r="G70" s="466">
        <v>0</v>
      </c>
      <c r="H70" s="466">
        <v>0</v>
      </c>
      <c r="I70" s="467">
        <v>0</v>
      </c>
      <c r="J70" s="467">
        <v>0</v>
      </c>
      <c r="K70" s="1668">
        <f>SUM(C70:J70)</f>
        <v>2724</v>
      </c>
      <c r="L70" s="466">
        <v>3000</v>
      </c>
      <c r="M70" s="606"/>
      <c r="N70" s="606"/>
    </row>
    <row r="71" spans="1:14" s="343" customFormat="1" x14ac:dyDescent="0.2">
      <c r="A71" s="1500" t="s">
        <v>404</v>
      </c>
      <c r="B71" s="611">
        <v>2660</v>
      </c>
      <c r="C71" s="466">
        <v>0</v>
      </c>
      <c r="D71" s="466">
        <v>0</v>
      </c>
      <c r="E71" s="466">
        <v>0</v>
      </c>
      <c r="F71" s="466">
        <v>43885</v>
      </c>
      <c r="G71" s="466">
        <v>0</v>
      </c>
      <c r="H71" s="466">
        <v>0</v>
      </c>
      <c r="I71" s="467">
        <v>0</v>
      </c>
      <c r="J71" s="467">
        <v>0</v>
      </c>
      <c r="K71" s="1668">
        <f>SUM(C71:J71)</f>
        <v>43885</v>
      </c>
      <c r="L71" s="466">
        <v>43890</v>
      </c>
      <c r="M71" s="606"/>
      <c r="N71" s="606"/>
    </row>
    <row r="72" spans="1:14" s="343" customFormat="1" ht="12.75" customHeight="1" thickBot="1" x14ac:dyDescent="0.25">
      <c r="A72" s="1664" t="s">
        <v>37</v>
      </c>
      <c r="B72" s="1671" t="s">
        <v>36</v>
      </c>
      <c r="C72" s="1666">
        <f>SUM(C67:C71)</f>
        <v>0</v>
      </c>
      <c r="D72" s="1666">
        <f t="shared" ref="D72:K72" si="9">SUM(D67:D71)</f>
        <v>0</v>
      </c>
      <c r="E72" s="1666">
        <f t="shared" si="9"/>
        <v>2724</v>
      </c>
      <c r="F72" s="1666">
        <f t="shared" si="9"/>
        <v>43885</v>
      </c>
      <c r="G72" s="1666">
        <f t="shared" si="9"/>
        <v>0</v>
      </c>
      <c r="H72" s="1666">
        <f t="shared" si="9"/>
        <v>0</v>
      </c>
      <c r="I72" s="1666">
        <f t="shared" si="9"/>
        <v>0</v>
      </c>
      <c r="J72" s="1666">
        <f t="shared" si="9"/>
        <v>0</v>
      </c>
      <c r="K72" s="1666">
        <f t="shared" si="9"/>
        <v>46609</v>
      </c>
      <c r="L72" s="1666">
        <f>SUM(L67:L71)</f>
        <v>46890</v>
      </c>
      <c r="M72" s="606"/>
      <c r="N72" s="606"/>
    </row>
    <row r="73" spans="1:14" s="343" customFormat="1" ht="14.25" thickTop="1" thickBot="1" x14ac:dyDescent="0.25">
      <c r="A73" s="1506" t="s">
        <v>980</v>
      </c>
      <c r="B73" s="629" t="s">
        <v>574</v>
      </c>
      <c r="C73" s="467">
        <v>0</v>
      </c>
      <c r="D73" s="467">
        <v>0</v>
      </c>
      <c r="E73" s="467">
        <v>27346</v>
      </c>
      <c r="F73" s="467">
        <v>0</v>
      </c>
      <c r="G73" s="467">
        <v>0</v>
      </c>
      <c r="H73" s="467">
        <v>0</v>
      </c>
      <c r="I73" s="467">
        <v>0</v>
      </c>
      <c r="J73" s="467">
        <v>0</v>
      </c>
      <c r="K73" s="1666">
        <f>SUM(C73:J73)</f>
        <v>27346</v>
      </c>
      <c r="L73" s="573">
        <v>28000</v>
      </c>
      <c r="M73" s="606"/>
      <c r="N73" s="606"/>
    </row>
    <row r="74" spans="1:14" ht="12.75" customHeight="1" thickTop="1" thickBot="1" x14ac:dyDescent="0.25">
      <c r="A74" s="1664" t="s">
        <v>811</v>
      </c>
      <c r="B74" s="1672">
        <v>2000</v>
      </c>
      <c r="C74" s="1673">
        <f>SUM(C42,C47,C53,C57,C65,C72,C73)</f>
        <v>1733046</v>
      </c>
      <c r="D74" s="1673">
        <f t="shared" ref="D74:K74" si="10">SUM(D42,D47,D53,D57,D65,D72,D73)</f>
        <v>495991</v>
      </c>
      <c r="E74" s="1673">
        <f t="shared" si="10"/>
        <v>373110</v>
      </c>
      <c r="F74" s="1673">
        <f t="shared" si="10"/>
        <v>155452</v>
      </c>
      <c r="G74" s="1673">
        <f t="shared" si="10"/>
        <v>49916</v>
      </c>
      <c r="H74" s="1673">
        <f t="shared" si="10"/>
        <v>0</v>
      </c>
      <c r="I74" s="1673">
        <f t="shared" si="10"/>
        <v>0</v>
      </c>
      <c r="J74" s="1673">
        <f t="shared" si="10"/>
        <v>0</v>
      </c>
      <c r="K74" s="1673">
        <f t="shared" si="10"/>
        <v>2807515</v>
      </c>
      <c r="L74" s="1673">
        <f>SUM(L42,L47,L53,L57,L65,L72,L73)</f>
        <v>2932370</v>
      </c>
    </row>
    <row r="75" spans="1:14" s="259" customFormat="1" ht="15.75" customHeight="1" thickTop="1" thickBot="1" x14ac:dyDescent="0.25">
      <c r="A75" s="1606" t="s">
        <v>47</v>
      </c>
      <c r="B75" s="1607" t="s">
        <v>575</v>
      </c>
      <c r="C75" s="467">
        <v>0</v>
      </c>
      <c r="D75" s="467">
        <v>0</v>
      </c>
      <c r="E75" s="467">
        <v>0</v>
      </c>
      <c r="F75" s="467">
        <v>0</v>
      </c>
      <c r="G75" s="467">
        <v>0</v>
      </c>
      <c r="H75" s="467">
        <v>0</v>
      </c>
      <c r="I75" s="467">
        <v>0</v>
      </c>
      <c r="J75" s="467">
        <v>0</v>
      </c>
      <c r="K75" s="1666">
        <f>SUM(C75:J75)</f>
        <v>0</v>
      </c>
      <c r="L75" s="573">
        <v>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288936</v>
      </c>
      <c r="F79" s="613"/>
      <c r="G79" s="613"/>
      <c r="H79" s="466">
        <v>153222</v>
      </c>
      <c r="I79" s="475"/>
      <c r="J79" s="475"/>
      <c r="K79" s="1667">
        <f t="shared" si="11"/>
        <v>442158</v>
      </c>
      <c r="L79" s="466">
        <v>467401</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288936</v>
      </c>
      <c r="F84" s="613"/>
      <c r="G84" s="613"/>
      <c r="H84" s="1666">
        <f>SUM(H78:H83)</f>
        <v>153222</v>
      </c>
      <c r="I84" s="475"/>
      <c r="J84" s="475"/>
      <c r="K84" s="1666">
        <f>SUM(K78:K83)</f>
        <v>442158</v>
      </c>
      <c r="L84" s="1666">
        <f>SUM(L78:L83)</f>
        <v>467401</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0</v>
      </c>
      <c r="I86" s="475"/>
      <c r="J86" s="475"/>
      <c r="K86" s="1673">
        <f t="shared" ref="K86:K98" si="12">H86</f>
        <v>0</v>
      </c>
      <c r="L86" s="527">
        <v>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0</v>
      </c>
      <c r="I92" s="475"/>
      <c r="J92" s="475"/>
      <c r="K92" s="1673">
        <f t="shared" si="12"/>
        <v>0</v>
      </c>
      <c r="L92" s="1666">
        <f>SUM(L85:L91)</f>
        <v>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288936</v>
      </c>
      <c r="F102" s="613"/>
      <c r="G102" s="613"/>
      <c r="H102" s="1673">
        <f>SUM(H84,H92,H100,H101)</f>
        <v>153222</v>
      </c>
      <c r="I102" s="475"/>
      <c r="J102" s="475"/>
      <c r="K102" s="1673">
        <f>SUM(K84,K92,K100,K101)</f>
        <v>442158</v>
      </c>
      <c r="L102" s="1673">
        <f>SUM(L84,L92,L100,L101)</f>
        <v>467401</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100</v>
      </c>
      <c r="M113" s="610"/>
      <c r="N113" s="610"/>
    </row>
    <row r="114" spans="1:14" ht="12.75" customHeight="1" thickTop="1" thickBot="1" x14ac:dyDescent="0.25">
      <c r="A114" s="1664" t="s">
        <v>48</v>
      </c>
      <c r="B114" s="1678"/>
      <c r="C114" s="1666">
        <f>SUM(C33,C74,C75,C102,C112,C113)</f>
        <v>3906763</v>
      </c>
      <c r="D114" s="1666">
        <f t="shared" ref="D114:K114" si="13">SUM(D33,D74,D75,D102,D112,D113)</f>
        <v>1014864</v>
      </c>
      <c r="E114" s="1666">
        <f t="shared" si="13"/>
        <v>733901</v>
      </c>
      <c r="F114" s="1666">
        <f t="shared" si="13"/>
        <v>187685</v>
      </c>
      <c r="G114" s="1666">
        <f t="shared" si="13"/>
        <v>74211</v>
      </c>
      <c r="H114" s="1666">
        <f>SUM(H33,H74,H75,H102,H112,H113)</f>
        <v>153222</v>
      </c>
      <c r="I114" s="1666">
        <f t="shared" si="13"/>
        <v>0</v>
      </c>
      <c r="J114" s="1666">
        <f t="shared" si="13"/>
        <v>0</v>
      </c>
      <c r="K114" s="1666">
        <f t="shared" si="13"/>
        <v>6070646</v>
      </c>
      <c r="L114" s="1666">
        <f>SUM(L33,L74,L75,L102,L112,L113)</f>
        <v>6348933</v>
      </c>
    </row>
    <row r="115" spans="1:14" ht="13.5" thickTop="1" x14ac:dyDescent="0.2">
      <c r="A115" s="2387" t="s">
        <v>996</v>
      </c>
      <c r="B115" s="2388"/>
      <c r="C115" s="615"/>
      <c r="D115" s="615"/>
      <c r="E115" s="615"/>
      <c r="F115" s="615"/>
      <c r="G115" s="615"/>
      <c r="H115" s="615"/>
      <c r="I115" s="615"/>
      <c r="J115" s="615"/>
      <c r="K115" s="1680">
        <f>'Revenues 9-14'!C268-'Expenditures 15-22'!K114</f>
        <v>77649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92" t="s">
        <v>296</v>
      </c>
      <c r="B117" s="2393"/>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2057</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0</v>
      </c>
      <c r="D124" s="466">
        <v>0</v>
      </c>
      <c r="E124" s="466">
        <v>0</v>
      </c>
      <c r="F124" s="466">
        <v>0</v>
      </c>
      <c r="G124" s="466">
        <v>0</v>
      </c>
      <c r="H124" s="466">
        <v>0</v>
      </c>
      <c r="I124" s="467">
        <v>0</v>
      </c>
      <c r="J124" s="467">
        <v>0</v>
      </c>
      <c r="K124" s="1666">
        <f>SUM(C124:J124)</f>
        <v>0</v>
      </c>
      <c r="L124" s="466">
        <v>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0</v>
      </c>
      <c r="D127" s="1666">
        <f t="shared" ref="D127:L127" si="14">SUM(D122:D126)</f>
        <v>0</v>
      </c>
      <c r="E127" s="1666">
        <f t="shared" si="14"/>
        <v>0</v>
      </c>
      <c r="F127" s="1666">
        <f t="shared" si="14"/>
        <v>0</v>
      </c>
      <c r="G127" s="1666">
        <f t="shared" si="14"/>
        <v>0</v>
      </c>
      <c r="H127" s="1666">
        <f t="shared" si="14"/>
        <v>0</v>
      </c>
      <c r="I127" s="1666">
        <f t="shared" si="14"/>
        <v>0</v>
      </c>
      <c r="J127" s="1666">
        <f t="shared" si="14"/>
        <v>0</v>
      </c>
      <c r="K127" s="1666">
        <f t="shared" si="14"/>
        <v>0</v>
      </c>
      <c r="L127" s="1666">
        <f t="shared" si="14"/>
        <v>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0</v>
      </c>
      <c r="D129" s="1673">
        <f t="shared" ref="D129:L129" si="15">SUM(D120,D127,D128)</f>
        <v>0</v>
      </c>
      <c r="E129" s="1673">
        <f t="shared" si="15"/>
        <v>0</v>
      </c>
      <c r="F129" s="1673">
        <f t="shared" si="15"/>
        <v>0</v>
      </c>
      <c r="G129" s="1673">
        <f t="shared" si="15"/>
        <v>0</v>
      </c>
      <c r="H129" s="1673">
        <f t="shared" si="15"/>
        <v>0</v>
      </c>
      <c r="I129" s="1673">
        <f t="shared" si="15"/>
        <v>0</v>
      </c>
      <c r="J129" s="1673">
        <f t="shared" si="15"/>
        <v>0</v>
      </c>
      <c r="K129" s="1673">
        <f t="shared" si="15"/>
        <v>0</v>
      </c>
      <c r="L129" s="1673">
        <f t="shared" si="15"/>
        <v>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1842</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404" t="s">
        <v>620</v>
      </c>
      <c r="B151" s="2384"/>
      <c r="C151" s="1666">
        <f>SUM(C129,C130,C139,C149,C150)</f>
        <v>0</v>
      </c>
      <c r="D151" s="1666">
        <f t="shared" ref="D151:K151" si="16">SUM(D129,D130,D139,D149,D150)</f>
        <v>0</v>
      </c>
      <c r="E151" s="1666">
        <f t="shared" si="16"/>
        <v>0</v>
      </c>
      <c r="F151" s="1666">
        <f t="shared" si="16"/>
        <v>0</v>
      </c>
      <c r="G151" s="1666">
        <f t="shared" si="16"/>
        <v>0</v>
      </c>
      <c r="H151" s="1666">
        <f t="shared" si="16"/>
        <v>0</v>
      </c>
      <c r="I151" s="1666">
        <f t="shared" si="16"/>
        <v>0</v>
      </c>
      <c r="J151" s="1666">
        <f t="shared" si="16"/>
        <v>0</v>
      </c>
      <c r="K151" s="1666">
        <f t="shared" si="16"/>
        <v>0</v>
      </c>
      <c r="L151" s="1666">
        <f>SUM(L129,L130,L139,L149,L150)</f>
        <v>0</v>
      </c>
    </row>
    <row r="152" spans="1:14" ht="12.75" customHeight="1" thickTop="1" x14ac:dyDescent="0.2">
      <c r="A152" s="2407" t="s">
        <v>1178</v>
      </c>
      <c r="B152" s="2408"/>
      <c r="C152" s="615"/>
      <c r="D152" s="615"/>
      <c r="E152" s="615"/>
      <c r="F152" s="615"/>
      <c r="G152" s="615"/>
      <c r="H152" s="615"/>
      <c r="I152" s="615"/>
      <c r="J152" s="613"/>
      <c r="K152" s="1680">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92" t="s">
        <v>621</v>
      </c>
      <c r="B154" s="2394"/>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1843</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1842</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1844</v>
      </c>
      <c r="C158" s="613"/>
      <c r="D158" s="613"/>
      <c r="E158" s="613"/>
      <c r="F158" s="613"/>
      <c r="G158" s="613"/>
      <c r="H158" s="467">
        <v>0</v>
      </c>
      <c r="I158" s="613"/>
      <c r="J158" s="613"/>
      <c r="K158" s="1667">
        <f>H158</f>
        <v>0</v>
      </c>
      <c r="L158" s="467">
        <v>0</v>
      </c>
      <c r="M158" s="616"/>
      <c r="N158" s="616"/>
    </row>
    <row r="159" spans="1:14" s="617" customFormat="1" ht="12" x14ac:dyDescent="0.2">
      <c r="A159" s="1822" t="s">
        <v>1845</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1846</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0</v>
      </c>
      <c r="I169" s="613"/>
      <c r="J169" s="613"/>
      <c r="K169" s="1667">
        <f>SUM(C169:H169)</f>
        <v>0</v>
      </c>
      <c r="L169" s="653">
        <v>0</v>
      </c>
    </row>
    <row r="170" spans="1:14" ht="33.75" customHeight="1" x14ac:dyDescent="0.2">
      <c r="A170" s="666" t="s">
        <v>1670</v>
      </c>
      <c r="B170" s="668" t="s">
        <v>31</v>
      </c>
      <c r="C170" s="613"/>
      <c r="D170" s="613"/>
      <c r="E170" s="613"/>
      <c r="F170" s="613"/>
      <c r="G170" s="613"/>
      <c r="H170" s="566">
        <v>0</v>
      </c>
      <c r="I170" s="613"/>
      <c r="J170" s="613"/>
      <c r="K170" s="1667">
        <f>SUM(C170:J170)</f>
        <v>0</v>
      </c>
      <c r="L170" s="566">
        <v>0</v>
      </c>
    </row>
    <row r="171" spans="1:14" ht="15.75" customHeight="1" x14ac:dyDescent="0.2">
      <c r="A171" s="618" t="s">
        <v>766</v>
      </c>
      <c r="B171" s="669" t="s">
        <v>84</v>
      </c>
      <c r="C171" s="613"/>
      <c r="D171" s="613"/>
      <c r="E171" s="466">
        <v>0</v>
      </c>
      <c r="F171" s="613"/>
      <c r="G171" s="613"/>
      <c r="H171" s="566">
        <v>0</v>
      </c>
      <c r="I171" s="475"/>
      <c r="J171" s="613"/>
      <c r="K171" s="1667">
        <f>SUM(C171:J171)</f>
        <v>0</v>
      </c>
      <c r="L171" s="566">
        <v>0</v>
      </c>
    </row>
    <row r="172" spans="1:14" ht="12.75" customHeight="1" thickBot="1" x14ac:dyDescent="0.25">
      <c r="A172" s="1664" t="s">
        <v>638</v>
      </c>
      <c r="B172" s="1665" t="s">
        <v>492</v>
      </c>
      <c r="C172" s="613"/>
      <c r="D172" s="613"/>
      <c r="E172" s="1673">
        <f>SUM(E168,E169,E170,E171)</f>
        <v>0</v>
      </c>
      <c r="F172" s="613"/>
      <c r="G172" s="613"/>
      <c r="H172" s="1673">
        <f>SUM(H168,H169,H170,H171)</f>
        <v>0</v>
      </c>
      <c r="I172" s="635"/>
      <c r="J172" s="613"/>
      <c r="K172" s="1673">
        <f>SUM(K168,K169,K170,K171)</f>
        <v>0</v>
      </c>
      <c r="L172" s="1673">
        <f>SUM(L168,L169,L170,L171)</f>
        <v>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0</v>
      </c>
      <c r="I174" s="635"/>
      <c r="J174" s="613"/>
      <c r="K174" s="1673">
        <f>SUM(K160,K172,K173)</f>
        <v>0</v>
      </c>
      <c r="L174" s="1673">
        <f>SUM(L160,L172,L173)</f>
        <v>0</v>
      </c>
    </row>
    <row r="175" spans="1:14" ht="13.5" thickTop="1" x14ac:dyDescent="0.2">
      <c r="A175" s="2387" t="s">
        <v>996</v>
      </c>
      <c r="B175" s="2388"/>
      <c r="C175" s="613"/>
      <c r="D175" s="613"/>
      <c r="E175" s="613"/>
      <c r="F175" s="613"/>
      <c r="G175" s="613"/>
      <c r="H175" s="615"/>
      <c r="I175" s="613"/>
      <c r="J175" s="613"/>
      <c r="K175" s="1680">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2057</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0</v>
      </c>
      <c r="D182" s="466">
        <v>0</v>
      </c>
      <c r="E182" s="466">
        <v>0</v>
      </c>
      <c r="F182" s="466">
        <v>0</v>
      </c>
      <c r="G182" s="466">
        <v>0</v>
      </c>
      <c r="H182" s="466">
        <v>0</v>
      </c>
      <c r="I182" s="467">
        <v>0</v>
      </c>
      <c r="J182" s="467">
        <v>0</v>
      </c>
      <c r="K182" s="1667">
        <f>SUM(C182:J182)</f>
        <v>0</v>
      </c>
      <c r="L182" s="466">
        <v>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0</v>
      </c>
      <c r="D184" s="1673">
        <f t="shared" ref="D184:J184" si="17">SUM(D180,D182,D183)</f>
        <v>0</v>
      </c>
      <c r="E184" s="1673">
        <f t="shared" si="17"/>
        <v>0</v>
      </c>
      <c r="F184" s="1673">
        <f t="shared" si="17"/>
        <v>0</v>
      </c>
      <c r="G184" s="1673">
        <f t="shared" si="17"/>
        <v>0</v>
      </c>
      <c r="H184" s="1673">
        <f t="shared" si="17"/>
        <v>0</v>
      </c>
      <c r="I184" s="1673">
        <f t="shared" si="17"/>
        <v>0</v>
      </c>
      <c r="J184" s="1673">
        <f t="shared" si="17"/>
        <v>0</v>
      </c>
      <c r="K184" s="1673">
        <f>SUM(K180,K182,K183)</f>
        <v>0</v>
      </c>
      <c r="L184" s="1673">
        <f>SUM(L180, L182:L183)</f>
        <v>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0</v>
      </c>
      <c r="D210" s="1666">
        <f>SUM(D184,D185)</f>
        <v>0</v>
      </c>
      <c r="E210" s="1666">
        <f>SUM(E184,E185,E196)</f>
        <v>0</v>
      </c>
      <c r="F210" s="1666">
        <f>SUM(F184,F185)</f>
        <v>0</v>
      </c>
      <c r="G210" s="1666">
        <f>SUM(G184,G185)</f>
        <v>0</v>
      </c>
      <c r="H210" s="1666">
        <f>SUM(H184,H185,H196,H208,H209)</f>
        <v>0</v>
      </c>
      <c r="I210" s="1666">
        <f>SUM(I184,I185)</f>
        <v>0</v>
      </c>
      <c r="J210" s="1666">
        <f>SUM(J184,J185)</f>
        <v>0</v>
      </c>
      <c r="K210" s="1667">
        <f>SUM(K184,K185,K196,K208,K209)</f>
        <v>0</v>
      </c>
      <c r="L210" s="1666">
        <f>SUM(L184,L185,L196,L208,L209)</f>
        <v>0</v>
      </c>
    </row>
    <row r="211" spans="1:14" ht="13.5" thickTop="1" x14ac:dyDescent="0.2">
      <c r="A211" s="2387" t="s">
        <v>996</v>
      </c>
      <c r="B211" s="2388"/>
      <c r="C211" s="615"/>
      <c r="D211" s="615"/>
      <c r="E211" s="615"/>
      <c r="F211" s="615"/>
      <c r="G211" s="615"/>
      <c r="H211" s="615"/>
      <c r="I211" s="613"/>
      <c r="J211" s="613"/>
      <c r="K211" s="1680">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409" t="s">
        <v>965</v>
      </c>
      <c r="B213" s="2410"/>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0</v>
      </c>
      <c r="E215" s="613"/>
      <c r="F215" s="613"/>
      <c r="G215" s="613"/>
      <c r="H215" s="613"/>
      <c r="I215" s="613"/>
      <c r="J215" s="613"/>
      <c r="K215" s="1667">
        <f>D215</f>
        <v>0</v>
      </c>
      <c r="L215" s="466">
        <v>0</v>
      </c>
    </row>
    <row r="216" spans="1:14" x14ac:dyDescent="0.2">
      <c r="A216" s="1500" t="s">
        <v>163</v>
      </c>
      <c r="B216" s="611" t="s">
        <v>967</v>
      </c>
      <c r="C216" s="613"/>
      <c r="D216" s="467">
        <v>0</v>
      </c>
      <c r="E216" s="613"/>
      <c r="F216" s="613"/>
      <c r="G216" s="613"/>
      <c r="H216" s="613"/>
      <c r="I216" s="613"/>
      <c r="J216" s="613"/>
      <c r="K216" s="1667">
        <f t="shared" ref="K216:K228" si="19">D216</f>
        <v>0</v>
      </c>
      <c r="L216" s="466">
        <v>0</v>
      </c>
    </row>
    <row r="217" spans="1:14" x14ac:dyDescent="0.2">
      <c r="A217" s="1500" t="s">
        <v>164</v>
      </c>
      <c r="B217" s="611">
        <v>1200</v>
      </c>
      <c r="C217" s="613"/>
      <c r="D217" s="466">
        <v>0</v>
      </c>
      <c r="E217" s="613"/>
      <c r="F217" s="613"/>
      <c r="G217" s="613"/>
      <c r="H217" s="613"/>
      <c r="I217" s="613"/>
      <c r="J217" s="613"/>
      <c r="K217" s="1667">
        <f t="shared" si="19"/>
        <v>0</v>
      </c>
      <c r="L217" s="466">
        <v>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0</v>
      </c>
      <c r="E219" s="613"/>
      <c r="F219" s="613"/>
      <c r="G219" s="613"/>
      <c r="H219" s="613"/>
      <c r="I219" s="613"/>
      <c r="J219" s="613"/>
      <c r="K219" s="1667">
        <f t="shared" si="19"/>
        <v>0</v>
      </c>
      <c r="L219" s="466">
        <v>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0</v>
      </c>
      <c r="E222" s="613"/>
      <c r="F222" s="613"/>
      <c r="G222" s="613"/>
      <c r="H222" s="613"/>
      <c r="I222" s="613"/>
      <c r="J222" s="613"/>
      <c r="K222" s="1667">
        <f t="shared" si="19"/>
        <v>0</v>
      </c>
      <c r="L222" s="466">
        <v>0</v>
      </c>
    </row>
    <row r="223" spans="1:14" x14ac:dyDescent="0.2">
      <c r="A223" s="1500" t="s">
        <v>963</v>
      </c>
      <c r="B223" s="611">
        <v>1500</v>
      </c>
      <c r="C223" s="613"/>
      <c r="D223" s="466">
        <v>0</v>
      </c>
      <c r="E223" s="613"/>
      <c r="F223" s="613"/>
      <c r="G223" s="613"/>
      <c r="H223" s="613"/>
      <c r="I223" s="613"/>
      <c r="J223" s="613"/>
      <c r="K223" s="1667">
        <f t="shared" si="19"/>
        <v>0</v>
      </c>
      <c r="L223" s="466">
        <v>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0</v>
      </c>
      <c r="E229" s="613"/>
      <c r="F229" s="613"/>
      <c r="G229" s="613"/>
      <c r="H229" s="613"/>
      <c r="I229" s="613"/>
      <c r="J229" s="613"/>
      <c r="K229" s="1666">
        <f>SUM(K215:K228)</f>
        <v>0</v>
      </c>
      <c r="L229" s="1666">
        <f>SUM(L215:L228)</f>
        <v>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0</v>
      </c>
      <c r="E233" s="613"/>
      <c r="F233" s="613"/>
      <c r="G233" s="613"/>
      <c r="H233" s="613"/>
      <c r="I233" s="613"/>
      <c r="J233" s="613"/>
      <c r="K233" s="1667">
        <f t="shared" si="20"/>
        <v>0</v>
      </c>
      <c r="L233" s="466">
        <v>0</v>
      </c>
    </row>
    <row r="234" spans="1:12" x14ac:dyDescent="0.2">
      <c r="A234" s="1500" t="s">
        <v>198</v>
      </c>
      <c r="B234" s="611">
        <v>2130</v>
      </c>
      <c r="C234" s="613"/>
      <c r="D234" s="466">
        <v>0</v>
      </c>
      <c r="E234" s="613"/>
      <c r="F234" s="613"/>
      <c r="G234" s="613"/>
      <c r="H234" s="613"/>
      <c r="I234" s="613"/>
      <c r="J234" s="613"/>
      <c r="K234" s="1667">
        <f t="shared" si="20"/>
        <v>0</v>
      </c>
      <c r="L234" s="466">
        <v>0</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0</v>
      </c>
      <c r="E238" s="613"/>
      <c r="F238" s="613"/>
      <c r="G238" s="613"/>
      <c r="H238" s="613"/>
      <c r="I238" s="613"/>
      <c r="J238" s="613"/>
      <c r="K238" s="1666">
        <f>SUM(K232:K237)</f>
        <v>0</v>
      </c>
      <c r="L238" s="1666">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0</v>
      </c>
      <c r="E240" s="613"/>
      <c r="F240" s="613"/>
      <c r="G240" s="613"/>
      <c r="H240" s="613"/>
      <c r="I240" s="613"/>
      <c r="J240" s="613"/>
      <c r="K240" s="1668">
        <f>D240</f>
        <v>0</v>
      </c>
      <c r="L240" s="479">
        <v>0</v>
      </c>
    </row>
    <row r="241" spans="1:12" x14ac:dyDescent="0.2">
      <c r="A241" s="1500" t="s">
        <v>815</v>
      </c>
      <c r="B241" s="611">
        <v>2220</v>
      </c>
      <c r="C241" s="613"/>
      <c r="D241" s="466">
        <v>0</v>
      </c>
      <c r="E241" s="613"/>
      <c r="F241" s="613"/>
      <c r="G241" s="613"/>
      <c r="H241" s="613"/>
      <c r="I241" s="613"/>
      <c r="J241" s="613"/>
      <c r="K241" s="1668">
        <f>D241</f>
        <v>0</v>
      </c>
      <c r="L241" s="466">
        <v>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0</v>
      </c>
      <c r="E243" s="613"/>
      <c r="F243" s="613"/>
      <c r="G243" s="613"/>
      <c r="H243" s="613"/>
      <c r="I243" s="613"/>
      <c r="J243" s="613"/>
      <c r="K243" s="1666">
        <f>SUM(K240:K242)</f>
        <v>0</v>
      </c>
      <c r="L243" s="1666">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0</v>
      </c>
      <c r="E245" s="613"/>
      <c r="F245" s="613"/>
      <c r="G245" s="613"/>
      <c r="H245" s="613"/>
      <c r="I245" s="613"/>
      <c r="J245" s="613"/>
      <c r="K245" s="1668">
        <f>D245</f>
        <v>0</v>
      </c>
      <c r="L245" s="479">
        <v>0</v>
      </c>
    </row>
    <row r="246" spans="1:12" x14ac:dyDescent="0.2">
      <c r="A246" s="1500" t="s">
        <v>818</v>
      </c>
      <c r="B246" s="611">
        <v>2320</v>
      </c>
      <c r="C246" s="613"/>
      <c r="D246" s="466">
        <v>0</v>
      </c>
      <c r="E246" s="613"/>
      <c r="F246" s="613"/>
      <c r="G246" s="613"/>
      <c r="H246" s="613"/>
      <c r="I246" s="613"/>
      <c r="J246" s="613"/>
      <c r="K246" s="1668">
        <f t="shared" ref="K246:K256" si="21">D246</f>
        <v>0</v>
      </c>
      <c r="L246" s="466">
        <v>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1802</v>
      </c>
      <c r="B249" s="680" t="s">
        <v>282</v>
      </c>
      <c r="C249" s="613"/>
      <c r="D249" s="473">
        <v>0</v>
      </c>
      <c r="E249" s="613"/>
      <c r="F249" s="613"/>
      <c r="G249" s="613"/>
      <c r="H249" s="613"/>
      <c r="I249" s="613"/>
      <c r="J249" s="613"/>
      <c r="K249" s="1668">
        <f t="shared" si="21"/>
        <v>0</v>
      </c>
      <c r="L249" s="466">
        <v>0</v>
      </c>
    </row>
    <row r="250" spans="1:12" x14ac:dyDescent="0.2">
      <c r="A250" s="1501" t="s">
        <v>1803</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0</v>
      </c>
      <c r="E257" s="613"/>
      <c r="F257" s="613"/>
      <c r="G257" s="613"/>
      <c r="H257" s="613"/>
      <c r="I257" s="613"/>
      <c r="J257" s="613"/>
      <c r="K257" s="1666">
        <f>SUM(K245:K256)</f>
        <v>0</v>
      </c>
      <c r="L257" s="1666">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0</v>
      </c>
      <c r="E259" s="613"/>
      <c r="F259" s="613"/>
      <c r="G259" s="613"/>
      <c r="H259" s="613"/>
      <c r="I259" s="613"/>
      <c r="J259" s="613"/>
      <c r="K259" s="1668">
        <f>D259</f>
        <v>0</v>
      </c>
      <c r="L259" s="479">
        <v>0</v>
      </c>
    </row>
    <row r="260" spans="1:14" s="594" customFormat="1" x14ac:dyDescent="0.2">
      <c r="A260" s="1518" t="s">
        <v>1801</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0</v>
      </c>
      <c r="E261" s="613"/>
      <c r="F261" s="613"/>
      <c r="G261" s="613"/>
      <c r="H261" s="613"/>
      <c r="I261" s="613"/>
      <c r="J261" s="613"/>
      <c r="K261" s="1666">
        <f>SUM(K259:K260)</f>
        <v>0</v>
      </c>
      <c r="L261" s="1666">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0</v>
      </c>
      <c r="E264" s="613"/>
      <c r="F264" s="613"/>
      <c r="G264" s="613"/>
      <c r="H264" s="613"/>
      <c r="I264" s="613"/>
      <c r="J264" s="613"/>
      <c r="K264" s="1668">
        <f t="shared" ref="K264:K269" si="22">D264</f>
        <v>0</v>
      </c>
      <c r="L264" s="466">
        <v>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0</v>
      </c>
      <c r="E266" s="613"/>
      <c r="F266" s="613"/>
      <c r="G266" s="613"/>
      <c r="H266" s="613"/>
      <c r="I266" s="613"/>
      <c r="J266" s="613"/>
      <c r="K266" s="1668">
        <f t="shared" si="22"/>
        <v>0</v>
      </c>
      <c r="L266" s="466">
        <v>0</v>
      </c>
    </row>
    <row r="267" spans="1:14" x14ac:dyDescent="0.2">
      <c r="A267" s="1500" t="s">
        <v>953</v>
      </c>
      <c r="B267" s="611">
        <v>2550</v>
      </c>
      <c r="C267" s="613"/>
      <c r="D267" s="466">
        <v>0</v>
      </c>
      <c r="E267" s="613"/>
      <c r="F267" s="613"/>
      <c r="G267" s="613"/>
      <c r="H267" s="613"/>
      <c r="I267" s="613"/>
      <c r="J267" s="613"/>
      <c r="K267" s="1668">
        <f t="shared" si="22"/>
        <v>0</v>
      </c>
      <c r="L267" s="466">
        <v>0</v>
      </c>
    </row>
    <row r="268" spans="1:14" x14ac:dyDescent="0.2">
      <c r="A268" s="1500" t="s">
        <v>100</v>
      </c>
      <c r="B268" s="611">
        <v>2560</v>
      </c>
      <c r="C268" s="613"/>
      <c r="D268" s="466">
        <v>0</v>
      </c>
      <c r="E268" s="613"/>
      <c r="F268" s="613"/>
      <c r="G268" s="613"/>
      <c r="H268" s="613"/>
      <c r="I268" s="613"/>
      <c r="J268" s="613"/>
      <c r="K268" s="1668">
        <f t="shared" si="22"/>
        <v>0</v>
      </c>
      <c r="L268" s="466">
        <v>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0</v>
      </c>
      <c r="E270" s="613"/>
      <c r="F270" s="613"/>
      <c r="G270" s="613"/>
      <c r="H270" s="613"/>
      <c r="I270" s="613"/>
      <c r="J270" s="613"/>
      <c r="K270" s="1666">
        <f>SUM(K263:K269)</f>
        <v>0</v>
      </c>
      <c r="L270" s="1666">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0</v>
      </c>
      <c r="E279" s="613"/>
      <c r="F279" s="613"/>
      <c r="G279" s="613"/>
      <c r="H279" s="613"/>
      <c r="I279" s="613"/>
      <c r="J279" s="613"/>
      <c r="K279" s="1673">
        <f>SUM(K238,K243,K257,K261,K270,K277,K278)</f>
        <v>0</v>
      </c>
      <c r="L279" s="1673">
        <f>SUM(L238,L243,L257,L261,L270,L277,L278)</f>
        <v>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1842</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405" t="s">
        <v>505</v>
      </c>
      <c r="B295" s="2406"/>
      <c r="C295" s="613"/>
      <c r="D295" s="1666">
        <f>SUM(D229,D279,D280,D285)</f>
        <v>0</v>
      </c>
      <c r="E295" s="613"/>
      <c r="F295" s="613"/>
      <c r="G295" s="613"/>
      <c r="H295" s="1666">
        <f>H293</f>
        <v>0</v>
      </c>
      <c r="I295" s="613"/>
      <c r="J295" s="613"/>
      <c r="K295" s="1666">
        <f>SUM(K229,K279,K280,K285,K293,K294)</f>
        <v>0</v>
      </c>
      <c r="L295" s="1666">
        <f>SUM(L229,L279,L280,L285,L293,L294)</f>
        <v>0</v>
      </c>
    </row>
    <row r="296" spans="1:14" ht="13.5" thickTop="1" x14ac:dyDescent="0.2">
      <c r="A296" s="2387" t="s">
        <v>996</v>
      </c>
      <c r="B296" s="2388"/>
      <c r="C296" s="613"/>
      <c r="D296" s="615"/>
      <c r="E296" s="613"/>
      <c r="F296" s="613"/>
      <c r="G296" s="613"/>
      <c r="H296" s="684"/>
      <c r="I296" s="613"/>
      <c r="J296" s="613"/>
      <c r="K296" s="1680">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97" t="s">
        <v>143</v>
      </c>
      <c r="B298" s="2391"/>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0</v>
      </c>
      <c r="F301" s="466">
        <v>0</v>
      </c>
      <c r="G301" s="466">
        <v>0</v>
      </c>
      <c r="H301" s="466">
        <v>0</v>
      </c>
      <c r="I301" s="467">
        <v>0</v>
      </c>
      <c r="J301" s="467">
        <v>0</v>
      </c>
      <c r="K301" s="1667">
        <f>SUM(C301:J301)</f>
        <v>0</v>
      </c>
      <c r="L301" s="467">
        <v>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1847</v>
      </c>
      <c r="B306" s="687" t="s">
        <v>1842</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402" t="s">
        <v>277</v>
      </c>
      <c r="B312" s="2403"/>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2"/>
      <c r="N312" s="662"/>
    </row>
    <row r="313" spans="1:14" ht="13.5" thickTop="1" x14ac:dyDescent="0.2">
      <c r="A313" s="2398" t="s">
        <v>996</v>
      </c>
      <c r="B313" s="2399"/>
      <c r="C313" s="623"/>
      <c r="D313" s="623"/>
      <c r="E313" s="623"/>
      <c r="F313" s="623"/>
      <c r="G313" s="623"/>
      <c r="H313" s="623"/>
      <c r="I313" s="623"/>
      <c r="J313" s="623"/>
      <c r="K313" s="1681">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411" t="s">
        <v>149</v>
      </c>
      <c r="B315" s="2412"/>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413" t="s">
        <v>898</v>
      </c>
      <c r="B317" s="2412"/>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1802</v>
      </c>
      <c r="B320" s="695" t="s">
        <v>282</v>
      </c>
      <c r="C320" s="467">
        <v>0</v>
      </c>
      <c r="D320" s="467">
        <v>0</v>
      </c>
      <c r="E320" s="467">
        <v>0</v>
      </c>
      <c r="F320" s="467">
        <v>0</v>
      </c>
      <c r="G320" s="467">
        <v>0</v>
      </c>
      <c r="H320" s="467">
        <v>0</v>
      </c>
      <c r="I320" s="467">
        <v>0</v>
      </c>
      <c r="J320" s="467">
        <v>0</v>
      </c>
      <c r="K320" s="1667">
        <f t="shared" ref="K320:K327" si="24">SUM(C320:J320)</f>
        <v>0</v>
      </c>
      <c r="L320" s="467">
        <v>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0</v>
      </c>
      <c r="M321" s="662"/>
      <c r="N321" s="662"/>
    </row>
    <row r="322" spans="1:14" s="671" customFormat="1" x14ac:dyDescent="0.2">
      <c r="A322" s="1515" t="s">
        <v>238</v>
      </c>
      <c r="B322" s="694" t="s">
        <v>284</v>
      </c>
      <c r="C322" s="467">
        <v>0</v>
      </c>
      <c r="D322" s="467">
        <v>0</v>
      </c>
      <c r="E322" s="467">
        <v>0</v>
      </c>
      <c r="F322" s="467">
        <v>0</v>
      </c>
      <c r="G322" s="467">
        <v>0</v>
      </c>
      <c r="H322" s="467">
        <v>0</v>
      </c>
      <c r="I322" s="467">
        <v>0</v>
      </c>
      <c r="J322" s="467">
        <v>0</v>
      </c>
      <c r="K322" s="1667">
        <f t="shared" si="24"/>
        <v>0</v>
      </c>
      <c r="L322" s="467">
        <v>0</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0</v>
      </c>
      <c r="D325" s="467">
        <v>0</v>
      </c>
      <c r="E325" s="467">
        <v>0</v>
      </c>
      <c r="F325" s="467">
        <v>0</v>
      </c>
      <c r="G325" s="467">
        <v>0</v>
      </c>
      <c r="H325" s="467">
        <v>0</v>
      </c>
      <c r="I325" s="467">
        <v>0</v>
      </c>
      <c r="J325" s="467">
        <v>0</v>
      </c>
      <c r="K325" s="1667">
        <f t="shared" si="24"/>
        <v>0</v>
      </c>
      <c r="L325" s="467">
        <v>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0</v>
      </c>
      <c r="F327" s="467">
        <v>0</v>
      </c>
      <c r="G327" s="467">
        <v>0</v>
      </c>
      <c r="H327" s="467">
        <v>0</v>
      </c>
      <c r="I327" s="467">
        <v>0</v>
      </c>
      <c r="J327" s="467">
        <v>0</v>
      </c>
      <c r="K327" s="1667">
        <f t="shared" si="24"/>
        <v>0</v>
      </c>
      <c r="L327" s="467">
        <v>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0</v>
      </c>
      <c r="D330" s="1666">
        <f t="shared" ref="D330:J330" si="25">SUM(D319:D329)</f>
        <v>0</v>
      </c>
      <c r="E330" s="1666">
        <f t="shared" si="25"/>
        <v>0</v>
      </c>
      <c r="F330" s="1666">
        <f t="shared" si="25"/>
        <v>0</v>
      </c>
      <c r="G330" s="1666">
        <f t="shared" si="25"/>
        <v>0</v>
      </c>
      <c r="H330" s="1666">
        <f t="shared" si="25"/>
        <v>0</v>
      </c>
      <c r="I330" s="1666">
        <f t="shared" si="25"/>
        <v>0</v>
      </c>
      <c r="J330" s="1666">
        <f t="shared" si="25"/>
        <v>0</v>
      </c>
      <c r="K330" s="1666">
        <f>SUM(K319:K329)</f>
        <v>0</v>
      </c>
      <c r="L330" s="1666">
        <f>SUM(L319:L329)</f>
        <v>0</v>
      </c>
      <c r="M330" s="662"/>
      <c r="N330" s="662"/>
    </row>
    <row r="331" spans="1:14" s="671" customFormat="1" ht="12.75" customHeight="1" thickTop="1" x14ac:dyDescent="0.2">
      <c r="A331" s="1827" t="s">
        <v>1848</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1842</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1844</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1849</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0</v>
      </c>
      <c r="D342" s="1666">
        <f>SUM(D330)</f>
        <v>0</v>
      </c>
      <c r="E342" s="1666">
        <f>SUM(E330)</f>
        <v>0</v>
      </c>
      <c r="F342" s="1666">
        <f>SUM(F330)</f>
        <v>0</v>
      </c>
      <c r="G342" s="1666">
        <f>SUM(G330)</f>
        <v>0</v>
      </c>
      <c r="H342" s="1666">
        <f>SUM(H330,H334,H340)</f>
        <v>0</v>
      </c>
      <c r="I342" s="1666">
        <f>SUM(I330)</f>
        <v>0</v>
      </c>
      <c r="J342" s="1666">
        <f>SUM(J330)</f>
        <v>0</v>
      </c>
      <c r="K342" s="1666">
        <f>SUM(K330,K334,K340)</f>
        <v>0</v>
      </c>
      <c r="L342" s="1673">
        <f>SUM(L330,L340,L341)</f>
        <v>0</v>
      </c>
    </row>
    <row r="343" spans="1:14" ht="12.75" customHeight="1" thickTop="1" x14ac:dyDescent="0.2">
      <c r="A343" s="2400" t="s">
        <v>996</v>
      </c>
      <c r="B343" s="2401"/>
      <c r="C343" s="613"/>
      <c r="D343" s="613"/>
      <c r="E343" s="613"/>
      <c r="F343" s="613"/>
      <c r="G343" s="613"/>
      <c r="H343" s="613"/>
      <c r="I343" s="613"/>
      <c r="J343" s="613"/>
      <c r="K343" s="1680">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90" t="s">
        <v>966</v>
      </c>
      <c r="B345" s="2391"/>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1850</v>
      </c>
      <c r="B354" s="680" t="s">
        <v>1842</v>
      </c>
      <c r="C354" s="613"/>
      <c r="D354" s="613"/>
      <c r="E354" s="613"/>
      <c r="F354" s="613"/>
      <c r="G354" s="613"/>
      <c r="H354" s="473">
        <v>0</v>
      </c>
      <c r="I354" s="698"/>
      <c r="J354" s="613"/>
      <c r="K354" s="1695">
        <f>H354</f>
        <v>0</v>
      </c>
      <c r="L354" s="471">
        <v>0</v>
      </c>
    </row>
    <row r="355" spans="1:14" ht="12.75" customHeight="1" x14ac:dyDescent="0.2">
      <c r="A355" s="1509" t="s">
        <v>1851</v>
      </c>
      <c r="B355" s="687" t="s">
        <v>1844</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387" t="s">
        <v>996</v>
      </c>
      <c r="B368" s="2388"/>
      <c r="C368" s="651"/>
      <c r="D368" s="651"/>
      <c r="E368" s="623"/>
      <c r="F368" s="623"/>
      <c r="G368" s="623"/>
      <c r="H368" s="623"/>
      <c r="I368" s="623"/>
      <c r="J368" s="620"/>
      <c r="K368" s="1667">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61" bottom="0.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d21dc803-237d-4c68-8692-8d731fd29118"/>
    <ds:schemaRef ds:uri="http://schemas.microsoft.com/sharepoint/v3"/>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4d435f69-8686-490b-bd6d-b153bf22ab50"/>
    <ds:schemaRef ds:uri="6ce3111e-7420-4802-b50a-75d4e9a0b980"/>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SF&amp;QC Sec-2</vt:lpstr>
      <vt:lpstr>Finding 2019-001</vt:lpstr>
      <vt:lpstr>Finding 2019-002</vt:lpstr>
      <vt:lpstr>SF&amp;QC Sec-3</vt:lpstr>
      <vt:lpstr>SSPAF</vt:lpstr>
      <vt:lpstr>CAP 2019-001</vt:lpstr>
      <vt:lpstr>CAP 2019-002</vt:lpstr>
      <vt:lpstr>' SEFA'!Print_Area</vt:lpstr>
      <vt:lpstr>'Finding 2019-002'!Print_Area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2019-10-24T14:22:30Z</cp:lastPrinted>
  <dcterms:created xsi:type="dcterms:W3CDTF">2003-10-29T19:06:34Z</dcterms:created>
  <dcterms:modified xsi:type="dcterms:W3CDTF">2019-12-17T19:19:21Z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