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Joint Agreements 19\"/>
    </mc:Choice>
  </mc:AlternateContent>
  <xr:revisionPtr revIDLastSave="0" documentId="8_{07B1A8BC-553C-4474-8583-64DFDED5428F}" xr6:coauthVersionLast="36" xr6:coauthVersionMax="36" xr10:uidLastSave="{00000000-0000-0000-0000-000000000000}"/>
  <bookViews>
    <workbookView xWindow="-1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SEFA'!$B$1:$M$46</definedName>
    <definedName name="_xlnm.Print_Area" localSheetId="28">'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16">'Shared Outsourced Services 31'!$A$1:$G$55</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6" i="183" l="1"/>
  <c r="L27" i="183"/>
  <c r="L26" i="183"/>
  <c r="L25" i="183"/>
  <c r="L24" i="183"/>
  <c r="L23" i="183"/>
  <c r="L22" i="183"/>
  <c r="L21" i="183"/>
  <c r="L20" i="183"/>
  <c r="L19" i="183"/>
  <c r="L18" i="183"/>
  <c r="L17" i="183"/>
  <c r="L15" i="183"/>
  <c r="L14" i="183"/>
  <c r="L13" i="183"/>
  <c r="L12" i="183"/>
  <c r="L11" i="183"/>
  <c r="B4" i="183"/>
  <c r="B2" i="183"/>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6" i="106"/>
  <c r="D7802" i="106"/>
  <c r="D7801"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s="1"/>
  <c r="D81" i="36" s="1"/>
  <c r="F79" i="34" l="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E40" i="181"/>
  <c r="F40" i="181" s="1"/>
  <c r="G40" i="181" s="1"/>
  <c r="E39" i="181"/>
  <c r="F39" i="181" s="1"/>
  <c r="G39" i="181" s="1"/>
  <c r="G38" i="181"/>
  <c r="E38" i="181"/>
  <c r="F38" i="181" s="1"/>
  <c r="E37" i="181"/>
  <c r="F37" i="181" s="1"/>
  <c r="G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E26" i="181"/>
  <c r="F26" i="181" s="1"/>
  <c r="G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F33" i="181"/>
  <c r="G33" i="181" s="1"/>
  <c r="F29" i="181"/>
  <c r="G29" i="181" s="1"/>
  <c r="F27" i="181"/>
  <c r="G27" i="181" s="1"/>
  <c r="F25" i="181"/>
  <c r="G25" i="181" s="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C217" i="5"/>
  <c r="C221" i="5"/>
  <c r="C252" i="5"/>
  <c r="B7761" i="106"/>
  <c r="D7761" i="106" s="1"/>
  <c r="L127" i="29"/>
  <c r="L129" i="29" s="1"/>
  <c r="L139" i="29"/>
  <c r="L149" i="29"/>
  <c r="I7" i="145"/>
  <c r="I6" i="145"/>
  <c r="D78" i="36"/>
  <c r="K75" i="29"/>
  <c r="K130" i="29"/>
  <c r="K185" i="29"/>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E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K83" i="29"/>
  <c r="B2978" i="106" s="1"/>
  <c r="D2978" i="106" s="1"/>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4" i="29" s="1"/>
  <c r="F13" i="4" s="1"/>
  <c r="B2596" i="106" s="1"/>
  <c r="D2596" i="106" s="1"/>
  <c r="K188" i="29"/>
  <c r="B3007" i="106" s="1"/>
  <c r="D3007" i="106" s="1"/>
  <c r="K189" i="29"/>
  <c r="K190" i="29"/>
  <c r="K191" i="29"/>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B7086" i="106" s="1"/>
  <c r="D7086" i="106" s="1"/>
  <c r="K251" i="29"/>
  <c r="K252" i="29"/>
  <c r="K253" i="29"/>
  <c r="K254" i="29"/>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H28" i="118" s="1"/>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5" i="106"/>
  <c r="D628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4" i="36"/>
  <c r="D68" i="36"/>
  <c r="D69" i="36"/>
  <c r="D71" i="36"/>
  <c r="D72" i="36"/>
  <c r="D79" i="36"/>
  <c r="B64" i="127"/>
  <c r="B65" i="127"/>
  <c r="D26" i="108"/>
  <c r="E26" i="108"/>
  <c r="F26" i="108"/>
  <c r="G26" i="108"/>
  <c r="D27" i="108"/>
  <c r="E27" i="108"/>
  <c r="F27" i="108"/>
  <c r="G27" i="108"/>
  <c r="F31" i="108"/>
  <c r="F36" i="108"/>
  <c r="F37" i="108"/>
  <c r="G28" i="108"/>
  <c r="E29" i="108"/>
  <c r="G29" i="108"/>
  <c r="E30" i="108"/>
  <c r="G30" i="108"/>
  <c r="D31" i="108"/>
  <c r="D37" i="108"/>
  <c r="E31" i="108"/>
  <c r="G31" i="108"/>
  <c r="E33"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F42" i="34"/>
  <c r="C43" i="34"/>
  <c r="D43" i="34"/>
  <c r="C44" i="34"/>
  <c r="D44" i="34"/>
  <c r="F44" i="34"/>
  <c r="C45" i="34"/>
  <c r="D45" i="34"/>
  <c r="C46" i="34"/>
  <c r="D46" i="34"/>
  <c r="C47" i="34"/>
  <c r="D47" i="34"/>
  <c r="C48" i="34"/>
  <c r="D48" i="34"/>
  <c r="C49" i="34"/>
  <c r="D49" i="34"/>
  <c r="C50" i="34"/>
  <c r="D50" i="34"/>
  <c r="F50" i="34"/>
  <c r="C51" i="34"/>
  <c r="D51" i="34"/>
  <c r="C52" i="34"/>
  <c r="F52" i="34"/>
  <c r="C53" i="34"/>
  <c r="D53" i="34"/>
  <c r="C56" i="34"/>
  <c r="F56" i="34"/>
  <c r="C57" i="34"/>
  <c r="D57" i="34"/>
  <c r="C61" i="34"/>
  <c r="C62" i="34"/>
  <c r="F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9" i="118"/>
  <c r="H33" i="118"/>
  <c r="D11" i="37"/>
  <c r="D22" i="37"/>
  <c r="J22" i="37"/>
  <c r="D24" i="37"/>
  <c r="B4270" i="106" s="1"/>
  <c r="D4270" i="106" s="1"/>
  <c r="L5" i="11"/>
  <c r="B2056" i="106" s="1"/>
  <c r="D2056" i="106" s="1"/>
  <c r="D9" i="7"/>
  <c r="B1767" i="106" s="1"/>
  <c r="D1767" i="106" s="1"/>
  <c r="B5752" i="106"/>
  <c r="D5752" i="106" s="1"/>
  <c r="L13" i="11" l="1"/>
  <c r="B2060" i="106" s="1"/>
  <c r="D2060" i="106" s="1"/>
  <c r="D36" i="108"/>
  <c r="F28" i="108"/>
  <c r="E28" i="108"/>
  <c r="G38" i="108"/>
  <c r="J77" i="4"/>
  <c r="B6262" i="106" s="1"/>
  <c r="D6262" i="106" s="1"/>
  <c r="B1308" i="106"/>
  <c r="D1308" i="106" s="1"/>
  <c r="E174" i="29"/>
  <c r="B1309" i="106" s="1"/>
  <c r="D1309" i="106" s="1"/>
  <c r="E38" i="108"/>
  <c r="F77" i="4"/>
  <c r="B3255" i="106" s="1"/>
  <c r="D3255" i="106" s="1"/>
  <c r="K28" i="118"/>
  <c r="O27" i="118" s="1"/>
  <c r="O29" i="118" s="1"/>
  <c r="F49" i="34"/>
  <c r="G34" i="108"/>
  <c r="B7235" i="106"/>
  <c r="D7235" i="106" s="1"/>
  <c r="J129" i="29"/>
  <c r="B7038" i="106" s="1"/>
  <c r="D7038" i="106" s="1"/>
  <c r="L15" i="11"/>
  <c r="B3459" i="106" s="1"/>
  <c r="D3459" i="106" s="1"/>
  <c r="C129" i="29"/>
  <c r="L22" i="37"/>
  <c r="F19" i="7"/>
  <c r="B1807" i="106" s="1"/>
  <c r="D1807" i="106" s="1"/>
  <c r="F46" i="34"/>
  <c r="D7245" i="106"/>
  <c r="H365" i="29"/>
  <c r="B7242" i="106" s="1"/>
  <c r="D7242" i="106" s="1"/>
  <c r="C352" i="29"/>
  <c r="G210" i="29"/>
  <c r="D17" i="7"/>
  <c r="B4104" i="106" s="1"/>
  <c r="D4104" i="106" s="1"/>
  <c r="L342" i="29"/>
  <c r="B4087" i="106"/>
  <c r="D4087" i="106" s="1"/>
  <c r="K41" i="3"/>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174" i="34" s="1"/>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D44" i="36"/>
  <c r="E266" i="5"/>
  <c r="B6835" i="106"/>
  <c r="D6835" i="106" s="1"/>
  <c r="G266" i="5"/>
  <c r="B4398" i="106"/>
  <c r="D4398" i="106" s="1"/>
  <c r="B5537" i="106"/>
  <c r="D5537" i="106" s="1"/>
  <c r="E170" i="5"/>
  <c r="I109" i="5"/>
  <c r="L279" i="29"/>
  <c r="L295" i="29" s="1"/>
  <c r="L74" i="29"/>
  <c r="L114" i="29" s="1"/>
  <c r="K33" i="29"/>
  <c r="B720" i="106"/>
  <c r="D720" i="106" s="1"/>
  <c r="B7618" i="106"/>
  <c r="L14" i="11"/>
  <c r="B7623" i="106" s="1"/>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66"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L16" i="11" l="1"/>
  <c r="B2061" i="106" s="1"/>
  <c r="D2061" i="106" s="1"/>
  <c r="C114" i="29"/>
  <c r="B757" i="106" s="1"/>
  <c r="D757" i="106" s="1"/>
  <c r="B3568" i="106"/>
  <c r="D3568" i="106" s="1"/>
  <c r="D52" i="36"/>
  <c r="D7255" i="106"/>
  <c r="B5527" i="106"/>
  <c r="D5527" i="106" s="1"/>
  <c r="D7256" i="106"/>
  <c r="D7250" i="106"/>
  <c r="B1328" i="106"/>
  <c r="D1328" i="106" s="1"/>
  <c r="D7252" i="106"/>
  <c r="B1365" i="106"/>
  <c r="D1365" i="106" s="1"/>
  <c r="F65" i="34"/>
  <c r="B1996" i="106"/>
  <c r="D1996" i="106" s="1"/>
  <c r="I26" i="12"/>
  <c r="B7741" i="106" s="1"/>
  <c r="D7741" i="106" s="1"/>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B1145" i="106" l="1"/>
  <c r="D1145" i="106" s="1"/>
  <c r="D268" i="5"/>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F76" i="34" l="1"/>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<sst xmlns="http://schemas.openxmlformats.org/spreadsheetml/2006/main" count="5161" uniqueCount="2129">
  <si>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</si>
  <si>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</si>
  <si>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</si>
  <si>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</si>
  <si>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</si>
  <si>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</si>
  <si>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</si>
  <si>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</si>
  <si>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</si>
  <si>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</si>
  <si>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</si>
  <si>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</si>
  <si>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</si>
  <si>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</si>
  <si>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</si>
  <si>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</si>
  <si>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</si>
  <si>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</si>
  <si>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</si>
  <si>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</si>
  <si>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</si>
  <si>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</si>
  <si>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</si>
  <si>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</si>
  <si>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</si>
  <si>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</si>
  <si>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</si>
  <si>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</si>
  <si>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</si>
  <si>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</si>
  <si>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</si>
  <si>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</si>
  <si>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</si>
  <si>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</si>
  <si>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</si>
  <si>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</si>
  <si>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</si>
  <si>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</si>
  <si>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</si>
  <si>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</si>
  <si>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</si>
  <si>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</si>
  <si>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</si>
  <si>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</si>
  <si>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</si>
  <si>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</si>
  <si>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</si>
  <si>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</si>
  <si>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</si>
  <si>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</si>
  <si>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</si>
  <si>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</si>
  <si>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</si>
  <si>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</si>
  <si>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</si>
  <si>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</si>
  <si>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</si>
  <si>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</si>
  <si>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</si>
  <si>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</si>
  <si>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</si>
  <si>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</si>
  <si>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</si>
  <si>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</si>
  <si>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</si>
  <si>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</si>
  <si>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</si>
  <si>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</si>
  <si>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</si>
  <si>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</si>
  <si>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</si>
  <si>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</si>
  <si>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</si>
  <si>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</si>
  <si>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</si>
  <si>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</si>
  <si>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</si>
  <si>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</si>
  <si>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</si>
  <si>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</si>
  <si>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</si>
  <si>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</si>
  <si>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</si>
  <si>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</si>
  <si>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</si>
  <si>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</si>
  <si>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</si>
  <si>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</si>
  <si>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</si>
  <si>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</si>
  <si>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</si>
  <si>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</si>
  <si>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</si>
  <si>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</si>
  <si>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</si>
  <si>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</si>
  <si>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</si>
  <si>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</si>
  <si>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</si>
  <si>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</si>
  <si>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</si>
  <si>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</si>
  <si>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</si>
  <si>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</si>
  <si>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</si>
  <si>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</si>
  <si>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</si>
  <si>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</si>
  <si>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</si>
  <si>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</si>
  <si>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</si>
  <si>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</si>
  <si>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</si>
  <si>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</si>
  <si>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</si>
  <si>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</si>
  <si>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</si>
  <si>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</si>
  <si>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</si>
  <si>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</si>
  <si>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</si>
  <si>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</si>
  <si>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</si>
  <si>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</si>
  <si>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</si>
  <si>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</si>
  <si>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</si>
  <si>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</si>
  <si>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</si>
  <si>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</si>
  <si>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</si>
  <si>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</si>
  <si>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</si>
  <si>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</si>
  <si>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</si>
  <si>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</si>
  <si>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</si>
  <si>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</si>
  <si>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</si>
  <si>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</si>
  <si>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</si>
  <si>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</si>
  <si>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</si>
  <si>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</si>
  <si>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</si>
  <si>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</si>
  <si>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</si>
  <si>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</si>
  <si>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</si>
  <si>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</si>
  <si>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</si>
  <si>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</si>
  <si>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</si>
  <si>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</si>
  <si>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</si>
  <si>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</si>
  <si>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</si>
  <si>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</si>
  <si>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</si>
  <si>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</si>
  <si>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</si>
  <si>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</si>
  <si>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</si>
  <si>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</si>
  <si>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</si>
  <si>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</si>
  <si>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</si>
  <si>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</si>
  <si>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</si>
  <si>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</si>
  <si>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</si>
  <si>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</si>
  <si>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</si>
  <si>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</si>
  <si>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</si>
  <si>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</si>
  <si>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</si>
  <si>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</si>
  <si>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</si>
  <si>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</si>
  <si>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</si>
  <si>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</si>
  <si>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</si>
  <si>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</si>
  <si>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</si>
  <si>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</si>
  <si>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</si>
  <si>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</si>
  <si>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</si>
  <si>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</si>
  <si>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</si>
  <si>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</si>
  <si>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</si>
  <si>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</si>
  <si>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</si>
  <si>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</si>
  <si>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</si>
  <si>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</si>
  <si>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</si>
  <si>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</si>
  <si>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</si>
  <si>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</si>
  <si>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</si>
  <si>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</si>
  <si>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</si>
  <si>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</si>
  <si>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</si>
  <si>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</si>
  <si>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</si>
  <si>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</si>
  <si>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</si>
  <si>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</si>
  <si>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</si>
  <si>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</si>
  <si>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</si>
  <si>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</si>
  <si>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</si>
  <si>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</si>
  <si>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</si>
  <si>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</si>
  <si>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</si>
  <si>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</si>
  <si>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</si>
  <si>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</si>
  <si>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</si>
  <si>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</si>
  <si>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</si>
  <si>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</si>
  <si>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</si>
  <si>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</si>
  <si>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</si>
  <si>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</si>
  <si>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</si>
  <si>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</si>
  <si>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</si>
  <si>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</si>
  <si>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</si>
  <si>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</si>
  <si>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</si>
  <si>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</si>
  <si>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</si>
  <si>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</si>
  <si>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</si>
  <si>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</si>
  <si>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</si>
  <si>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</si>
  <si>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</si>
  <si>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</si>
  <si>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</si>
  <si>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</si>
  <si>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</si>
  <si>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</si>
  <si>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</si>
  <si>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</si>
  <si>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</si>
  <si>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</si>
  <si>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</si>
  <si>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</si>
  <si>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</si>
  <si>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</si>
  <si>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</si>
  <si>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</si>
  <si>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</si>
  <si>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</si>
  <si>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</si>
  <si>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</si>
  <si>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</si>
  <si>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</si>
  <si>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</si>
  <si>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</si>
  <si>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</si>
  <si>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</si>
  <si>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</si>
  <si>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</si>
  <si>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</si>
  <si>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</si>
  <si>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</si>
  <si>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</si>
  <si>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</si>
  <si>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</si>
  <si>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</si>
  <si>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</si>
  <si>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</si>
  <si>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</si>
  <si>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</si>
  <si>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</si>
  <si>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</si>
  <si>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</si>
  <si>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</si>
  <si>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</si>
  <si>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</si>
  <si>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</si>
  <si>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</si>
  <si>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</si>
  <si>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</si>
  <si>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</si>
  <si>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</si>
  <si>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</si>
  <si>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</si>
  <si>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</si>
  <si>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</si>
  <si>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</si>
  <si>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</si>
  <si>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</si>
  <si>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</si>
  <si>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</si>
  <si>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</si>
  <si>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</si>
  <si>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</si>
  <si>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</si>
  <si>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</si>
  <si>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</si>
  <si>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</si>
  <si>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</si>
  <si>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</si>
  <si>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</si>
  <si>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</si>
  <si>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</si>
  <si>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</si>
  <si>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</si>
  <si>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</si>
  <si>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</si>
  <si>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</si>
  <si>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</si>
  <si>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</si>
  <si>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</si>
  <si>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</si>
  <si>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</si>
  <si>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</si>
  <si>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</si>
  <si>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</si>
  <si>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</si>
  <si>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</si>
  <si>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</si>
  <si>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</si>
  <si>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</si>
  <si>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</si>
  <si>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</si>
  <si>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</si>
  <si>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</si>
  <si>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</si>
  <si>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</si>
  <si>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</si>
  <si>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</si>
  <si>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</si>
  <si>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</si>
  <si>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</si>
  <si>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</si>
  <si>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</si>
  <si>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</si>
  <si>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</si>
  <si>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</si>
  <si>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</si>
  <si>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</si>
  <si>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</si>
  <si>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</si>
  <si>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</si>
  <si>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</si>
  <si>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</si>
  <si>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</si>
  <si>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</si>
  <si>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</si>
  <si>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</si>
  <si>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</si>
  <si>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</si>
  <si>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</si>
  <si>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</si>
  <si>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</si>
  <si>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</si>
  <si>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</si>
  <si>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</si>
  <si>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</si>
  <si>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</si>
  <si>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</si>
  <si>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</si>
  <si>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</si>
  <si>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</si>
  <si>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</si>
  <si>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</si>
  <si>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</si>
  <si>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</si>
  <si>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</si>
  <si>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</si>
  <si>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</si>
  <si>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</si>
  <si>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</si>
  <si>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</si>
  <si>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</si>
  <si>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</si>
  <si>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</si>
  <si>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</si>
  <si>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</si>
  <si>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</si>
  <si>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</si>
  <si>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</si>
  <si>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</si>
  <si>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</si>
  <si>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</si>
  <si>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</si>
  <si>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</si>
  <si>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</si>
  <si>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</si>
  <si>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</si>
  <si>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</si>
  <si>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</si>
  <si>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</si>
  <si>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</si>
  <si>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</si>
  <si>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</si>
  <si>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</si>
  <si>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</si>
  <si>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</si>
  <si>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</si>
  <si>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</si>
  <si>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</si>
  <si>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</si>
  <si>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</si>
  <si>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</si>
  <si>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</si>
  <si>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</si>
  <si>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</si>
  <si>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</si>
  <si>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</si>
  <si>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</si>
  <si>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</si>
  <si>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</si>
  <si>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</si>
  <si>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</si>
  <si>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</si>
  <si>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</si>
  <si>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</si>
  <si>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</si>
  <si>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</si>
  <si>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</si>
  <si>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</si>
  <si>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</si>
  <si>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</si>
  <si>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</si>
  <si>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</si>
  <si>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</si>
  <si>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</si>
  <si>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</si>
  <si>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</si>
  <si>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</si>
  <si>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</si>
  <si>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</si>
  <si>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</si>
  <si>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</si>
  <si>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</si>
  <si>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</si>
  <si>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</si>
  <si>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</si>
  <si>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</si>
  <si>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</si>
  <si>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</si>
  <si>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</si>
  <si>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</si>
  <si>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</si>
  <si>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</si>
  <si>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</si>
  <si>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</si>
  <si>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</si>
  <si>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</si>
  <si>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</si>
  <si>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</si>
  <si>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</si>
  <si>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</si>
  <si>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</si>
  <si>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</si>
  <si>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</si>
  <si>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</si>
  <si>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</si>
  <si>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</si>
  <si>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</si>
  <si>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</si>
  <si>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</si>
  <si>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</si>
  <si>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</si>
  <si>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</si>
  <si>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</si>
  <si>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</si>
  <si>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</si>
  <si>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</si>
  <si>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</si>
  <si>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</si>
  <si>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</si>
  <si>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</si>
  <si>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</si>
  <si>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</si>
  <si>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</si>
  <si>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</si>
  <si>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</si>
  <si>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</si>
  <si>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</si>
  <si>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</si>
  <si>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</si>
  <si>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</si>
  <si>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</si>
  <si>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</si>
  <si>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</si>
  <si>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</si>
  <si>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</si>
  <si>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</si>
  <si>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</si>
  <si>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</si>
  <si>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</si>
  <si>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</si>
  <si>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</si>
  <si>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</si>
  <si>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</si>
  <si>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</si>
  <si>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</si>
  <si>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</si>
  <si>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</si>
  <si>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</si>
  <si>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</si>
  <si>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</si>
  <si>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</si>
  <si>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</si>
  <si>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</si>
  <si>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</si>
  <si>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</si>
  <si>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</si>
  <si>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</si>
  <si>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</si>
  <si>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</si>
  <si>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</si>
  <si>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</si>
  <si>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</si>
  <si>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</si>
  <si>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</si>
  <si>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</si>
  <si>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</si>
  <si>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</si>
  <si>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</si>
  <si>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</si>
  <si>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</si>
  <si>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</si>
  <si>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</si>
  <si>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</si>
  <si>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</si>
  <si>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</si>
  <si>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</si>
  <si>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</si>
  <si>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</si>
  <si>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</si>
  <si>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</si>
  <si>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</si>
  <si>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</si>
  <si>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</si>
  <si>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</si>
  <si>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</si>
  <si>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</si>
  <si>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</si>
  <si>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</si>
  <si>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</si>
  <si>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</si>
  <si>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</si>
  <si>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</si>
  <si>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</si>
  <si>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</si>
  <si>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</si>
  <si>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</si>
  <si>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</si>
  <si>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</si>
  <si>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</si>
  <si>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</si>
  <si>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</si>
  <si>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</si>
  <si>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</si>
  <si>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</si>
  <si>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</si>
  <si>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</si>
  <si>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</si>
  <si>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</si>
  <si>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</si>
  <si>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</si>
  <si>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</si>
  <si>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</si>
  <si>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</si>
  <si>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</si>
  <si>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</si>
  <si>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</si>
  <si>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</si>
  <si>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</si>
  <si>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</si>
  <si>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</si>
  <si>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</si>
  <si>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</si>
  <si>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</si>
  <si>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</si>
  <si>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</si>
  <si>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</si>
  <si>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</si>
  <si>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</si>
  <si>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</si>
  <si>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</si>
  <si>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</si>
  <si>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</si>
  <si>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</si>
  <si>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</si>
  <si>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</si>
  <si>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</si>
  <si>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</si>
  <si>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</si>
  <si>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</si>
  <si>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</si>
  <si>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</si>
  <si>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</si>
  <si>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</si>
  <si>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</si>
  <si>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</si>
  <si>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</si>
  <si>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</si>
  <si>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</si>
  <si>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</si>
  <si>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</si>
  <si>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</si>
  <si>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</si>
  <si>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</si>
  <si>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</si>
  <si>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</si>
  <si>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</si>
  <si>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</si>
  <si>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</si>
  <si>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</si>
  <si>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</si>
  <si>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</si>
  <si>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</si>
  <si>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</si>
  <si>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</si>
  <si>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</si>
  <si>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</si>
  <si>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</si>
  <si>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</si>
  <si>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</si>
  <si>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</si>
  <si>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</si>
  <si>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</si>
  <si>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</si>
  <si>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</si>
  <si>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</si>
  <si>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</si>
  <si>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</si>
  <si>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</si>
  <si>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</si>
  <si>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</si>
  <si>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</si>
  <si>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</si>
  <si>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</si>
  <si>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</si>
  <si>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</si>
  <si>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</si>
  <si>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</si>
  <si>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</si>
  <si>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</si>
  <si>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</si>
  <si>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</si>
  <si>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</si>
  <si>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</si>
  <si>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</si>
  <si>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</si>
  <si>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</si>
  <si>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</si>
  <si>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</si>
  <si>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</si>
  <si>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</si>
  <si>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</si>
  <si>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</si>
  <si>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</si>
  <si>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</si>
  <si>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</si>
  <si>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</si>
  <si>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</si>
  <si>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</si>
  <si>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</si>
  <si>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</si>
  <si>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</si>
  <si>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</si>
  <si>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</si>
  <si>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</si>
  <si>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</si>
  <si>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</si>
  <si>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</si>
  <si>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</si>
  <si>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</si>
  <si>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</si>
  <si>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</si>
  <si>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</si>
  <si>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</si>
  <si>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</si>
  <si>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</si>
  <si>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</si>
  <si>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</si>
  <si>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</si>
  <si>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</si>
  <si>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</si>
  <si>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</si>
  <si>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</si>
  <si>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</si>
  <si>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</si>
  <si>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</si>
  <si>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</si>
  <si>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</si>
  <si>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</si>
  <si>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</si>
  <si>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</si>
  <si>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</si>
  <si>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</si>
  <si>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</si>
  <si>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</si>
  <si>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</si>
  <si>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</si>
  <si>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</si>
  <si>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</si>
  <si>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</si>
  <si>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</si>
  <si>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</si>
  <si>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</si>
  <si>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</si>
  <si>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</si>
  <si>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</si>
  <si>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</si>
  <si>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</si>
  <si>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</si>
  <si>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</si>
  <si>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</si>
  <si>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</si>
  <si>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</si>
  <si>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</si>
  <si>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</si>
  <si>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</si>
  <si>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</si>
  <si>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</si>
  <si>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</si>
  <si>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</si>
  <si>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</si>
  <si>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</si>
  <si>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</si>
  <si>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</si>
  <si>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</si>
  <si>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</si>
  <si>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</si>
  <si>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</si>
  <si>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</si>
  <si>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</si>
  <si>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</si>
  <si>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</si>
  <si>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</si>
  <si>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</si>
  <si>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</si>
  <si>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</si>
  <si>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</si>
  <si>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</si>
  <si>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</si>
  <si>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</si>
  <si>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</si>
  <si>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</si>
  <si>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</si>
  <si>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</si>
  <si>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</si>
  <si>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</si>
  <si>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</si>
  <si>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</si>
  <si>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</si>
  <si>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</si>
  <si>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</si>
  <si>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</si>
  <si>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</si>
  <si>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</si>
  <si>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</si>
  <si>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</si>
  <si>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</si>
  <si>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</si>
  <si>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</si>
  <si>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</si>
  <si>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</si>
  <si>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</si>
  <si>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</si>
  <si>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</si>
  <si>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</si>
  <si>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</si>
  <si>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</si>
  <si>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</si>
  <si>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</si>
  <si>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</si>
  <si>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</si>
  <si>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</si>
  <si>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</si>
  <si>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</si>
  <si>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</si>
  <si>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</si>
  <si>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</si>
  <si>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</si>
  <si>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</si>
  <si>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</si>
  <si>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</si>
  <si>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</si>
  <si>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</si>
  <si>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</si>
  <si>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</si>
  <si>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</si>
  <si>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</si>
  <si>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</si>
  <si>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</si>
  <si>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</si>
  <si>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</si>
  <si>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</si>
  <si>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</si>
  <si>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</si>
  <si>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</si>
  <si>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</si>
  <si>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</si>
  <si>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</si>
  <si>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</si>
  <si>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</si>
  <si>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</si>
  <si>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</si>
  <si>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</si>
  <si>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</si>
  <si>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</si>
  <si>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</si>
  <si>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</si>
  <si>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</si>
  <si>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</si>
  <si>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</si>
  <si>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</si>
  <si>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</si>
  <si>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</si>
  <si>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</si>
  <si>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</si>
  <si>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</si>
  <si>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</si>
  <si>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</si>
  <si>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</si>
  <si>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</si>
  <si>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</si>
  <si>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</si>
  <si>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</si>
  <si>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</si>
  <si>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</si>
  <si>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</si>
  <si>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</si>
  <si>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</si>
  <si>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</si>
  <si>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</si>
  <si>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</si>
  <si>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</si>
  <si>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</si>
  <si>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</si>
  <si>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</si>
  <si>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</si>
  <si>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</si>
  <si>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</si>
  <si>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</si>
  <si>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</si>
  <si>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</si>
  <si>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</si>
  <si>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</si>
  <si>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</si>
  <si>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</si>
  <si>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</si>
  <si>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</si>
  <si>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</si>
  <si>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</si>
  <si>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</si>
  <si>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</si>
  <si>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</si>
  <si>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</si>
  <si>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</si>
  <si>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</si>
  <si>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</si>
  <si>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</si>
  <si>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</si>
  <si>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</si>
  <si>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</si>
  <si>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</si>
  <si>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</si>
  <si>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</si>
  <si>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</si>
  <si>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</si>
  <si>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</si>
  <si>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</si>
  <si>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</si>
  <si>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</si>
  <si>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</si>
  <si>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</si>
  <si>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</si>
  <si>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</si>
  <si>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</si>
  <si>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</si>
  <si>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</si>
  <si>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</si>
  <si>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</si>
  <si>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</si>
  <si>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</si>
  <si>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</si>
  <si>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</si>
  <si>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</si>
  <si>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</si>
  <si>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</si>
  <si>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</si>
  <si>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</si>
  <si>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</si>
  <si>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</si>
  <si>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</si>
  <si>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</si>
  <si>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</si>
  <si>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</si>
  <si>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</si>
  <si>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</si>
  <si>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</si>
  <si>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</si>
  <si>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</si>
  <si>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</si>
  <si>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</si>
  <si>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</si>
  <si>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</si>
  <si>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</si>
  <si>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</si>
  <si>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</si>
  <si>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</si>
  <si>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</si>
  <si>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</si>
  <si>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</si>
  <si>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</si>
  <si>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</si>
  <si>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</si>
  <si>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</si>
  <si>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</si>
  <si>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</si>
  <si>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</si>
  <si>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</si>
  <si>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</si>
  <si>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</si>
  <si>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</si>
  <si>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</si>
  <si>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</si>
  <si>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</si>
  <si>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</si>
  <si>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</si>
  <si>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</si>
  <si>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</si>
  <si>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</si>
  <si>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</si>
  <si>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</si>
  <si>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</si>
  <si>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</si>
  <si>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</si>
  <si>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</si>
  <si>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</si>
  <si>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</si>
  <si>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</si>
  <si>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</si>
  <si>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</si>
  <si>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</si>
  <si>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</si>
  <si>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</si>
  <si>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</si>
  <si>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</si>
  <si>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</si>
  <si>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</si>
  <si>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</si>
  <si>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</si>
  <si>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</si>
  <si>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</si>
  <si>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</si>
  <si>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</si>
  <si>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</si>
  <si>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</si>
  <si>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</si>
  <si>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</si>
  <si>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</si>
  <si>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</si>
  <si>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</si>
  <si>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</si>
  <si>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</si>
  <si>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</si>
  <si>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</si>
  <si>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</si>
  <si>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</si>
  <si>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</si>
  <si>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</si>
  <si>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</si>
  <si>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</si>
  <si>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</si>
  <si>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</si>
  <si>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</si>
  <si>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</si>
  <si>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</si>
  <si>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</si>
  <si>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</si>
  <si>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</si>
  <si>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</si>
  <si>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</si>
  <si>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</si>
  <si>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</si>
  <si>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</si>
  <si>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</si>
  <si>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</si>
  <si>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</si>
  <si>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</si>
  <si>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</si>
  <si>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</si>
  <si>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</si>
  <si>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</si>
  <si>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</si>
  <si>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</si>
  <si>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</si>
  <si>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</si>
  <si>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</si>
  <si>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</si>
  <si>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</si>
  <si>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</si>
  <si>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</si>
  <si>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</si>
  <si>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</si>
  <si>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</si>
  <si>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</si>
  <si>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</si>
  <si>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</si>
  <si>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</si>
  <si>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</si>
  <si>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</si>
  <si>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</si>
  <si>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</si>
  <si>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</si>
  <si>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</si>
  <si>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</si>
  <si>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</si>
  <si>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</si>
  <si>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</si>
  <si>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</si>
  <si>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</si>
  <si>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</si>
  <si>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</si>
  <si>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</si>
  <si>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</si>
  <si>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</si>
  <si>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</si>
  <si>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</si>
  <si>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</si>
  <si>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</si>
  <si>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</si>
  <si>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</si>
  <si>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</si>
  <si>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</si>
  <si>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</si>
  <si>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</si>
  <si>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</si>
  <si>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</si>
  <si>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</si>
  <si>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</si>
  <si>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</si>
  <si>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</si>
  <si>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</si>
  <si>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</si>
  <si>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</si>
  <si>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</si>
  <si>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</si>
  <si>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</si>
  <si>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</si>
  <si>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</si>
  <si>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</si>
  <si>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</si>
  <si>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</si>
  <si>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</si>
  <si>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</si>
  <si>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</si>
  <si>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</si>
  <si>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</si>
  <si>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</si>
  <si>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</si>
  <si>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</si>
  <si>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</si>
  <si>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</si>
  <si>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</si>
  <si>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</si>
  <si>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</si>
  <si>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</si>
  <si>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</si>
  <si>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</si>
  <si>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</si>
  <si>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</si>
  <si>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</si>
  <si>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</si>
  <si>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</si>
  <si>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</si>
  <si>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</si>
  <si>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</si>
  <si>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</si>
  <si>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</si>
  <si>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</si>
  <si>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</si>
  <si>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</si>
  <si>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</si>
  <si>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</si>
  <si>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</si>
  <si>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</si>
  <si>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</si>
  <si>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</si>
  <si>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</si>
  <si>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</si>
  <si>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</si>
  <si>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</si>
  <si>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</si>
  <si>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</si>
  <si>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</si>
  <si>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</si>
  <si>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</si>
  <si>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</si>
  <si>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</si>
  <si>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</si>
  <si>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</si>
  <si>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</si>
  <si>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</si>
  <si>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</si>
  <si>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</si>
  <si>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</si>
  <si>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</si>
  <si>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</si>
  <si>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</si>
  <si>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</si>
  <si>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</si>
  <si>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</si>
  <si>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</si>
  <si>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</si>
  <si>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</si>
  <si>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</si>
  <si>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</si>
  <si>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</si>
  <si>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</si>
  <si>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</si>
  <si>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</si>
  <si>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</si>
  <si>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</si>
  <si>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</si>
  <si>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</si>
  <si>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</si>
  <si>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</si>
  <si>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</si>
  <si>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</si>
  <si>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</si>
  <si>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</si>
  <si>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</si>
  <si>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</si>
  <si>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</si>
  <si>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</si>
  <si>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</si>
  <si>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</si>
  <si>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</si>
  <si>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</si>
  <si>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</si>
  <si>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</si>
  <si>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</si>
  <si>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</si>
  <si>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</si>
  <si>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</si>
  <si>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</si>
  <si>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</si>
  <si>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</si>
  <si>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</si>
  <si>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</si>
  <si>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</si>
  <si>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</si>
  <si>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</si>
  <si>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</si>
  <si>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</si>
  <si>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</si>
  <si>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</si>
  <si>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</si>
  <si>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</si>
  <si>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</si>
  <si>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</si>
  <si>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</si>
  <si>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</si>
  <si>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</si>
  <si>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</si>
  <si>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</si>
  <si>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</si>
  <si>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</si>
  <si>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</si>
  <si>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</si>
  <si>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</si>
  <si>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</si>
  <si>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</si>
  <si>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</si>
  <si>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</si>
  <si>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</si>
  <si>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</si>
  <si>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</si>
  <si>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</si>
  <si>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</si>
  <si>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</si>
  <si>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</si>
  <si>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</si>
  <si>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</si>
  <si>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</si>
  <si>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</si>
  <si>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</si>
  <si>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</si>
  <si>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</si>
  <si>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</si>
  <si>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</si>
  <si>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</si>
  <si>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</si>
  <si>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</si>
  <si>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</si>
  <si>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</si>
  <si>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</si>
  <si>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</si>
  <si>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</si>
  <si>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</si>
  <si>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</si>
  <si>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</si>
  <si>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</si>
  <si>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</si>
  <si>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</si>
  <si>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</si>
  <si>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</si>
  <si>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</si>
  <si>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</si>
  <si>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</si>
  <si>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</si>
  <si>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</si>
  <si>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</si>
  <si>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</si>
  <si>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</si>
  <si>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</si>
  <si>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</si>
  <si>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</si>
  <si>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</si>
  <si>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</si>
  <si>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</si>
  <si>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</si>
  <si>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</si>
  <si>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</si>
  <si>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</si>
  <si>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</si>
  <si>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</si>
  <si>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</si>
  <si>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</si>
  <si>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</si>
  <si>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</si>
  <si>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</si>
  <si>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</si>
  <si>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</si>
  <si>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</si>
  <si>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</si>
  <si>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</si>
  <si>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</si>
  <si>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</si>
  <si>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</si>
  <si>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</si>
  <si>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</si>
  <si>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</si>
  <si>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</si>
  <si>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</si>
  <si>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</si>
  <si>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</si>
  <si>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</si>
  <si>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</si>
  <si>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</si>
  <si>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</si>
  <si>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</si>
  <si>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</si>
  <si>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</si>
  <si>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</si>
  <si>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</si>
  <si>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</si>
  <si>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</si>
  <si>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</si>
  <si>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</si>
  <si>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</si>
  <si>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</si>
  <si>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</si>
  <si>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</si>
  <si>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</si>
  <si>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</si>
  <si>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</si>
  <si>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</si>
  <si>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</si>
  <si>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</si>
  <si>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</si>
  <si>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</si>
  <si>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</si>
  <si>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</si>
  <si>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</si>
  <si>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</si>
  <si>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</si>
  <si>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</si>
  <si>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</si>
  <si>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</si>
  <si>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</si>
  <si>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</si>
  <si>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</si>
  <si>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</si>
  <si>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</si>
  <si>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</si>
  <si>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</si>
  <si>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</si>
  <si>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</si>
  <si>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</si>
  <si>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</si>
  <si>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</si>
  <si>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</si>
  <si>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</si>
  <si>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</si>
  <si>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</si>
  <si>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</si>
  <si>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</si>
  <si>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</si>
  <si>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</si>
  <si>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</si>
  <si>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</si>
  <si>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</si>
  <si>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</si>
  <si>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</si>
  <si>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</si>
  <si>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</si>
  <si>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</si>
  <si>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</si>
  <si>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</si>
  <si>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</si>
  <si>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</si>
  <si>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</si>
  <si>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</si>
  <si>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</si>
  <si>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</si>
  <si>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</si>
  <si>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</si>
  <si>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</si>
  <si>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</si>
  <si>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</si>
  <si>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</si>
  <si>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</si>
  <si>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</si>
  <si>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</si>
  <si>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</si>
  <si>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</si>
  <si>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</si>
  <si>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</si>
  <si>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</si>
  <si>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</si>
  <si>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</si>
  <si>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</si>
  <si>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</si>
  <si>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</si>
  <si>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</si>
  <si>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</si>
  <si>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</si>
  <si>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</si>
  <si>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</si>
  <si>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</si>
  <si>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</si>
  <si>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</si>
  <si>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</si>
  <si>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</si>
  <si>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</si>
  <si>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</si>
  <si>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</si>
  <si>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</si>
  <si>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</si>
  <si>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</si>
  <si>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</si>
  <si>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</si>
  <si>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</si>
  <si>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</si>
  <si>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</si>
  <si>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</si>
  <si>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</si>
  <si>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</si>
  <si>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</si>
  <si>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</si>
  <si>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</si>
  <si>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</si>
  <si>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</si>
  <si>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</si>
  <si>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</si>
  <si>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</si>
  <si>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</si>
  <si>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</si>
  <si>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</si>
  <si>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</si>
  <si>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</si>
  <si>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</si>
  <si>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</si>
  <si>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</si>
  <si>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</si>
  <si>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</si>
  <si>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</si>
  <si>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</si>
  <si>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</si>
  <si>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</si>
  <si>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</si>
  <si>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</si>
  <si>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</si>
  <si>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</si>
  <si>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</si>
  <si>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</si>
  <si>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</si>
  <si>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</si>
  <si>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</si>
  <si>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</si>
  <si>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</si>
  <si>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</si>
  <si>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</si>
  <si>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</si>
  <si>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</si>
  <si>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</si>
  <si>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</si>
  <si>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</si>
  <si>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</si>
  <si>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</si>
  <si>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</si>
  <si>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</si>
  <si>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</si>
  <si>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</si>
  <si>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</si>
  <si>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</si>
  <si>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</si>
  <si>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</si>
  <si>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</si>
  <si>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</si>
  <si>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</si>
  <si>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</si>
  <si>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</si>
  <si>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</si>
  <si>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</si>
  <si>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</si>
  <si>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</si>
  <si>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</si>
  <si>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</si>
  <si>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</si>
  <si>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</si>
  <si>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</si>
  <si>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</si>
  <si>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</si>
  <si>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</si>
  <si>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</si>
  <si>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</si>
  <si>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</si>
  <si>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</si>
  <si>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</si>
  <si>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</si>
  <si>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</si>
  <si>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</si>
  <si>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</si>
  <si>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</si>
  <si>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</si>
  <si>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</si>
  <si>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</si>
  <si>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</si>
  <si>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</si>
  <si>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</si>
  <si>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</si>
  <si>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</si>
  <si>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</si>
  <si>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</si>
  <si>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</si>
  <si>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</si>
  <si>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</si>
  <si>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</si>
  <si>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</si>
  <si>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</si>
  <si>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</si>
  <si>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</si>
  <si>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</si>
  <si>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</si>
  <si>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</si>
  <si>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</si>
  <si>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</si>
  <si>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</si>
  <si>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</si>
  <si>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</si>
  <si>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</si>
  <si>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</si>
  <si>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</si>
  <si>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</si>
  <si>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</si>
  <si>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</si>
  <si>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</si>
  <si>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</si>
  <si>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</si>
  <si>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</si>
  <si>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</si>
  <si>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</si>
  <si>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</si>
  <si>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</si>
  <si>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</si>
  <si>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</si>
  <si>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</si>
  <si>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</si>
  <si>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</si>
  <si>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</si>
  <si>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</si>
  <si>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</si>
  <si>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</si>
  <si>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</si>
  <si>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</si>
  <si>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</si>
  <si>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</si>
  <si>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</si>
  <si>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</si>
  <si>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</si>
  <si>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</si>
  <si>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</si>
  <si>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</si>
  <si>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</si>
  <si>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</si>
  <si>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</si>
  <si>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</si>
  <si>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</si>
  <si>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</si>
  <si>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</si>
  <si>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</si>
  <si>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</si>
  <si>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</si>
  <si>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</si>
  <si>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</si>
  <si>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</si>
  <si>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</si>
  <si>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</si>
  <si>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</si>
  <si>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</si>
  <si>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</si>
  <si>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</si>
  <si>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</si>
  <si>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</si>
  <si>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</si>
  <si>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</si>
  <si>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</si>
  <si>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</si>
  <si>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</si>
  <si>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</si>
  <si>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</si>
  <si>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</si>
  <si>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</si>
  <si>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</si>
  <si>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</si>
  <si>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</si>
  <si>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</si>
  <si>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</si>
  <si>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</si>
  <si>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</si>
  <si>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</si>
  <si>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</si>
  <si>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</si>
  <si>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</si>
  <si>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</si>
  <si>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</si>
  <si>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</si>
  <si>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</si>
  <si>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</si>
  <si>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</si>
  <si>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</si>
  <si>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</si>
  <si>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</si>
  <si>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</si>
  <si>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</si>
  <si>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</si>
  <si>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</si>
  <si>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</si>
  <si>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</si>
  <si>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</si>
  <si>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</si>
  <si>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</si>
  <si>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</si>
  <si>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</si>
  <si>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</si>
  <si>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</si>
  <si>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</si>
  <si>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</si>
  <si>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</si>
  <si>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</si>
  <si>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</si>
  <si>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</si>
  <si>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</si>
  <si>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</si>
  <si>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</si>
  <si>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</si>
  <si>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</si>
  <si>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</si>
  <si>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</si>
  <si>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</si>
  <si>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</si>
  <si>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</si>
  <si>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</si>
  <si>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</si>
  <si>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</si>
  <si>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</si>
  <si>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</si>
  <si>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</si>
  <si>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</si>
  <si>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</si>
  <si>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</si>
  <si>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</si>
  <si>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</si>
  <si>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</si>
  <si>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</si>
  <si>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</si>
  <si>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</si>
  <si>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</si>
  <si>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</si>
  <si>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</si>
  <si>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</si>
  <si>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</si>
  <si>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</si>
  <si>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</si>
  <si>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</si>
  <si>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</si>
  <si>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</si>
  <si>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</si>
  <si>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</si>
  <si>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</si>
  <si>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</si>
  <si>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</si>
  <si>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</si>
  <si>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</si>
  <si>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</si>
  <si>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</si>
  <si>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</si>
  <si>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</si>
  <si>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</si>
  <si>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</si>
  <si>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</si>
  <si>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</si>
  <si>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</si>
  <si>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</si>
  <si>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</si>
  <si>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</si>
  <si>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</si>
  <si>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</si>
  <si>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</si>
  <si>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</si>
  <si>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</si>
  <si>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</si>
  <si>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</si>
  <si>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</si>
  <si>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</si>
  <si>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</si>
  <si>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</si>
  <si>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</si>
  <si>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</si>
  <si>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</si>
  <si>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</si>
  <si>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</si>
  <si>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</si>
  <si>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</si>
  <si>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</si>
  <si>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</si>
  <si>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</si>
  <si>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</si>
  <si>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</si>
  <si>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</si>
  <si>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</si>
  <si>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</si>
  <si>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</si>
  <si>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</si>
  <si>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</si>
  <si>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</si>
  <si>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</si>
  <si>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</si>
  <si>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</si>
  <si>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</si>
  <si>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</si>
  <si>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</si>
  <si>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</si>
  <si>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</si>
  <si>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</si>
  <si>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</si>
  <si>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</si>
  <si>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</si>
  <si>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</si>
  <si>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</si>
  <si>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</si>
  <si>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</si>
  <si>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</si>
  <si>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</si>
  <si>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</si>
  <si>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</si>
  <si>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</si>
  <si>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</si>
  <si>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</si>
  <si>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</si>
  <si>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</si>
  <si>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</si>
  <si>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</si>
  <si>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</si>
  <si>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</si>
  <si>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</si>
  <si>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</si>
  <si>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</si>
  <si>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</si>
  <si>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</si>
  <si>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</si>
  <si>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</si>
  <si>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</si>
  <si>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</si>
  <si>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</si>
  <si>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</si>
  <si>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</si>
  <si>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</si>
  <si>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</si>
  <si>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</si>
  <si>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</si>
  <si>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</si>
  <si>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</si>
  <si>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</si>
  <si>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</si>
  <si>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</si>
  <si>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</si>
  <si>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</si>
  <si>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</si>
  <si>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</si>
  <si>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</si>
  <si>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</si>
  <si>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</si>
  <si>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</si>
  <si>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</si>
  <si>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</si>
  <si>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</si>
  <si>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</si>
  <si>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</si>
  <si>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</si>
  <si>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</si>
  <si>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</si>
  <si>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</si>
  <si>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</si>
  <si>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</si>
  <si>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</si>
  <si>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</si>
  <si>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</si>
  <si>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</si>
  <si>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</si>
  <si>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</si>
  <si>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</si>
  <si>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</si>
  <si>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</si>
  <si>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</si>
  <si>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</si>
  <si>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</si>
  <si>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</si>
  <si>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</si>
  <si>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</si>
  <si>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</si>
  <si>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</si>
  <si>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</si>
  <si>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</si>
  <si>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</si>
  <si>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</si>
  <si>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</si>
  <si>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</si>
  <si>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</si>
  <si>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</si>
  <si>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</si>
  <si>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</si>
  <si>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</si>
  <si>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</si>
  <si>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</si>
  <si>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</si>
  <si>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</si>
  <si>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</si>
  <si>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</si>
  <si>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</si>
  <si>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</si>
  <si>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</si>
  <si>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</si>
  <si>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</si>
  <si>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</si>
  <si>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</si>
  <si>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</si>
  <si>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</si>
  <si>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</si>
  <si>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</si>
  <si>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</si>
  <si>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</si>
  <si>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</si>
  <si>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</si>
  <si>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</si>
  <si>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</si>
  <si>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</si>
  <si>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</si>
  <si>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</si>
  <si>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</si>
  <si>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</si>
  <si>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</si>
  <si>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</si>
  <si>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</si>
  <si>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</si>
  <si>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</si>
  <si>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</si>
  <si>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</si>
  <si>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</si>
  <si>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</si>
  <si>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</si>
  <si>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</si>
  <si>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</si>
  <si>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</si>
  <si>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</si>
  <si>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</si>
  <si>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</si>
  <si>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</si>
  <si>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</si>
  <si>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</si>
  <si>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</si>
  <si>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</si>
  <si>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</si>
  <si>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</si>
  <si>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</si>
  <si>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</si>
  <si>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</si>
  <si>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</si>
  <si>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</si>
  <si>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</si>
  <si>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</si>
  <si>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</si>
  <si>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</si>
  <si>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</si>
  <si>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</si>
  <si>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</si>
  <si>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</si>
  <si>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</si>
  <si>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</si>
  <si>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</si>
  <si>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</si>
  <si>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</si>
  <si>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</si>
  <si>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</si>
  <si>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</si>
  <si>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</si>
  <si>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</si>
  <si>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</si>
  <si>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</si>
  <si>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</si>
  <si>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</si>
  <si>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</si>
  <si>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</si>
  <si>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</si>
  <si>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</si>
  <si>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</si>
  <si>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</si>
  <si>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</si>
  <si>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</si>
  <si>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</si>
  <si>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</si>
  <si>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</si>
  <si>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</si>
  <si>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</si>
  <si>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</si>
  <si>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</si>
  <si>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</si>
  <si>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</si>
  <si>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</si>
  <si>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</si>
  <si>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</si>
  <si>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</si>
  <si>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</si>
  <si>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</si>
  <si>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</si>
  <si>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</si>
  <si>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</si>
  <si>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</si>
  <si>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</si>
  <si>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</si>
  <si>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</si>
  <si>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</si>
  <si>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</si>
  <si>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</si>
  <si>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</si>
  <si>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</si>
  <si>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</si>
  <si>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</si>
  <si>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</si>
  <si>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</si>
  <si>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</si>
  <si>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</si>
  <si>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</si>
  <si>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</si>
  <si>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</si>
  <si>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</si>
  <si>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</si>
  <si>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</si>
  <si>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</si>
  <si>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</si>
  <si>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</si>
  <si>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</si>
  <si>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</si>
  <si>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</si>
  <si>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</si>
  <si>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</si>
  <si>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</si>
  <si>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</si>
  <si>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</si>
  <si>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</si>
  <si>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</si>
  <si>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</si>
  <si>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</si>
  <si>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</si>
  <si>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</si>
  <si>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</si>
  <si>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</si>
  <si>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</si>
  <si>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</si>
  <si>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</si>
  <si>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</si>
  <si>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</si>
  <si>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</si>
  <si>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</si>
  <si>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</si>
  <si>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</si>
  <si>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</si>
  <si>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</si>
  <si>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</si>
  <si>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</si>
  <si>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</si>
  <si>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</si>
  <si>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</si>
  <si>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</si>
  <si>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</si>
  <si>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</si>
  <si>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</si>
  <si>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</si>
  <si>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</si>
  <si>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</si>
  <si>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</si>
  <si>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</si>
  <si>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</si>
  <si>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</si>
  <si>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</si>
  <si>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</si>
  <si>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</si>
  <si>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</si>
  <si>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</si>
  <si>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</si>
  <si>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</si>
  <si>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</si>
  <si>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</si>
  <si>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</si>
  <si>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</si>
  <si>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</si>
  <si>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</si>
  <si>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</si>
  <si>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</si>
  <si>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</si>
  <si>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</si>
  <si>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</si>
  <si>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</si>
  <si>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</si>
  <si>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</si>
  <si>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</si>
  <si>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</si>
  <si>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</si>
  <si>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</si>
  <si>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</si>
  <si>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</si>
  <si>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</si>
  <si>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</si>
  <si>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</si>
  <si>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</si>
  <si>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</si>
  <si>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</si>
  <si>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</si>
  <si>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</si>
  <si>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</si>
  <si>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</si>
  <si>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</si>
  <si>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</si>
  <si>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</si>
  <si>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</si>
  <si>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</si>
  <si>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</si>
  <si>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</si>
  <si>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</si>
  <si>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</si>
  <si>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</si>
  <si>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</si>
  <si>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</si>
  <si>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</si>
  <si>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</si>
  <si>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</si>
  <si>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</si>
  <si>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</si>
  <si>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</si>
  <si>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</si>
  <si>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</si>
  <si>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</si>
  <si>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</si>
  <si>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</si>
  <si>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</si>
  <si>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</si>
  <si>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</si>
  <si>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</si>
  <si>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</si>
  <si>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</si>
  <si>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</si>
  <si>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</si>
  <si>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</si>
  <si>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</si>
  <si>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</si>
  <si>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</si>
  <si>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</si>
  <si>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</si>
  <si>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</si>
  <si>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</si>
  <si>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</si>
  <si>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</si>
  <si>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</si>
  <si>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</si>
  <si>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</si>
  <si>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</si>
  <si>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</si>
  <si>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</si>
  <si>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</si>
  <si>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</si>
  <si>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</si>
  <si>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</si>
  <si>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</si>
  <si>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</si>
  <si>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</si>
  <si>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</si>
  <si>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</si>
  <si>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</si>
  <si>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</si>
  <si>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</si>
  <si>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</si>
  <si>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</si>
  <si>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</si>
  <si>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</si>
  <si>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</si>
  <si>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</si>
  <si>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</si>
  <si>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</si>
  <si>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</si>
  <si>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</si>
  <si>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</si>
  <si>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</si>
  <si>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</si>
  <si>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</si>
  <si>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</si>
  <si>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</si>
  <si>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</si>
  <si>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</si>
  <si>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</si>
  <si>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</si>
  <si>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</si>
  <si>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</si>
  <si>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</si>
  <si>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</si>
  <si>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</si>
  <si>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</si>
  <si>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</si>
  <si>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</si>
  <si>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</si>
  <si>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</si>
  <si>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</si>
  <si>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</si>
  <si>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</si>
  <si>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</si>
  <si>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</si>
  <si>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</si>
  <si>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</si>
  <si>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Robert E. Moore, CPA</t>
  </si>
  <si>
    <t>Moore &amp; Simonin, PC</t>
  </si>
  <si>
    <t>3636 North Belt West</t>
  </si>
  <si>
    <t>Belleville</t>
  </si>
  <si>
    <t>IL</t>
  </si>
  <si>
    <t>618-233-5049</t>
  </si>
  <si>
    <t>618-233-1061</t>
  </si>
  <si>
    <t>066-005248</t>
  </si>
  <si>
    <t>mooresimonin@mrsaccountants.com</t>
  </si>
  <si>
    <t>X</t>
  </si>
  <si>
    <t>Randolph</t>
  </si>
  <si>
    <t>1525 Locust St.</t>
  </si>
  <si>
    <t>Red Bud</t>
  </si>
  <si>
    <t>Egyptian Group Insurance Trust</t>
  </si>
  <si>
    <t>PSIC</t>
  </si>
  <si>
    <t>Page 11, Line 107:  Recylcing - $2,693 plus Other - $1,742 equals $4,435.</t>
  </si>
  <si>
    <t>Page 14, Line 265:  ORS - $17,697.</t>
  </si>
  <si>
    <t>Red Bud Community Unit School District No. 132</t>
  </si>
  <si>
    <t>USDA</t>
  </si>
  <si>
    <t>Passed Through ISBE</t>
  </si>
  <si>
    <t xml:space="preserve">  Commodities</t>
  </si>
  <si>
    <t xml:space="preserve">  DOD Fresh</t>
  </si>
  <si>
    <t xml:space="preserve">  School Lunch Program</t>
  </si>
  <si>
    <t>2018-4210</t>
  </si>
  <si>
    <t>2019-4210</t>
  </si>
  <si>
    <t xml:space="preserve">  School Breakfast Program</t>
  </si>
  <si>
    <t>2018-4220</t>
  </si>
  <si>
    <t>2019-4220</t>
  </si>
  <si>
    <t>TOTAL USDA</t>
  </si>
  <si>
    <t>U.S. DEPT. OF EDUCATION</t>
  </si>
  <si>
    <t xml:space="preserve">  (M) IDEA Pre-School</t>
  </si>
  <si>
    <t>84.173A</t>
  </si>
  <si>
    <t>2018-4600</t>
  </si>
  <si>
    <t>2019-4600</t>
  </si>
  <si>
    <t xml:space="preserve">  (M) IDEA Flow Through</t>
  </si>
  <si>
    <t>84.027A</t>
  </si>
  <si>
    <t>2018-4620</t>
  </si>
  <si>
    <t>2019-4620</t>
  </si>
  <si>
    <t>TOTAL ISBE</t>
  </si>
  <si>
    <t>Passed Through IDHS</t>
  </si>
  <si>
    <t xml:space="preserve">  Step Grant</t>
  </si>
  <si>
    <t>84.126A</t>
  </si>
  <si>
    <t>X46CXF00027</t>
  </si>
  <si>
    <t>TOTAL DEPT. OF EDUCATION</t>
  </si>
  <si>
    <t>U.S. DEPT. OF HEALTH &amp; HUMAN SERVICES</t>
  </si>
  <si>
    <t>Passed Through IDHFS</t>
  </si>
  <si>
    <t xml:space="preserve">  Medicaid Matching</t>
  </si>
  <si>
    <t>2018-4991</t>
  </si>
  <si>
    <t>2019-4991</t>
  </si>
  <si>
    <t>TOTAL DEPT. OF HEALTH &amp; HUMAN SERVICES</t>
  </si>
  <si>
    <t>TOTAL FEDERAL FINANCIAL ASSISTANCE</t>
  </si>
  <si>
    <r>
      <t xml:space="preserve">The accompanying Schedule of Expenditures of Federal Awards includes the federal grant activity of </t>
    </r>
    <r>
      <rPr>
        <b/>
        <sz val="9"/>
        <rFont val="Calibri"/>
        <family val="2"/>
        <scheme val="minor"/>
      </rPr>
      <t>Perandoe Special Education District</t>
    </r>
    <r>
      <rPr>
        <sz val="9"/>
        <rFont val="Calibri"/>
        <family val="2"/>
        <scheme val="minor"/>
      </rPr>
      <t xml:space="preserve"> and is presented on the </t>
    </r>
    <r>
      <rPr>
        <b/>
        <sz val="9"/>
        <rFont val="Calibri"/>
        <family val="2"/>
        <scheme val="minor"/>
      </rPr>
      <t>Cash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</si>
  <si>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t>IDEA FLOW THROUGH</t>
  </si>
  <si>
    <t xml:space="preserve">  Chester Non-High #122</t>
  </si>
  <si>
    <t xml:space="preserve">  Chester #139</t>
  </si>
  <si>
    <t xml:space="preserve">  Coulterville #1</t>
  </si>
  <si>
    <t xml:space="preserve">  Prairie du Rocher #134</t>
  </si>
  <si>
    <t xml:space="preserve">  Red Bud #132</t>
  </si>
  <si>
    <t xml:space="preserve">  Sparta #140</t>
  </si>
  <si>
    <t xml:space="preserve">  Steeleville #138</t>
  </si>
  <si>
    <t xml:space="preserve">  Valmeyer #3</t>
  </si>
  <si>
    <t xml:space="preserve">  Waterloo #5</t>
  </si>
  <si>
    <r>
      <t xml:space="preserve">Of the federal expenditures presented in the schedule, </t>
    </r>
    <r>
      <rPr>
        <b/>
        <sz val="9"/>
        <rFont val="Calibri"/>
        <family val="2"/>
        <scheme val="minor"/>
      </rPr>
      <t>Perandoe Special Education District</t>
    </r>
    <r>
      <rPr>
        <sz val="9"/>
        <rFont val="Calibri"/>
        <family val="2"/>
        <scheme val="minor"/>
      </rPr>
      <t xml:space="preserve"> provided federal awards to subrecipients as follows:</t>
    </r>
  </si>
  <si>
    <t>Unmodified</t>
  </si>
  <si>
    <t>IDEA Special Education</t>
  </si>
  <si>
    <t>NONE</t>
  </si>
  <si>
    <t>Perandoe Spec Educ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</si>
</sst>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48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5" xfId="12" applyNumberFormat="1" applyFont="1" applyBorder="1" applyAlignment="1" applyProtection="1">
      <alignment horizontal="right" vertical="center"/>
    </xf>
    <xf numFmtId="0" fontId="9" fillId="0" borderId="125" xfId="12" applyFont="1" applyBorder="1" applyAlignment="1" applyProtection="1">
      <alignment vertical="center"/>
    </xf>
    <xf numFmtId="0" fontId="12" fillId="0" borderId="128" xfId="12" applyFont="1" applyBorder="1" applyAlignment="1" applyProtection="1">
      <alignment vertical="center"/>
    </xf>
    <xf numFmtId="0" fontId="12" fillId="0" borderId="126" xfId="12" applyFont="1" applyBorder="1" applyAlignment="1" applyProtection="1">
      <alignment vertical="center"/>
    </xf>
    <xf numFmtId="1" fontId="8" fillId="0" borderId="0" xfId="0" applyNumberFormat="1" applyFont="1" applyAlignment="1">
      <alignment horizontal="center" vertical="center"/>
    </xf>
    <xf numFmtId="0" fontId="9" fillId="0" borderId="135"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9" borderId="101" xfId="0" applyFont="1" applyFill="1" applyBorder="1" applyAlignment="1">
      <alignment horizontal="center" vertical="center"/>
    </xf>
    <xf numFmtId="0" fontId="74" fillId="9" borderId="102" xfId="0" applyFont="1" applyFill="1" applyBorder="1" applyAlignment="1">
      <alignment horizontal="center" vertical="center"/>
    </xf>
    <xf numFmtId="0" fontId="52" fillId="17" borderId="121" xfId="0" applyFont="1" applyFill="1" applyBorder="1" applyAlignment="1" applyProtection="1">
      <alignment horizontal="left" vertical="center"/>
    </xf>
    <xf numFmtId="164" fontId="52" fillId="17" borderId="121" xfId="0" applyNumberFormat="1" applyFont="1" applyFill="1" applyBorder="1" applyAlignment="1" applyProtection="1">
      <alignment horizontal="center" vertical="center"/>
    </xf>
    <xf numFmtId="164" fontId="62" fillId="17" borderId="121" xfId="0" applyNumberFormat="1" applyFont="1" applyFill="1" applyBorder="1" applyAlignment="1" applyProtection="1">
      <alignment vertical="center"/>
    </xf>
    <xf numFmtId="0" fontId="75" fillId="10" borderId="122" xfId="0" applyFont="1" applyFill="1" applyBorder="1" applyAlignment="1">
      <alignment horizontal="left" vertical="center"/>
    </xf>
    <xf numFmtId="38" fontId="47" fillId="10" borderId="103" xfId="0" applyNumberFormat="1" applyFont="1" applyFill="1" applyBorder="1" applyAlignment="1">
      <alignment horizontal="right"/>
    </xf>
    <xf numFmtId="38" fontId="47" fillId="10" borderId="110" xfId="0" applyNumberFormat="1" applyFont="1" applyFill="1" applyBorder="1" applyAlignment="1">
      <alignment horizontal="right"/>
    </xf>
    <xf numFmtId="0" fontId="76" fillId="11" borderId="103" xfId="0" applyFont="1" applyFill="1" applyBorder="1" applyAlignment="1">
      <alignment vertical="center"/>
    </xf>
    <xf numFmtId="164" fontId="52" fillId="13" borderId="117"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55" fillId="13" borderId="103" xfId="0" applyFont="1" applyFill="1" applyBorder="1" applyAlignment="1" applyProtection="1">
      <alignment vertical="center"/>
    </xf>
    <xf numFmtId="38" fontId="47" fillId="11" borderId="120" xfId="0" applyNumberFormat="1" applyFont="1" applyFill="1" applyBorder="1" applyAlignment="1" applyProtection="1">
      <alignment horizontal="right"/>
      <protection locked="0"/>
    </xf>
    <xf numFmtId="38" fontId="47" fillId="11" borderId="103" xfId="0" applyNumberFormat="1" applyFont="1" applyFill="1" applyBorder="1" applyAlignment="1" applyProtection="1">
      <alignment horizontal="right"/>
      <protection locked="0"/>
    </xf>
    <xf numFmtId="38" fontId="47" fillId="11" borderId="110" xfId="0" applyNumberFormat="1" applyFont="1" applyFill="1" applyBorder="1" applyAlignment="1" applyProtection="1">
      <alignment horizontal="right"/>
      <protection locked="0"/>
    </xf>
    <xf numFmtId="0" fontId="52" fillId="17" borderId="110" xfId="0" applyFont="1" applyFill="1" applyBorder="1" applyAlignment="1" applyProtection="1">
      <alignment horizontal="center" vertical="center"/>
    </xf>
    <xf numFmtId="164" fontId="52" fillId="17" borderId="110" xfId="0" applyNumberFormat="1" applyFont="1" applyFill="1" applyBorder="1" applyAlignment="1" applyProtection="1">
      <alignment horizontal="center" vertical="center"/>
    </xf>
    <xf numFmtId="164" fontId="62" fillId="17" borderId="110" xfId="0" applyNumberFormat="1" applyFont="1" applyFill="1" applyBorder="1" applyAlignment="1" applyProtection="1">
      <alignment vertical="center"/>
    </xf>
    <xf numFmtId="0" fontId="75" fillId="10" borderId="103" xfId="0" applyFont="1" applyFill="1" applyBorder="1" applyAlignment="1">
      <alignment horizontal="left" vertical="center"/>
    </xf>
    <xf numFmtId="0" fontId="52" fillId="17" borderId="0" xfId="0" applyFont="1" applyFill="1" applyBorder="1" applyAlignment="1" applyProtection="1">
      <alignment horizontal="left" vertical="center"/>
    </xf>
    <xf numFmtId="164" fontId="52" fillId="17" borderId="0" xfId="0" applyNumberFormat="1" applyFont="1" applyFill="1" applyBorder="1" applyAlignment="1" applyProtection="1">
      <alignment horizontal="center" vertical="center"/>
    </xf>
    <xf numFmtId="164" fontId="62" fillId="17" borderId="0" xfId="0" applyNumberFormat="1" applyFont="1" applyFill="1" applyBorder="1" applyAlignment="1" applyProtection="1">
      <alignment vertical="center"/>
    </xf>
    <xf numFmtId="0" fontId="60" fillId="13" borderId="117" xfId="0" applyFont="1" applyFill="1" applyBorder="1" applyAlignment="1" applyProtection="1">
      <alignment horizontal="left" vertical="center"/>
    </xf>
    <xf numFmtId="164" fontId="52" fillId="13" borderId="110" xfId="0" applyNumberFormat="1" applyFont="1" applyFill="1" applyBorder="1" applyAlignment="1" applyProtection="1">
      <alignment horizontal="center" vertical="center"/>
    </xf>
    <xf numFmtId="164" fontId="60" fillId="13" borderId="110" xfId="0" applyNumberFormat="1" applyFont="1" applyFill="1" applyBorder="1" applyAlignment="1" applyProtection="1">
      <alignment vertical="center"/>
    </xf>
    <xf numFmtId="0" fontId="76" fillId="11" borderId="103" xfId="0" applyFont="1" applyFill="1" applyBorder="1" applyAlignment="1">
      <alignment horizontal="left" vertical="center"/>
    </xf>
    <xf numFmtId="0" fontId="52" fillId="13" borderId="118" xfId="0" applyFont="1" applyFill="1" applyBorder="1" applyAlignment="1" applyProtection="1">
      <alignment horizontal="center" vertical="center"/>
    </xf>
    <xf numFmtId="164" fontId="52" fillId="13" borderId="119" xfId="0" applyNumberFormat="1" applyFont="1" applyFill="1" applyBorder="1" applyAlignment="1" applyProtection="1">
      <alignment horizontal="center" vertical="center"/>
    </xf>
    <xf numFmtId="164" fontId="62" fillId="13" borderId="119" xfId="0" applyNumberFormat="1" applyFont="1" applyFill="1" applyBorder="1" applyAlignment="1" applyProtection="1">
      <alignment vertical="center"/>
    </xf>
    <xf numFmtId="38" fontId="47" fillId="11" borderId="110" xfId="0" applyNumberFormat="1" applyFont="1" applyFill="1" applyBorder="1" applyAlignment="1">
      <alignment horizontal="right"/>
    </xf>
    <xf numFmtId="0" fontId="75" fillId="10" borderId="104" xfId="0" applyFont="1" applyFill="1" applyBorder="1" applyAlignment="1">
      <alignment horizontal="left" vertical="center"/>
    </xf>
    <xf numFmtId="38" fontId="47" fillId="10" borderId="104" xfId="0" applyNumberFormat="1" applyFont="1" applyFill="1" applyBorder="1" applyAlignment="1">
      <alignment horizontal="right"/>
    </xf>
    <xf numFmtId="38" fontId="47" fillId="10"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7" xfId="0" applyNumberFormat="1" applyFont="1" applyBorder="1" applyAlignment="1" applyProtection="1">
      <alignment horizontal="center" vertical="center"/>
    </xf>
    <xf numFmtId="38" fontId="53" fillId="0" borderId="127" xfId="0" applyNumberFormat="1" applyFont="1" applyBorder="1" applyAlignment="1" applyProtection="1">
      <alignment horizontal="right"/>
      <protection locked="0"/>
    </xf>
    <xf numFmtId="38" fontId="53" fillId="3" borderId="127"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3" xfId="0" applyNumberFormat="1" applyFont="1" applyFill="1" applyBorder="1" applyAlignment="1" applyProtection="1">
      <alignment horizontal="right"/>
      <protection locked="0"/>
    </xf>
    <xf numFmtId="38" fontId="53" fillId="0" borderId="111"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7"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7"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5"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7" xfId="0" applyFont="1" applyFill="1" applyBorder="1" applyAlignment="1">
      <alignment horizontal="center" vertical="center"/>
    </xf>
    <xf numFmtId="38" fontId="53" fillId="0" borderId="127"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5"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6" xfId="0" applyNumberFormat="1" applyFont="1" applyFill="1" applyBorder="1" applyAlignment="1">
      <alignment horizontal="center" vertical="center"/>
    </xf>
    <xf numFmtId="49" fontId="60" fillId="0" borderId="127"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7"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5"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19"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5"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5"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3" xfId="3" applyNumberFormat="1" applyFont="1" applyBorder="1" applyAlignment="1">
      <alignment horizontal="center" vertical="center"/>
    </xf>
    <xf numFmtId="0" fontId="55" fillId="0" borderId="133"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3"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2" xfId="0" applyFont="1" applyBorder="1"/>
    <xf numFmtId="0" fontId="53" fillId="0" borderId="13" xfId="0" applyFont="1" applyBorder="1"/>
    <xf numFmtId="0" fontId="53" fillId="0" borderId="125" xfId="0" applyFont="1" applyBorder="1" applyAlignment="1">
      <alignment horizontal="left" vertical="top"/>
    </xf>
    <xf numFmtId="164" fontId="111" fillId="0" borderId="128" xfId="0" applyNumberFormat="1" applyFont="1" applyBorder="1" applyAlignment="1">
      <alignment horizontal="right" vertical="top"/>
    </xf>
    <xf numFmtId="0" fontId="53" fillId="0" borderId="128" xfId="0" applyNumberFormat="1" applyFont="1" applyBorder="1" applyAlignment="1">
      <alignment horizontal="left" vertical="center" wrapText="1" indent="1"/>
    </xf>
    <xf numFmtId="0" fontId="83" fillId="0" borderId="127" xfId="0" applyFont="1" applyBorder="1" applyAlignment="1">
      <alignment horizontal="left" vertical="center" wrapText="1"/>
    </xf>
    <xf numFmtId="0" fontId="53" fillId="0" borderId="128" xfId="0" applyFont="1" applyBorder="1" applyAlignment="1">
      <alignment horizontal="left" vertical="top"/>
    </xf>
    <xf numFmtId="0" fontId="53" fillId="0" borderId="0" xfId="0" applyFont="1" applyBorder="1" applyAlignment="1">
      <alignment vertical="top"/>
    </xf>
    <xf numFmtId="0" fontId="113" fillId="0" borderId="128" xfId="0" applyNumberFormat="1" applyFont="1" applyBorder="1" applyAlignment="1">
      <alignment horizontal="left" vertical="center"/>
    </xf>
    <xf numFmtId="0" fontId="111" fillId="0" borderId="128" xfId="0" applyFont="1" applyBorder="1" applyAlignment="1">
      <alignment vertical="top"/>
    </xf>
    <xf numFmtId="0" fontId="111" fillId="0" borderId="128" xfId="0" applyFont="1" applyBorder="1" applyAlignment="1">
      <alignment horizontal="left" vertical="top"/>
    </xf>
    <xf numFmtId="0" fontId="53" fillId="0" borderId="125" xfId="0" applyFont="1" applyBorder="1" applyAlignment="1"/>
    <xf numFmtId="164" fontId="111" fillId="0" borderId="128" xfId="0" applyNumberFormat="1" applyFont="1" applyBorder="1" applyAlignment="1"/>
    <xf numFmtId="0" fontId="53" fillId="0" borderId="128" xfId="0" applyFont="1" applyBorder="1" applyAlignment="1"/>
    <xf numFmtId="0" fontId="60" fillId="0" borderId="126"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4"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5" xfId="0" applyFont="1" applyFill="1" applyBorder="1" applyAlignment="1"/>
    <xf numFmtId="0" fontId="52" fillId="0" borderId="128" xfId="0" applyFont="1" applyFill="1" applyBorder="1" applyAlignment="1">
      <alignment horizontal="left" vertical="top"/>
    </xf>
    <xf numFmtId="0" fontId="52" fillId="0" borderId="126"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6"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3" xfId="3" quotePrefix="1" applyNumberFormat="1" applyFont="1" applyBorder="1" applyAlignment="1" applyProtection="1">
      <alignment horizontal="left"/>
    </xf>
    <xf numFmtId="0" fontId="60" fillId="0" borderId="144" xfId="3" applyNumberFormat="1" applyFont="1" applyBorder="1" applyAlignment="1" applyProtection="1">
      <alignment horizontal="center"/>
    </xf>
    <xf numFmtId="0" fontId="60" fillId="0" borderId="144" xfId="3" applyNumberFormat="1" applyFont="1" applyBorder="1" applyProtection="1"/>
    <xf numFmtId="0" fontId="53" fillId="0" borderId="143" xfId="3" applyNumberFormat="1" applyFont="1" applyBorder="1" applyAlignment="1" applyProtection="1"/>
    <xf numFmtId="0" fontId="60" fillId="0" borderId="145" xfId="3" applyNumberFormat="1" applyFont="1" applyBorder="1" applyAlignment="1" applyProtection="1">
      <alignment horizontal="centerContinuous"/>
    </xf>
    <xf numFmtId="0" fontId="53" fillId="0" borderId="143" xfId="3" applyNumberFormat="1" applyFont="1" applyBorder="1" applyAlignment="1" applyProtection="1">
      <alignment horizontal="left"/>
    </xf>
    <xf numFmtId="0" fontId="60" fillId="0" borderId="145" xfId="3" applyNumberFormat="1" applyFont="1" applyBorder="1" applyProtection="1"/>
    <xf numFmtId="0" fontId="60" fillId="0" borderId="144"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3"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3" fillId="0" borderId="0" xfId="3" applyNumberFormat="1" applyFont="1" applyProtection="1"/>
    <xf numFmtId="0" fontId="60" fillId="0" borderId="0" xfId="3" quotePrefix="1" applyNumberFormat="1" applyFont="1" applyAlignment="1" applyProtection="1">
      <alignment horizontal="left"/>
    </xf>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7"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4"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8"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6" xfId="3" applyFont="1" applyBorder="1" applyProtection="1"/>
    <xf numFmtId="0" fontId="53" fillId="0" borderId="147" xfId="3" applyFont="1" applyBorder="1" applyProtection="1">
      <protection locked="0"/>
    </xf>
    <xf numFmtId="0" fontId="53" fillId="0" borderId="146"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5" xfId="3" applyNumberFormat="1" applyFont="1" applyBorder="1" applyAlignment="1" applyProtection="1">
      <alignment horizontal="center"/>
    </xf>
    <xf numFmtId="0" fontId="62" fillId="0" borderId="144" xfId="3" applyFont="1" applyBorder="1" applyAlignment="1" applyProtection="1">
      <alignment horizontal="centerContinuous"/>
    </xf>
    <xf numFmtId="0" fontId="62" fillId="0" borderId="145"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5"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0" borderId="72" xfId="3" applyFont="1" applyFill="1" applyBorder="1" applyAlignment="1" applyProtection="1">
      <alignment horizontal="center"/>
    </xf>
    <xf numFmtId="0" fontId="62" fillId="21"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0"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1"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0" borderId="0" xfId="3" applyFont="1" applyFill="1" applyProtection="1"/>
    <xf numFmtId="169" fontId="55" fillId="20" borderId="0" xfId="3" applyNumberFormat="1" applyFont="1" applyFill="1" applyProtection="1"/>
    <xf numFmtId="1" fontId="55" fillId="20" borderId="0" xfId="3" applyNumberFormat="1" applyFont="1" applyFill="1" applyProtection="1"/>
    <xf numFmtId="0" fontId="55" fillId="20"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4" xfId="3" applyFont="1" applyBorder="1" applyProtection="1"/>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4" xfId="3" quotePrefix="1" applyFont="1" applyBorder="1" applyAlignment="1" applyProtection="1">
      <alignment horizontal="left"/>
    </xf>
    <xf numFmtId="0" fontId="53" fillId="0" borderId="144" xfId="3" applyFont="1" applyBorder="1" applyProtection="1"/>
    <xf numFmtId="0" fontId="53" fillId="0" borderId="144"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4" xfId="3" applyFont="1" applyBorder="1" applyProtection="1"/>
    <xf numFmtId="0" fontId="55" fillId="0" borderId="0" xfId="3" applyFont="1" applyBorder="1" applyAlignment="1" applyProtection="1">
      <alignment horizontal="left"/>
    </xf>
    <xf numFmtId="0" fontId="62" fillId="0" borderId="144" xfId="3" applyFont="1" applyBorder="1" applyAlignment="1" applyProtection="1">
      <alignment horizontal="left"/>
    </xf>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4"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49"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70" fillId="0" borderId="151" xfId="3" applyFont="1" applyBorder="1" applyAlignment="1" applyProtection="1">
      <alignment horizontal="left"/>
    </xf>
    <xf numFmtId="0" fontId="55" fillId="0" borderId="151" xfId="3" applyFont="1" applyBorder="1" applyProtection="1"/>
    <xf numFmtId="0" fontId="55" fillId="0" borderId="151"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8"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29"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7" xfId="0" applyNumberFormat="1" applyFont="1" applyBorder="1" applyAlignment="1">
      <alignment horizontal="left" vertical="center" wrapText="1" indent="1"/>
    </xf>
    <xf numFmtId="3" fontId="60" fillId="0" borderId="125"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7"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7" xfId="0" applyNumberFormat="1" applyFont="1" applyFill="1" applyBorder="1" applyAlignment="1" applyProtection="1">
      <alignment horizontal="right" vertical="center"/>
      <protection locked="0"/>
    </xf>
    <xf numFmtId="38" fontId="52" fillId="6" borderId="155" xfId="0" applyNumberFormat="1" applyFont="1" applyFill="1" applyBorder="1" applyAlignment="1">
      <alignment horizontal="center" vertical="center" wrapText="1"/>
    </xf>
    <xf numFmtId="38" fontId="52" fillId="6" borderId="155" xfId="0" applyNumberFormat="1" applyFont="1" applyFill="1" applyBorder="1" applyAlignment="1">
      <alignment horizontal="center" vertical="top" wrapText="1"/>
    </xf>
    <xf numFmtId="38" fontId="62" fillId="6" borderId="155"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0" xfId="17" applyFont="1" applyBorder="1" applyAlignment="1">
      <alignment horizontal="left" vertical="top"/>
    </xf>
    <xf numFmtId="0" fontId="124" fillId="0" borderId="141" xfId="17" applyFont="1" applyBorder="1" applyAlignment="1">
      <alignment horizontal="center" vertical="top"/>
    </xf>
    <xf numFmtId="0" fontId="124" fillId="0" borderId="142"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2" borderId="157" xfId="17" applyNumberFormat="1" applyFill="1" applyBorder="1" applyAlignment="1">
      <alignment horizontal="right" vertical="top"/>
    </xf>
    <xf numFmtId="38" fontId="5" fillId="22" borderId="158"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3" borderId="156" xfId="17" applyFont="1" applyFill="1" applyBorder="1" applyAlignment="1">
      <alignment horizontal="center" vertical="center" wrapText="1"/>
    </xf>
    <xf numFmtId="38" fontId="123" fillId="23" borderId="156" xfId="17" applyNumberFormat="1" applyFont="1" applyFill="1" applyBorder="1" applyAlignment="1">
      <alignment horizontal="center" vertical="center" wrapText="1"/>
    </xf>
    <xf numFmtId="3" fontId="53" fillId="23" borderId="131" xfId="0" applyNumberFormat="1" applyFont="1" applyFill="1" applyBorder="1" applyAlignment="1">
      <alignment horizontal="center"/>
    </xf>
    <xf numFmtId="3" fontId="53" fillId="23" borderId="131" xfId="0" applyNumberFormat="1" applyFont="1" applyFill="1" applyBorder="1" applyAlignment="1">
      <alignment horizontal="right"/>
    </xf>
    <xf numFmtId="3" fontId="53" fillId="23" borderId="132" xfId="0" applyNumberFormat="1" applyFont="1" applyFill="1" applyBorder="1" applyAlignment="1">
      <alignment horizontal="center"/>
    </xf>
    <xf numFmtId="38" fontId="53" fillId="23" borderId="19" xfId="0" applyNumberFormat="1" applyFont="1" applyFill="1" applyBorder="1" applyAlignment="1">
      <alignment horizontal="right"/>
    </xf>
    <xf numFmtId="38" fontId="53" fillId="23" borderId="20" xfId="0" applyNumberFormat="1" applyFont="1" applyFill="1" applyBorder="1" applyAlignment="1">
      <alignment horizontal="right"/>
    </xf>
    <xf numFmtId="38" fontId="53" fillId="23" borderId="11" xfId="0" applyNumberFormat="1" applyFont="1" applyFill="1" applyBorder="1" applyAlignment="1">
      <alignment horizontal="right"/>
    </xf>
    <xf numFmtId="3" fontId="63" fillId="23" borderId="125" xfId="0" applyNumberFormat="1" applyFont="1" applyFill="1" applyBorder="1" applyAlignment="1">
      <alignment horizontal="center" vertical="center" wrapText="1"/>
    </xf>
    <xf numFmtId="49" fontId="60" fillId="23" borderId="11" xfId="0" applyNumberFormat="1" applyFont="1" applyFill="1" applyBorder="1" applyAlignment="1">
      <alignment horizontal="center" vertical="center"/>
    </xf>
    <xf numFmtId="38" fontId="53" fillId="23" borderId="13" xfId="0" applyNumberFormat="1" applyFont="1" applyFill="1" applyBorder="1" applyAlignment="1">
      <alignment horizontal="right"/>
    </xf>
    <xf numFmtId="38" fontId="53" fillId="23" borderId="21" xfId="0" applyNumberFormat="1" applyFont="1" applyFill="1" applyBorder="1" applyAlignment="1">
      <alignment horizontal="right"/>
    </xf>
    <xf numFmtId="38" fontId="53" fillId="23" borderId="14" xfId="0" applyNumberFormat="1" applyFont="1" applyFill="1" applyBorder="1" applyAlignment="1">
      <alignment horizontal="right"/>
    </xf>
    <xf numFmtId="38" fontId="52" fillId="23" borderId="13" xfId="0" applyNumberFormat="1" applyFont="1" applyFill="1" applyBorder="1" applyAlignment="1" applyProtection="1">
      <alignment horizontal="right"/>
    </xf>
    <xf numFmtId="38" fontId="52" fillId="23" borderId="21" xfId="0" applyNumberFormat="1" applyFont="1" applyFill="1" applyBorder="1" applyAlignment="1" applyProtection="1">
      <alignment horizontal="right"/>
    </xf>
    <xf numFmtId="38" fontId="52" fillId="23" borderId="21" xfId="1" applyNumberFormat="1" applyFont="1" applyFill="1" applyBorder="1" applyAlignment="1" applyProtection="1">
      <alignment horizontal="right"/>
    </xf>
    <xf numFmtId="38" fontId="52" fillId="23" borderId="14" xfId="0" applyNumberFormat="1" applyFont="1" applyFill="1" applyBorder="1" applyAlignment="1" applyProtection="1">
      <alignment horizontal="right"/>
    </xf>
    <xf numFmtId="38" fontId="53" fillId="23" borderId="19" xfId="0" applyNumberFormat="1" applyFont="1" applyFill="1" applyBorder="1" applyAlignment="1" applyProtection="1">
      <alignment horizontal="right"/>
    </xf>
    <xf numFmtId="38" fontId="53" fillId="23" borderId="20"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0" fontId="55" fillId="23" borderId="31" xfId="0" applyFont="1" applyFill="1" applyBorder="1" applyAlignment="1">
      <alignment horizontal="center" vertical="center"/>
    </xf>
    <xf numFmtId="38" fontId="53" fillId="23" borderId="13" xfId="0" applyNumberFormat="1" applyFont="1" applyFill="1" applyBorder="1" applyAlignment="1" applyProtection="1">
      <alignment horizontal="right"/>
    </xf>
    <xf numFmtId="38" fontId="53" fillId="23" borderId="11" xfId="0" applyNumberFormat="1" applyFont="1" applyFill="1" applyBorder="1" applyAlignment="1" applyProtection="1">
      <alignment horizontal="right"/>
    </xf>
    <xf numFmtId="38" fontId="53" fillId="23" borderId="49" xfId="0" applyNumberFormat="1" applyFont="1" applyFill="1" applyBorder="1" applyAlignment="1" applyProtection="1">
      <alignment horizontal="right"/>
    </xf>
    <xf numFmtId="38" fontId="53" fillId="23" borderId="34" xfId="0" applyNumberFormat="1" applyFont="1" applyFill="1" applyBorder="1" applyAlignment="1" applyProtection="1">
      <alignment horizontal="right"/>
    </xf>
    <xf numFmtId="38" fontId="53" fillId="23" borderId="31" xfId="0" applyNumberFormat="1" applyFont="1" applyFill="1" applyBorder="1" applyAlignment="1" applyProtection="1">
      <alignment horizontal="right"/>
    </xf>
    <xf numFmtId="3" fontId="52" fillId="23" borderId="13" xfId="0" applyNumberFormat="1" applyFont="1" applyFill="1" applyBorder="1" applyAlignment="1" applyProtection="1">
      <alignment horizontal="right" vertical="center"/>
    </xf>
    <xf numFmtId="3" fontId="52" fillId="23" borderId="21" xfId="0" applyNumberFormat="1" applyFont="1" applyFill="1" applyBorder="1" applyAlignment="1" applyProtection="1">
      <alignment horizontal="right" vertical="center"/>
    </xf>
    <xf numFmtId="3" fontId="52" fillId="23" borderId="14" xfId="0" applyNumberFormat="1" applyFont="1" applyFill="1" applyBorder="1" applyAlignment="1" applyProtection="1">
      <alignment horizontal="right" vertical="center"/>
    </xf>
    <xf numFmtId="0" fontId="62" fillId="17" borderId="14" xfId="0" applyFont="1" applyFill="1" applyBorder="1" applyAlignment="1" applyProtection="1">
      <alignment horizontal="left" vertical="center"/>
    </xf>
    <xf numFmtId="0" fontId="62" fillId="17" borderId="2" xfId="0" applyFont="1" applyFill="1" applyBorder="1" applyAlignment="1" applyProtection="1">
      <alignment horizontal="center" vertical="top"/>
    </xf>
    <xf numFmtId="0" fontId="62" fillId="17" borderId="2" xfId="0" applyFont="1" applyFill="1" applyBorder="1" applyAlignment="1" applyProtection="1">
      <alignment horizontal="center" vertical="center"/>
    </xf>
    <xf numFmtId="3" fontId="52" fillId="23" borderId="13" xfId="0" applyNumberFormat="1" applyFont="1" applyFill="1" applyBorder="1" applyAlignment="1" applyProtection="1">
      <alignment horizontal="center" vertical="center"/>
    </xf>
    <xf numFmtId="49" fontId="62" fillId="23" borderId="21" xfId="0" applyNumberFormat="1" applyFont="1" applyFill="1" applyBorder="1" applyAlignment="1" applyProtection="1">
      <alignment horizontal="center" vertical="center"/>
    </xf>
    <xf numFmtId="3" fontId="53" fillId="23" borderId="21" xfId="0" applyNumberFormat="1" applyFont="1" applyFill="1" applyBorder="1" applyAlignment="1" applyProtection="1">
      <alignment horizontal="center"/>
    </xf>
    <xf numFmtId="3" fontId="55" fillId="23" borderId="21" xfId="0" applyNumberFormat="1" applyFont="1" applyFill="1" applyBorder="1" applyAlignment="1" applyProtection="1">
      <alignment horizontal="center"/>
    </xf>
    <xf numFmtId="38" fontId="55" fillId="23" borderId="21" xfId="0" applyNumberFormat="1" applyFont="1" applyFill="1" applyBorder="1" applyAlignment="1" applyProtection="1">
      <alignment horizontal="center"/>
    </xf>
    <xf numFmtId="3" fontId="55" fillId="23" borderId="14" xfId="0" applyNumberFormat="1" applyFont="1" applyFill="1" applyBorder="1" applyAlignment="1" applyProtection="1">
      <alignment horizontal="center"/>
    </xf>
    <xf numFmtId="0" fontId="52" fillId="23" borderId="49" xfId="0" applyFont="1" applyFill="1" applyBorder="1" applyAlignment="1" applyProtection="1">
      <alignment horizontal="center" vertical="center" wrapText="1"/>
    </xf>
    <xf numFmtId="0" fontId="53" fillId="23" borderId="34"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wrapText="1"/>
    </xf>
    <xf numFmtId="0" fontId="55" fillId="23" borderId="31" xfId="0" applyFont="1" applyFill="1" applyBorder="1" applyAlignment="1">
      <alignment horizontal="center" vertical="center" wrapText="1"/>
    </xf>
    <xf numFmtId="164" fontId="52" fillId="23" borderId="49" xfId="0" applyNumberFormat="1" applyFont="1" applyFill="1" applyBorder="1" applyAlignment="1" applyProtection="1">
      <alignment horizontal="center" vertical="center"/>
    </xf>
    <xf numFmtId="3" fontId="62" fillId="17" borderId="20" xfId="0" applyNumberFormat="1" applyFont="1" applyFill="1" applyBorder="1" applyAlignment="1" applyProtection="1">
      <alignment horizontal="left" vertical="center"/>
    </xf>
    <xf numFmtId="0" fontId="62" fillId="17" borderId="2" xfId="0" applyFont="1" applyFill="1" applyBorder="1" applyAlignment="1">
      <alignment horizontal="center" vertical="center"/>
    </xf>
    <xf numFmtId="164" fontId="62" fillId="17" borderId="20" xfId="0" applyNumberFormat="1" applyFont="1" applyFill="1" applyBorder="1" applyAlignment="1" applyProtection="1">
      <alignment horizontal="left" vertical="center"/>
    </xf>
    <xf numFmtId="0" fontId="62" fillId="17" borderId="29" xfId="0" applyFont="1" applyFill="1" applyBorder="1" applyAlignment="1" applyProtection="1">
      <alignment horizontal="center" vertical="center"/>
    </xf>
    <xf numFmtId="0" fontId="62" fillId="17" borderId="127" xfId="0" applyFont="1" applyFill="1" applyBorder="1" applyAlignment="1" applyProtection="1">
      <alignment horizontal="center" vertical="center"/>
    </xf>
    <xf numFmtId="164" fontId="62" fillId="17" borderId="21" xfId="0" applyNumberFormat="1" applyFont="1" applyFill="1" applyBorder="1" applyAlignment="1" applyProtection="1">
      <alignment horizontal="left" vertical="center"/>
    </xf>
    <xf numFmtId="0" fontId="62" fillId="17" borderId="14" xfId="0" applyFont="1" applyFill="1" applyBorder="1" applyAlignment="1" applyProtection="1">
      <alignment horizontal="center" vertical="center"/>
    </xf>
    <xf numFmtId="0" fontId="62" fillId="17" borderId="31" xfId="0" applyFont="1" applyFill="1" applyBorder="1" applyAlignment="1" applyProtection="1">
      <alignment horizontal="center" vertical="center"/>
    </xf>
    <xf numFmtId="164" fontId="62" fillId="15" borderId="21" xfId="0" applyNumberFormat="1" applyFont="1" applyFill="1" applyBorder="1" applyAlignment="1" applyProtection="1">
      <alignment horizontal="left" vertical="center" indent="1"/>
    </xf>
    <xf numFmtId="0" fontId="60" fillId="15" borderId="14" xfId="0" applyFont="1" applyFill="1" applyBorder="1" applyAlignment="1" applyProtection="1">
      <alignment horizontal="center" vertical="center"/>
    </xf>
    <xf numFmtId="164" fontId="62" fillId="15" borderId="20" xfId="0" applyNumberFormat="1" applyFont="1" applyFill="1" applyBorder="1" applyAlignment="1" applyProtection="1">
      <alignment horizontal="left" vertical="center" indent="1"/>
    </xf>
    <xf numFmtId="1" fontId="60" fillId="15" borderId="11" xfId="0" applyNumberFormat="1" applyFont="1" applyFill="1" applyBorder="1" applyAlignment="1" applyProtection="1">
      <alignment horizontal="center" vertical="center"/>
    </xf>
    <xf numFmtId="1" fontId="60" fillId="15" borderId="4" xfId="0" applyNumberFormat="1" applyFont="1" applyFill="1" applyBorder="1" applyAlignment="1" applyProtection="1">
      <alignment horizontal="center" vertical="center"/>
    </xf>
    <xf numFmtId="0" fontId="62" fillId="15" borderId="21" xfId="0" applyFont="1" applyFill="1" applyBorder="1" applyAlignment="1">
      <alignment horizontal="left" vertical="center" indent="1"/>
    </xf>
    <xf numFmtId="0" fontId="60" fillId="15" borderId="14" xfId="0" applyFont="1" applyFill="1" applyBorder="1" applyAlignment="1">
      <alignment horizontal="left" vertical="center"/>
    </xf>
    <xf numFmtId="0" fontId="60" fillId="15" borderId="11" xfId="0" applyFont="1" applyFill="1" applyBorder="1" applyAlignment="1" applyProtection="1">
      <alignment horizontal="center" vertical="center"/>
    </xf>
    <xf numFmtId="3" fontId="62" fillId="17" borderId="125" xfId="0" applyNumberFormat="1" applyFont="1" applyFill="1" applyBorder="1" applyAlignment="1">
      <alignment horizontal="left" vertical="center" wrapText="1"/>
    </xf>
    <xf numFmtId="49" fontId="62" fillId="17" borderId="127" xfId="0" applyNumberFormat="1" applyFont="1" applyFill="1" applyBorder="1" applyAlignment="1">
      <alignment horizontal="center" vertical="center"/>
    </xf>
    <xf numFmtId="0" fontId="62" fillId="17" borderId="17" xfId="0" applyFont="1" applyFill="1" applyBorder="1" applyAlignment="1">
      <alignment horizontal="left" vertical="center" wrapText="1"/>
    </xf>
    <xf numFmtId="49" fontId="62" fillId="17" borderId="29" xfId="0" applyNumberFormat="1" applyFont="1" applyFill="1" applyBorder="1" applyAlignment="1">
      <alignment horizontal="center" vertical="center"/>
    </xf>
    <xf numFmtId="3" fontId="62" fillId="17" borderId="33" xfId="0" applyNumberFormat="1" applyFont="1" applyFill="1" applyBorder="1" applyAlignment="1">
      <alignment horizontal="left" vertical="center" wrapText="1"/>
    </xf>
    <xf numFmtId="49" fontId="62" fillId="17" borderId="33" xfId="0" applyNumberFormat="1" applyFont="1" applyFill="1" applyBorder="1" applyAlignment="1">
      <alignment horizontal="center" vertical="center"/>
    </xf>
    <xf numFmtId="164" fontId="62" fillId="17" borderId="125" xfId="0" applyNumberFormat="1" applyFont="1" applyFill="1" applyBorder="1" applyAlignment="1">
      <alignment horizontal="left" vertical="center" wrapText="1"/>
    </xf>
    <xf numFmtId="49" fontId="62" fillId="17" borderId="4" xfId="0" applyNumberFormat="1" applyFont="1" applyFill="1" applyBorder="1" applyAlignment="1">
      <alignment horizontal="center" vertical="center"/>
    </xf>
    <xf numFmtId="3" fontId="62" fillId="17" borderId="13" xfId="0" applyNumberFormat="1" applyFont="1" applyFill="1" applyBorder="1" applyAlignment="1">
      <alignment horizontal="left" vertical="center" wrapText="1"/>
    </xf>
    <xf numFmtId="49" fontId="62" fillId="17" borderId="2" xfId="0" applyNumberFormat="1" applyFont="1" applyFill="1" applyBorder="1" applyAlignment="1">
      <alignment horizontal="center" vertical="center"/>
    </xf>
    <xf numFmtId="164" fontId="62" fillId="17" borderId="17" xfId="0" applyNumberFormat="1" applyFont="1" applyFill="1" applyBorder="1" applyAlignment="1">
      <alignment horizontal="left" vertical="center" wrapText="1"/>
    </xf>
    <xf numFmtId="0" fontId="62" fillId="17" borderId="36" xfId="0" applyFont="1" applyFill="1" applyBorder="1" applyAlignment="1">
      <alignment horizontal="left" vertical="center" wrapText="1"/>
    </xf>
    <xf numFmtId="49" fontId="62" fillId="17" borderId="27" xfId="0" applyNumberFormat="1" applyFont="1" applyFill="1" applyBorder="1" applyAlignment="1">
      <alignment horizontal="center" vertical="center"/>
    </xf>
    <xf numFmtId="3" fontId="62" fillId="17" borderId="37" xfId="0" applyNumberFormat="1" applyFont="1" applyFill="1" applyBorder="1" applyAlignment="1">
      <alignment horizontal="left" vertical="center" wrapText="1"/>
    </xf>
    <xf numFmtId="0" fontId="62" fillId="17" borderId="13" xfId="0" applyFont="1" applyFill="1" applyBorder="1" applyAlignment="1">
      <alignment horizontal="left" vertical="center" wrapText="1"/>
    </xf>
    <xf numFmtId="49" fontId="62" fillId="17" borderId="14" xfId="0" applyNumberFormat="1" applyFont="1" applyFill="1" applyBorder="1" applyAlignment="1">
      <alignment horizontal="center" vertical="center"/>
    </xf>
    <xf numFmtId="0" fontId="62" fillId="17" borderId="37" xfId="0" applyFont="1" applyFill="1" applyBorder="1" applyAlignment="1">
      <alignment horizontal="left" vertical="center" wrapText="1"/>
    </xf>
    <xf numFmtId="164" fontId="62" fillId="17" borderId="13" xfId="0" applyNumberFormat="1" applyFont="1" applyFill="1" applyBorder="1" applyAlignment="1">
      <alignment horizontal="left" vertical="center" wrapText="1"/>
    </xf>
    <xf numFmtId="0" fontId="62" fillId="17" borderId="127" xfId="0" applyFont="1" applyFill="1" applyBorder="1" applyAlignment="1">
      <alignment horizontal="left" vertical="center" wrapText="1"/>
    </xf>
    <xf numFmtId="3" fontId="62" fillId="17" borderId="127" xfId="0" applyNumberFormat="1" applyFont="1" applyFill="1" applyBorder="1" applyAlignment="1">
      <alignment horizontal="left" vertical="center" wrapText="1"/>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0" fontId="62" fillId="17" borderId="50" xfId="0" applyFont="1" applyFill="1" applyBorder="1" applyAlignment="1" applyProtection="1">
      <alignment horizontal="left" vertical="center"/>
    </xf>
    <xf numFmtId="0" fontId="62" fillId="17" borderId="22" xfId="0" applyFont="1" applyFill="1" applyBorder="1" applyAlignment="1" applyProtection="1">
      <alignment horizontal="center" vertical="center"/>
    </xf>
    <xf numFmtId="0" fontId="62" fillId="17" borderId="46" xfId="0" applyFont="1" applyFill="1" applyBorder="1" applyAlignment="1" applyProtection="1">
      <alignment horizontal="left" vertical="center"/>
    </xf>
    <xf numFmtId="0" fontId="62" fillId="17" borderId="46" xfId="0" applyFont="1" applyFill="1" applyBorder="1" applyAlignment="1" applyProtection="1">
      <alignment horizontal="left" vertical="center" wrapText="1"/>
    </xf>
    <xf numFmtId="0" fontId="62" fillId="17" borderId="46" xfId="0" applyFont="1" applyFill="1" applyBorder="1" applyAlignment="1" applyProtection="1">
      <alignment horizontal="left" vertical="center" indent="1"/>
    </xf>
    <xf numFmtId="0" fontId="63" fillId="23" borderId="13" xfId="0" applyFont="1" applyFill="1" applyBorder="1" applyAlignment="1">
      <alignment horizontal="left" vertical="center"/>
    </xf>
    <xf numFmtId="0" fontId="63" fillId="23" borderId="21" xfId="0" applyFont="1" applyFill="1" applyBorder="1" applyAlignment="1">
      <alignment horizontal="left" vertical="center"/>
    </xf>
    <xf numFmtId="0" fontId="63" fillId="23" borderId="14" xfId="0" applyFont="1" applyFill="1" applyBorder="1" applyAlignment="1">
      <alignment horizontal="left" vertical="center"/>
    </xf>
    <xf numFmtId="0" fontId="52" fillId="15" borderId="12" xfId="0" applyFont="1" applyFill="1" applyBorder="1" applyAlignment="1" applyProtection="1">
      <alignment vertical="center"/>
    </xf>
    <xf numFmtId="0" fontId="62" fillId="0" borderId="159" xfId="0" applyFont="1" applyBorder="1" applyAlignment="1">
      <alignment horizontal="centerContinuous" vertical="center"/>
    </xf>
    <xf numFmtId="0" fontId="53" fillId="0" borderId="160" xfId="0" applyFont="1" applyBorder="1" applyAlignment="1">
      <alignment horizontal="centerContinuous" vertical="center"/>
    </xf>
    <xf numFmtId="0" fontId="55" fillId="0" borderId="160" xfId="0" applyFont="1" applyBorder="1" applyAlignment="1">
      <alignment horizontal="centerContinuous" vertical="center"/>
    </xf>
    <xf numFmtId="0" fontId="62" fillId="0" borderId="105" xfId="0" applyFont="1" applyBorder="1" applyAlignment="1">
      <alignment horizontal="center"/>
    </xf>
    <xf numFmtId="0" fontId="55" fillId="23" borderId="16" xfId="3" applyFont="1" applyFill="1" applyBorder="1" applyAlignment="1">
      <alignment horizontal="left" vertical="center"/>
    </xf>
    <xf numFmtId="0" fontId="55" fillId="23" borderId="10" xfId="3" applyFont="1" applyFill="1" applyBorder="1" applyAlignment="1">
      <alignment horizontal="left" vertical="center"/>
    </xf>
    <xf numFmtId="0" fontId="55" fillId="23" borderId="19" xfId="3" applyNumberFormat="1" applyFont="1" applyFill="1" applyBorder="1" applyAlignment="1">
      <alignment vertical="center"/>
    </xf>
    <xf numFmtId="0" fontId="55" fillId="23" borderId="20" xfId="3" applyNumberFormat="1" applyFont="1" applyFill="1" applyBorder="1" applyAlignment="1">
      <alignment vertical="center"/>
    </xf>
    <xf numFmtId="0" fontId="55" fillId="23" borderId="11" xfId="3" applyNumberFormat="1" applyFont="1" applyFill="1" applyBorder="1" applyAlignment="1">
      <alignment vertical="center"/>
    </xf>
    <xf numFmtId="0" fontId="4" fillId="0" borderId="0" xfId="17" quotePrefix="1" applyNumberFormat="1" applyFont="1"/>
    <xf numFmtId="0" fontId="125" fillId="20" borderId="157" xfId="17" applyFont="1" applyFill="1" applyBorder="1" applyAlignment="1" applyProtection="1">
      <alignment horizontal="left" vertical="top" wrapText="1"/>
    </xf>
    <xf numFmtId="49" fontId="125" fillId="20" borderId="157" xfId="17" applyNumberFormat="1" applyFont="1" applyFill="1" applyBorder="1" applyAlignment="1" applyProtection="1">
      <alignment horizontal="center" vertical="top"/>
    </xf>
    <xf numFmtId="0" fontId="125" fillId="20" borderId="157" xfId="17" applyFont="1" applyFill="1" applyBorder="1" applyAlignment="1" applyProtection="1">
      <alignment vertical="top"/>
    </xf>
    <xf numFmtId="38" fontId="125" fillId="20" borderId="157" xfId="17" applyNumberFormat="1" applyFont="1" applyFill="1" applyBorder="1" applyAlignment="1" applyProtection="1">
      <alignment horizontal="right" vertical="top"/>
    </xf>
    <xf numFmtId="38" fontId="125" fillId="20" borderId="157" xfId="17" applyNumberFormat="1" applyFont="1" applyFill="1" applyBorder="1" applyAlignment="1" applyProtection="1">
      <alignment vertical="top"/>
    </xf>
    <xf numFmtId="0" fontId="5" fillId="0" borderId="157" xfId="17" applyBorder="1" applyAlignment="1" applyProtection="1">
      <alignment horizontal="left" vertical="top" wrapText="1"/>
      <protection locked="0"/>
    </xf>
    <xf numFmtId="0" fontId="5" fillId="0" borderId="157" xfId="17" applyBorder="1" applyAlignment="1" applyProtection="1">
      <alignment vertical="top"/>
      <protection locked="0"/>
    </xf>
    <xf numFmtId="0" fontId="4" fillId="0" borderId="157" xfId="17" applyFont="1" applyBorder="1" applyAlignment="1" applyProtection="1">
      <alignment horizontal="left" vertical="top" wrapText="1"/>
      <protection locked="0"/>
    </xf>
    <xf numFmtId="0" fontId="4" fillId="0" borderId="157"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7" xfId="17" applyNumberFormat="1" applyBorder="1" applyAlignment="1" applyProtection="1">
      <alignment horizontal="center" vertical="center"/>
      <protection locked="0"/>
    </xf>
    <xf numFmtId="49" fontId="3" fillId="0" borderId="157" xfId="17" applyNumberFormat="1" applyFont="1" applyBorder="1" applyAlignment="1" applyProtection="1">
      <alignment horizontal="center" vertical="center"/>
      <protection locked="0"/>
    </xf>
    <xf numFmtId="3" fontId="62" fillId="16" borderId="36" xfId="0" applyNumberFormat="1" applyFont="1" applyFill="1" applyBorder="1" applyAlignment="1">
      <alignment horizontal="left" vertical="center" wrapText="1" indent="1"/>
    </xf>
    <xf numFmtId="49" fontId="62" fillId="16" borderId="27" xfId="0" applyNumberFormat="1" applyFont="1" applyFill="1" applyBorder="1" applyAlignment="1">
      <alignment horizontal="center" vertical="center"/>
    </xf>
    <xf numFmtId="38" fontId="53" fillId="16" borderId="27" xfId="0" applyNumberFormat="1" applyFont="1" applyFill="1" applyBorder="1" applyAlignment="1">
      <alignment horizontal="right"/>
    </xf>
    <xf numFmtId="38" fontId="53" fillId="16" borderId="2" xfId="0" applyNumberFormat="1" applyFont="1" applyFill="1" applyBorder="1" applyAlignment="1">
      <alignment horizontal="right"/>
    </xf>
    <xf numFmtId="38" fontId="53" fillId="16" borderId="4" xfId="0" applyNumberFormat="1" applyFont="1" applyFill="1" applyBorder="1" applyAlignment="1">
      <alignment horizontal="right"/>
    </xf>
    <xf numFmtId="49" fontId="62" fillId="16" borderId="36" xfId="0" applyNumberFormat="1" applyFont="1" applyFill="1" applyBorder="1" applyAlignment="1">
      <alignment horizontal="center" vertical="center"/>
    </xf>
    <xf numFmtId="38" fontId="53" fillId="16" borderId="30" xfId="0" applyNumberFormat="1" applyFont="1" applyFill="1" applyBorder="1" applyAlignment="1">
      <alignment horizontal="right"/>
    </xf>
    <xf numFmtId="49" fontId="62" fillId="16" borderId="30" xfId="0" applyNumberFormat="1" applyFont="1" applyFill="1" applyBorder="1" applyAlignment="1">
      <alignment horizontal="center" vertical="center"/>
    </xf>
    <xf numFmtId="0" fontId="62" fillId="16" borderId="32" xfId="0" applyNumberFormat="1" applyFont="1" applyFill="1" applyBorder="1" applyAlignment="1">
      <alignment horizontal="center" vertical="center"/>
    </xf>
    <xf numFmtId="38" fontId="53" fillId="16" borderId="32" xfId="0" applyNumberFormat="1" applyFont="1" applyFill="1" applyBorder="1" applyAlignment="1">
      <alignment horizontal="right"/>
    </xf>
    <xf numFmtId="0" fontId="62" fillId="16" borderId="27" xfId="0" applyFont="1" applyFill="1" applyBorder="1" applyAlignment="1">
      <alignment horizontal="center" vertical="center"/>
    </xf>
    <xf numFmtId="38" fontId="53" fillId="16" borderId="33" xfId="0" applyNumberFormat="1" applyFont="1" applyFill="1" applyBorder="1" applyAlignment="1">
      <alignment horizontal="right"/>
    </xf>
    <xf numFmtId="3" fontId="62" fillId="16" borderId="27" xfId="0" applyNumberFormat="1" applyFont="1" applyFill="1" applyBorder="1" applyAlignment="1">
      <alignment horizontal="left" vertical="center" indent="1"/>
    </xf>
    <xf numFmtId="0" fontId="62" fillId="16" borderId="27" xfId="0" applyFont="1" applyFill="1" applyBorder="1" applyAlignment="1">
      <alignment horizontal="center" vertical="top"/>
    </xf>
    <xf numFmtId="0" fontId="55" fillId="16" borderId="30" xfId="0" applyFont="1" applyFill="1" applyBorder="1" applyAlignment="1">
      <alignment horizontal="left" vertical="center" indent="1"/>
    </xf>
    <xf numFmtId="38" fontId="53" fillId="16" borderId="26" xfId="0" applyNumberFormat="1" applyFont="1" applyFill="1" applyBorder="1" applyAlignment="1">
      <alignment horizontal="right"/>
    </xf>
    <xf numFmtId="38" fontId="53" fillId="16" borderId="28" xfId="0" applyNumberFormat="1" applyFont="1" applyFill="1" applyBorder="1" applyAlignment="1">
      <alignment horizontal="right"/>
    </xf>
    <xf numFmtId="38" fontId="53" fillId="16" borderId="29" xfId="0" applyNumberFormat="1" applyFont="1" applyFill="1" applyBorder="1" applyAlignment="1">
      <alignment horizontal="right"/>
    </xf>
    <xf numFmtId="3" fontId="62" fillId="16" borderId="55" xfId="0" applyNumberFormat="1" applyFont="1" applyFill="1" applyBorder="1" applyAlignment="1">
      <alignment horizontal="left" vertical="center" wrapText="1" indent="1"/>
    </xf>
    <xf numFmtId="49" fontId="62" fillId="16" borderId="32" xfId="0" applyNumberFormat="1" applyFont="1" applyFill="1" applyBorder="1" applyAlignment="1">
      <alignment horizontal="center" vertical="center"/>
    </xf>
    <xf numFmtId="38" fontId="53" fillId="16" borderId="27" xfId="0" applyNumberFormat="1" applyFont="1" applyFill="1" applyBorder="1" applyAlignment="1" applyProtection="1">
      <alignment horizontal="right"/>
    </xf>
    <xf numFmtId="3" fontId="62" fillId="16" borderId="55" xfId="0" applyNumberFormat="1" applyFont="1" applyFill="1" applyBorder="1" applyAlignment="1">
      <alignment horizontal="left" vertical="top" wrapText="1" indent="1"/>
    </xf>
    <xf numFmtId="49" fontId="60" fillId="16" borderId="51" xfId="0" applyNumberFormat="1" applyFont="1" applyFill="1" applyBorder="1" applyAlignment="1">
      <alignment horizontal="center" vertical="top"/>
    </xf>
    <xf numFmtId="3" fontId="62" fillId="16" borderId="27" xfId="0" applyNumberFormat="1" applyFont="1" applyFill="1" applyBorder="1" applyAlignment="1">
      <alignment horizontal="left" vertical="center" wrapText="1" indent="1"/>
    </xf>
    <xf numFmtId="3" fontId="62" fillId="16" borderId="36" xfId="0" applyNumberFormat="1" applyFont="1" applyFill="1" applyBorder="1" applyAlignment="1">
      <alignment horizontal="left" vertical="top" wrapText="1" indent="1"/>
    </xf>
    <xf numFmtId="0" fontId="60" fillId="16" borderId="30" xfId="0" applyFont="1" applyFill="1" applyBorder="1" applyAlignment="1">
      <alignment vertical="top"/>
    </xf>
    <xf numFmtId="3" fontId="62" fillId="16" borderId="36" xfId="0" applyNumberFormat="1" applyFont="1" applyFill="1" applyBorder="1" applyAlignment="1">
      <alignment horizontal="left" vertical="center" indent="1"/>
    </xf>
    <xf numFmtId="0" fontId="62" fillId="16" borderId="30" xfId="0" applyFont="1" applyFill="1" applyBorder="1" applyAlignment="1">
      <alignment horizontal="center" vertical="center"/>
    </xf>
    <xf numFmtId="0" fontId="62" fillId="16" borderId="27" xfId="0" applyFont="1" applyFill="1" applyBorder="1" applyAlignment="1">
      <alignment horizontal="center" vertical="center" wrapText="1"/>
    </xf>
    <xf numFmtId="49" fontId="62" fillId="16" borderId="27" xfId="0" applyNumberFormat="1" applyFont="1" applyFill="1" applyBorder="1" applyAlignment="1">
      <alignment horizontal="center" vertical="top" wrapText="1"/>
    </xf>
    <xf numFmtId="3" fontId="62" fillId="16" borderId="36" xfId="0" applyNumberFormat="1" applyFont="1" applyFill="1" applyBorder="1" applyAlignment="1">
      <alignment horizontal="left" vertical="top" indent="1"/>
    </xf>
    <xf numFmtId="38" fontId="53" fillId="16" borderId="3" xfId="0" applyNumberFormat="1" applyFont="1" applyFill="1" applyBorder="1" applyAlignment="1">
      <alignment horizontal="right"/>
    </xf>
    <xf numFmtId="0" fontId="62" fillId="16" borderId="36" xfId="0" applyFont="1" applyFill="1" applyBorder="1" applyAlignment="1">
      <alignment horizontal="left" vertical="center" wrapText="1" indent="1"/>
    </xf>
    <xf numFmtId="49" fontId="60" fillId="16" borderId="51" xfId="0" applyNumberFormat="1" applyFont="1" applyFill="1" applyBorder="1" applyAlignment="1">
      <alignment horizontal="center" vertical="center"/>
    </xf>
    <xf numFmtId="38" fontId="53" fillId="16" borderId="33" xfId="0" applyNumberFormat="1" applyFont="1" applyFill="1" applyBorder="1" applyAlignment="1" applyProtection="1">
      <alignment horizontal="right"/>
    </xf>
    <xf numFmtId="38" fontId="53" fillId="16" borderId="32" xfId="0" applyNumberFormat="1" applyFont="1" applyFill="1" applyBorder="1" applyAlignment="1" applyProtection="1">
      <alignment horizontal="right"/>
    </xf>
    <xf numFmtId="0" fontId="60"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center" wrapText="1" indent="1"/>
    </xf>
    <xf numFmtId="0" fontId="60" fillId="16" borderId="30" xfId="0" applyFont="1" applyFill="1" applyBorder="1" applyAlignment="1" applyProtection="1">
      <alignment horizontal="left" vertical="center"/>
    </xf>
    <xf numFmtId="38" fontId="53" fillId="16" borderId="36" xfId="0" applyNumberFormat="1" applyFont="1" applyFill="1" applyBorder="1" applyAlignment="1" applyProtection="1">
      <alignment horizontal="right"/>
    </xf>
    <xf numFmtId="0" fontId="62" fillId="16" borderId="35" xfId="0" applyFont="1" applyFill="1" applyBorder="1" applyAlignment="1" applyProtection="1">
      <alignment horizontal="left" vertical="center" indent="1"/>
    </xf>
    <xf numFmtId="0" fontId="60" fillId="16" borderId="30" xfId="0" applyFont="1" applyFill="1" applyBorder="1" applyAlignment="1" applyProtection="1">
      <alignment horizontal="center" vertical="center"/>
    </xf>
    <xf numFmtId="37" fontId="53" fillId="16" borderId="36" xfId="0" applyNumberFormat="1" applyFont="1" applyFill="1" applyBorder="1" applyAlignment="1" applyProtection="1">
      <alignment horizontal="right"/>
    </xf>
    <xf numFmtId="37" fontId="53" fillId="16" borderId="27" xfId="0" applyNumberFormat="1" applyFont="1" applyFill="1" applyBorder="1" applyAlignment="1" applyProtection="1">
      <alignment horizontal="right"/>
    </xf>
    <xf numFmtId="0" fontId="60"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top" wrapText="1" indent="1"/>
    </xf>
    <xf numFmtId="49" fontId="62" fillId="16" borderId="33" xfId="0" applyNumberFormat="1" applyFont="1" applyFill="1" applyBorder="1" applyAlignment="1">
      <alignment horizontal="center" vertical="center"/>
    </xf>
    <xf numFmtId="38" fontId="53" fillId="16" borderId="37" xfId="0" applyNumberFormat="1" applyFont="1" applyFill="1" applyBorder="1" applyAlignment="1" applyProtection="1">
      <alignment horizontal="right"/>
    </xf>
    <xf numFmtId="49" fontId="62" fillId="16" borderId="35" xfId="0" applyNumberFormat="1" applyFont="1" applyFill="1" applyBorder="1" applyAlignment="1" applyProtection="1">
      <alignment horizontal="left" vertical="top" indent="1"/>
    </xf>
    <xf numFmtId="49" fontId="62" fillId="16" borderId="27" xfId="0" applyNumberFormat="1" applyFont="1" applyFill="1" applyBorder="1" applyAlignment="1">
      <alignment horizontal="center" vertical="top"/>
    </xf>
    <xf numFmtId="38" fontId="53" fillId="16" borderId="12" xfId="0" applyNumberFormat="1" applyFont="1" applyFill="1" applyBorder="1" applyAlignment="1" applyProtection="1">
      <alignment horizontal="right"/>
    </xf>
    <xf numFmtId="49" fontId="60" fillId="16" borderId="30" xfId="0" applyNumberFormat="1" applyFont="1" applyFill="1" applyBorder="1" applyAlignment="1" applyProtection="1">
      <alignment horizontal="center" vertical="center"/>
    </xf>
    <xf numFmtId="1" fontId="60" fillId="16" borderId="30"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55" xfId="0" applyNumberFormat="1" applyFont="1" applyFill="1" applyBorder="1" applyAlignment="1" applyProtection="1">
      <alignment horizontal="right"/>
    </xf>
    <xf numFmtId="0" fontId="62" fillId="16" borderId="35" xfId="0" applyFont="1" applyFill="1" applyBorder="1" applyAlignment="1" applyProtection="1">
      <alignment horizontal="left" indent="1"/>
    </xf>
    <xf numFmtId="0" fontId="60" fillId="16" borderId="30" xfId="0" applyFont="1" applyFill="1" applyBorder="1" applyAlignment="1" applyProtection="1">
      <alignment horizontal="center"/>
    </xf>
    <xf numFmtId="0" fontId="62" fillId="16" borderId="36" xfId="0" applyFont="1" applyFill="1" applyBorder="1" applyAlignment="1" applyProtection="1">
      <alignment horizontal="left" vertical="center" indent="1"/>
    </xf>
    <xf numFmtId="0" fontId="60" fillId="16" borderId="27" xfId="0" applyFont="1" applyFill="1" applyBorder="1" applyAlignment="1" applyProtection="1">
      <alignment horizontal="center" vertical="center"/>
    </xf>
    <xf numFmtId="0" fontId="62" fillId="16" borderId="30" xfId="0" applyFont="1" applyFill="1" applyBorder="1" applyAlignment="1">
      <alignment vertical="center"/>
    </xf>
    <xf numFmtId="49" fontId="62" fillId="16" borderId="33" xfId="0" applyNumberFormat="1" applyFont="1" applyFill="1" applyBorder="1" applyAlignment="1" applyProtection="1">
      <alignment horizontal="left" vertical="center" wrapText="1" indent="1"/>
    </xf>
    <xf numFmtId="49" fontId="62" fillId="16" borderId="53" xfId="0" applyNumberFormat="1" applyFont="1" applyFill="1" applyBorder="1" applyAlignment="1">
      <alignment horizontal="center" vertical="center"/>
    </xf>
    <xf numFmtId="0" fontId="62" fillId="16" borderId="52" xfId="0" applyFont="1" applyFill="1" applyBorder="1" applyAlignment="1" applyProtection="1">
      <alignment horizontal="left" wrapText="1" indent="1"/>
    </xf>
    <xf numFmtId="0" fontId="60" fillId="16" borderId="53" xfId="0" applyFont="1" applyFill="1" applyBorder="1" applyAlignment="1" applyProtection="1">
      <alignment horizontal="left" indent="2"/>
    </xf>
    <xf numFmtId="176" fontId="55" fillId="16" borderId="2" xfId="0" applyNumberFormat="1" applyFont="1" applyFill="1" applyBorder="1" applyAlignment="1" applyProtection="1">
      <alignment vertical="center"/>
    </xf>
    <xf numFmtId="38" fontId="55" fillId="16" borderId="2"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vertical="center"/>
    </xf>
    <xf numFmtId="37" fontId="55" fillId="16" borderId="13" xfId="5" applyNumberFormat="1" applyFont="1" applyFill="1" applyBorder="1" applyAlignment="1" applyProtection="1">
      <alignment horizontal="right"/>
    </xf>
    <xf numFmtId="0" fontId="62" fillId="16" borderId="35" xfId="0" applyFont="1" applyFill="1" applyBorder="1" applyAlignment="1" applyProtection="1">
      <alignment horizontal="left" vertical="center" indent="2"/>
    </xf>
    <xf numFmtId="38" fontId="53" fillId="16" borderId="30" xfId="0" applyNumberFormat="1" applyFont="1" applyFill="1" applyBorder="1" applyAlignment="1" applyProtection="1">
      <alignment horizontal="right"/>
    </xf>
    <xf numFmtId="0" fontId="62" fillId="16" borderId="20" xfId="0" applyFont="1" applyFill="1" applyBorder="1" applyAlignment="1" applyProtection="1">
      <alignment horizontal="left" vertical="center" indent="2"/>
    </xf>
    <xf numFmtId="0" fontId="62" fillId="16" borderId="14" xfId="0" applyFont="1" applyFill="1" applyBorder="1" applyAlignment="1" applyProtection="1">
      <alignment horizontal="center" vertical="center"/>
    </xf>
    <xf numFmtId="38" fontId="53" fillId="16" borderId="26" xfId="0" applyNumberFormat="1" applyFont="1" applyFill="1" applyBorder="1" applyAlignment="1" applyProtection="1">
      <alignment horizontal="right"/>
    </xf>
    <xf numFmtId="0" fontId="62" fillId="16" borderId="30" xfId="0" applyFont="1" applyFill="1" applyBorder="1" applyAlignment="1" applyProtection="1">
      <alignment horizontal="center" vertical="center"/>
    </xf>
    <xf numFmtId="38" fontId="53" fillId="16" borderId="4" xfId="0" applyNumberFormat="1" applyFont="1" applyFill="1" applyBorder="1" applyAlignment="1" applyProtection="1">
      <alignment horizontal="right"/>
    </xf>
    <xf numFmtId="38" fontId="53" fillId="16" borderId="2" xfId="0" applyNumberFormat="1" applyFont="1" applyFill="1" applyBorder="1" applyAlignment="1" applyProtection="1">
      <alignment horizontal="right"/>
    </xf>
    <xf numFmtId="0" fontId="71" fillId="16" borderId="20" xfId="0" applyFont="1" applyFill="1" applyBorder="1" applyAlignment="1" applyProtection="1">
      <alignment horizontal="left" vertical="center" indent="1"/>
    </xf>
    <xf numFmtId="0" fontId="60" fillId="16" borderId="4" xfId="0" applyFont="1" applyFill="1" applyBorder="1" applyAlignment="1" applyProtection="1">
      <alignment horizontal="center"/>
    </xf>
    <xf numFmtId="38" fontId="53" fillId="16" borderId="28" xfId="0" applyNumberFormat="1" applyFont="1" applyFill="1" applyBorder="1" applyAlignment="1" applyProtection="1">
      <alignment horizontal="right"/>
    </xf>
    <xf numFmtId="38" fontId="53" fillId="16" borderId="18" xfId="0" applyNumberFormat="1" applyFont="1" applyFill="1" applyBorder="1" applyAlignment="1" applyProtection="1">
      <alignment horizontal="right"/>
    </xf>
    <xf numFmtId="38" fontId="53" fillId="16" borderId="0" xfId="0" applyNumberFormat="1" applyFont="1" applyFill="1" applyAlignment="1" applyProtection="1">
      <alignment horizontal="right"/>
    </xf>
    <xf numFmtId="38" fontId="53" fillId="16" borderId="127" xfId="0" applyNumberFormat="1" applyFont="1" applyFill="1" applyBorder="1" applyAlignment="1" applyProtection="1">
      <alignment horizontal="right" vertical="center"/>
      <protection locked="0"/>
    </xf>
    <xf numFmtId="38" fontId="53" fillId="16" borderId="2" xfId="0" applyNumberFormat="1" applyFont="1" applyFill="1" applyBorder="1" applyAlignment="1" applyProtection="1">
      <alignment horizontal="right" vertical="center"/>
      <protection locked="0"/>
    </xf>
    <xf numFmtId="38" fontId="53" fillId="16" borderId="27" xfId="0" applyNumberFormat="1" applyFont="1" applyFill="1" applyBorder="1" applyAlignment="1" applyProtection="1">
      <alignment horizontal="right" vertical="center"/>
      <protection locked="0"/>
    </xf>
    <xf numFmtId="38" fontId="53" fillId="16" borderId="127" xfId="0" applyNumberFormat="1" applyFont="1" applyFill="1" applyBorder="1" applyAlignment="1" applyProtection="1">
      <alignment horizontal="right" vertical="center"/>
    </xf>
    <xf numFmtId="38" fontId="53" fillId="16" borderId="2" xfId="0" applyNumberFormat="1" applyFont="1" applyFill="1" applyBorder="1" applyAlignment="1" applyProtection="1">
      <alignment horizontal="right" vertical="center"/>
    </xf>
    <xf numFmtId="0" fontId="62" fillId="16" borderId="27" xfId="0" applyFont="1" applyFill="1" applyBorder="1" applyAlignment="1">
      <alignment horizontal="left" vertical="center" wrapText="1" indent="1"/>
    </xf>
    <xf numFmtId="38" fontId="53" fillId="16" borderId="27" xfId="0" applyNumberFormat="1" applyFont="1" applyFill="1" applyBorder="1" applyAlignment="1" applyProtection="1">
      <alignment horizontal="right" vertical="center"/>
    </xf>
    <xf numFmtId="38" fontId="53" fillId="16" borderId="2" xfId="9" applyNumberFormat="1" applyFont="1" applyFill="1" applyBorder="1" applyAlignment="1" applyProtection="1">
      <alignment horizontal="right"/>
    </xf>
    <xf numFmtId="49" fontId="60" fillId="16" borderId="41"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vertical="center"/>
    </xf>
    <xf numFmtId="49" fontId="60" fillId="16" borderId="7" xfId="0" applyNumberFormat="1" applyFont="1" applyFill="1" applyBorder="1" applyAlignment="1" applyProtection="1">
      <alignment horizontal="center" vertical="center"/>
    </xf>
    <xf numFmtId="38" fontId="53" fillId="16" borderId="41" xfId="0" applyNumberFormat="1" applyFont="1" applyFill="1" applyBorder="1" applyAlignment="1" applyProtection="1">
      <alignment horizontal="right" vertical="center"/>
    </xf>
    <xf numFmtId="49" fontId="60" fillId="16" borderId="7" xfId="0" applyNumberFormat="1" applyFont="1" applyFill="1" applyBorder="1" applyAlignment="1" applyProtection="1">
      <alignment horizontal="left" vertical="center" indent="2"/>
    </xf>
    <xf numFmtId="0" fontId="55" fillId="16" borderId="7" xfId="0" applyFont="1" applyFill="1" applyBorder="1" applyAlignment="1">
      <alignment horizontal="left" indent="2"/>
    </xf>
    <xf numFmtId="38" fontId="53" fillId="16" borderId="60" xfId="0" applyNumberFormat="1" applyFont="1" applyFill="1" applyBorder="1" applyAlignment="1" applyProtection="1"/>
    <xf numFmtId="38" fontId="53" fillId="16" borderId="41" xfId="0" applyNumberFormat="1" applyFont="1" applyFill="1" applyBorder="1" applyAlignment="1" applyProtection="1">
      <alignment horizontal="right"/>
    </xf>
    <xf numFmtId="0" fontId="62" fillId="16" borderId="54" xfId="0" applyFont="1" applyFill="1" applyBorder="1" applyAlignment="1" applyProtection="1">
      <alignment horizontal="left" vertical="center" indent="2"/>
    </xf>
    <xf numFmtId="0" fontId="62" fillId="16" borderId="41" xfId="0" applyFont="1" applyFill="1" applyBorder="1" applyAlignment="1" applyProtection="1">
      <alignment horizontal="center" vertical="center"/>
    </xf>
    <xf numFmtId="0" fontId="62" fillId="16" borderId="41" xfId="0" applyFont="1" applyFill="1" applyBorder="1" applyAlignment="1" applyProtection="1">
      <alignment horizontal="left" vertical="center" indent="1"/>
    </xf>
    <xf numFmtId="0" fontId="55" fillId="16" borderId="41" xfId="0" applyFont="1" applyFill="1" applyBorder="1" applyAlignment="1" applyProtection="1">
      <alignment vertical="center"/>
    </xf>
    <xf numFmtId="38" fontId="53" fillId="16" borderId="22" xfId="0" applyNumberFormat="1" applyFont="1" applyFill="1" applyBorder="1" applyAlignment="1" applyProtection="1">
      <alignment horizontal="right" vertical="center"/>
    </xf>
    <xf numFmtId="0" fontId="60" fillId="16" borderId="0" xfId="10" applyFont="1" applyFill="1" applyAlignment="1">
      <alignment vertical="center"/>
    </xf>
    <xf numFmtId="0" fontId="60" fillId="16" borderId="0" xfId="10" applyFont="1" applyFill="1" applyAlignment="1">
      <alignment horizontal="center" vertical="center"/>
    </xf>
    <xf numFmtId="0" fontId="60" fillId="16" borderId="0" xfId="10" applyFont="1" applyFill="1" applyAlignment="1">
      <alignment horizontal="right" vertical="center"/>
    </xf>
    <xf numFmtId="0" fontId="62" fillId="16" borderId="0" xfId="10" applyFont="1" applyFill="1" applyAlignment="1">
      <alignment horizontal="right" vertical="center" indent="3"/>
    </xf>
    <xf numFmtId="0" fontId="60" fillId="16" borderId="0" xfId="10" applyFont="1" applyFill="1" applyBorder="1" applyAlignment="1">
      <alignment horizontal="right" vertical="center"/>
    </xf>
    <xf numFmtId="3" fontId="62" fillId="16" borderId="57" xfId="10" applyNumberFormat="1" applyFont="1" applyFill="1" applyBorder="1" applyAlignment="1" applyProtection="1">
      <alignment vertical="center"/>
    </xf>
    <xf numFmtId="0" fontId="60" fillId="16" borderId="0" xfId="10" applyFont="1" applyFill="1" applyAlignment="1">
      <alignment horizontal="left" vertical="center"/>
    </xf>
    <xf numFmtId="0" fontId="62" fillId="16" borderId="0" xfId="10" applyFont="1" applyFill="1" applyAlignment="1">
      <alignment horizontal="right" vertical="center"/>
    </xf>
    <xf numFmtId="38" fontId="62" fillId="16" borderId="47" xfId="10" applyNumberFormat="1" applyFont="1" applyFill="1" applyBorder="1" applyAlignment="1">
      <alignment horizontal="right"/>
    </xf>
    <xf numFmtId="0" fontId="60" fillId="16" borderId="0" xfId="10" quotePrefix="1" applyFont="1" applyFill="1" applyAlignment="1">
      <alignment horizontal="left" vertical="center"/>
    </xf>
    <xf numFmtId="38" fontId="60" fillId="16" borderId="58" xfId="10" applyNumberFormat="1" applyFont="1" applyFill="1" applyBorder="1" applyAlignment="1" applyProtection="1">
      <alignment horizontal="right"/>
    </xf>
    <xf numFmtId="0" fontId="60" fillId="16" borderId="0" xfId="11" quotePrefix="1" applyFont="1" applyFill="1" applyAlignment="1">
      <alignment horizontal="left" vertical="center"/>
    </xf>
    <xf numFmtId="0" fontId="62" fillId="16" borderId="0" xfId="10" quotePrefix="1" applyFont="1" applyFill="1" applyAlignment="1">
      <alignment horizontal="left" vertical="center"/>
    </xf>
    <xf numFmtId="40" fontId="62" fillId="16" borderId="47" xfId="10" applyNumberFormat="1" applyFont="1" applyFill="1" applyBorder="1" applyAlignment="1" applyProtection="1">
      <alignment horizontal="right"/>
    </xf>
    <xf numFmtId="0" fontId="60" fillId="16" borderId="0" xfId="11" applyFont="1" applyFill="1" applyAlignment="1">
      <alignment horizontal="left" vertical="center"/>
    </xf>
    <xf numFmtId="0" fontId="60" fillId="16" borderId="0" xfId="11" applyFont="1" applyFill="1" applyAlignment="1">
      <alignment horizontal="right" vertical="center"/>
    </xf>
    <xf numFmtId="0" fontId="62" fillId="16" borderId="0" xfId="11" applyFont="1" applyFill="1" applyAlignment="1">
      <alignment horizontal="right" vertical="center"/>
    </xf>
    <xf numFmtId="0" fontId="60" fillId="16" borderId="0" xfId="11" applyFont="1" applyFill="1" applyBorder="1" applyAlignment="1">
      <alignment horizontal="right" vertical="center"/>
    </xf>
    <xf numFmtId="38" fontId="62" fillId="16" borderId="9" xfId="11" applyNumberFormat="1" applyFont="1" applyFill="1" applyBorder="1" applyAlignment="1" applyProtection="1">
      <alignment horizontal="right"/>
    </xf>
    <xf numFmtId="38" fontId="60" fillId="16" borderId="6" xfId="11" applyNumberFormat="1" applyFont="1" applyFill="1" applyBorder="1" applyAlignment="1" applyProtection="1">
      <alignment horizontal="right"/>
    </xf>
    <xf numFmtId="0" fontId="60" fillId="16" borderId="0" xfId="11" applyFont="1" applyFill="1" applyAlignment="1">
      <alignment vertical="center"/>
    </xf>
    <xf numFmtId="40" fontId="60" fillId="16" borderId="9" xfId="11" applyNumberFormat="1" applyFont="1" applyFill="1" applyBorder="1" applyAlignment="1" applyProtection="1">
      <alignment horizontal="right"/>
    </xf>
    <xf numFmtId="40" fontId="62" fillId="16" borderId="57" xfId="11" applyNumberFormat="1" applyFont="1" applyFill="1" applyBorder="1" applyAlignment="1" applyProtection="1">
      <alignment horizontal="right"/>
    </xf>
    <xf numFmtId="38" fontId="5" fillId="16" borderId="157" xfId="17" applyNumberFormat="1" applyFill="1" applyBorder="1" applyAlignment="1" applyProtection="1">
      <alignment vertical="top"/>
    </xf>
    <xf numFmtId="38" fontId="5" fillId="16" borderId="158" xfId="17" applyNumberFormat="1" applyFill="1" applyBorder="1" applyAlignment="1" applyProtection="1">
      <alignment horizontal="right" vertical="top"/>
    </xf>
    <xf numFmtId="38" fontId="5" fillId="16" borderId="158" xfId="17" applyNumberFormat="1" applyFill="1" applyBorder="1" applyAlignment="1" applyProtection="1">
      <alignment vertical="top"/>
    </xf>
    <xf numFmtId="0" fontId="5" fillId="16" borderId="158" xfId="17" applyFill="1" applyBorder="1" applyAlignment="1" applyProtection="1">
      <alignment horizontal="left" vertical="top" wrapText="1"/>
    </xf>
    <xf numFmtId="49" fontId="5" fillId="16" borderId="158" xfId="17" applyNumberFormat="1" applyFill="1" applyBorder="1" applyAlignment="1" applyProtection="1">
      <alignment vertical="top"/>
    </xf>
    <xf numFmtId="0" fontId="5" fillId="16" borderId="158" xfId="17" applyFill="1" applyBorder="1" applyAlignment="1" applyProtection="1">
      <alignment vertical="top"/>
    </xf>
    <xf numFmtId="0" fontId="53" fillId="16" borderId="126" xfId="0" applyFont="1" applyFill="1" applyBorder="1"/>
    <xf numFmtId="37" fontId="53" fillId="16" borderId="126" xfId="0" applyNumberFormat="1" applyFont="1" applyFill="1" applyBorder="1"/>
    <xf numFmtId="37" fontId="53" fillId="16" borderId="128" xfId="0" applyNumberFormat="1" applyFont="1" applyFill="1" applyBorder="1"/>
    <xf numFmtId="0" fontId="53" fillId="16" borderId="14" xfId="0" applyFont="1" applyFill="1" applyBorder="1"/>
    <xf numFmtId="0" fontId="53" fillId="16" borderId="21" xfId="0" applyFont="1" applyFill="1" applyBorder="1"/>
    <xf numFmtId="37" fontId="53" fillId="16" borderId="14" xfId="0" applyNumberFormat="1" applyFont="1" applyFill="1" applyBorder="1"/>
    <xf numFmtId="37" fontId="53" fillId="16" borderId="21" xfId="0" applyNumberFormat="1" applyFont="1" applyFill="1" applyBorder="1"/>
    <xf numFmtId="38" fontId="53" fillId="16" borderId="14" xfId="0" applyNumberFormat="1" applyFont="1" applyFill="1" applyBorder="1"/>
    <xf numFmtId="0" fontId="60" fillId="16" borderId="0" xfId="0" applyFont="1" applyFill="1" applyBorder="1" applyAlignment="1">
      <alignment horizontal="right"/>
    </xf>
    <xf numFmtId="38" fontId="53" fillId="16" borderId="18" xfId="0" applyNumberFormat="1" applyFont="1" applyFill="1" applyBorder="1"/>
    <xf numFmtId="0" fontId="53" fillId="16" borderId="13" xfId="0" applyFont="1" applyFill="1" applyBorder="1" applyAlignment="1">
      <alignment horizontal="right"/>
    </xf>
    <xf numFmtId="10" fontId="52" fillId="16" borderId="14" xfId="0" applyNumberFormat="1" applyFont="1" applyFill="1" applyBorder="1" applyAlignment="1">
      <alignment horizontal="left" indent="2"/>
    </xf>
    <xf numFmtId="38" fontId="53" fillId="16" borderId="2" xfId="3" applyNumberFormat="1" applyFont="1" applyFill="1" applyBorder="1" applyAlignment="1">
      <alignment vertical="center"/>
    </xf>
    <xf numFmtId="38" fontId="53" fillId="16" borderId="2" xfId="3" applyNumberFormat="1" applyFont="1" applyFill="1" applyBorder="1" applyAlignment="1" applyProtection="1">
      <alignment vertical="center"/>
    </xf>
    <xf numFmtId="38" fontId="53" fillId="16" borderId="27" xfId="3" applyNumberFormat="1" applyFont="1" applyFill="1" applyBorder="1" applyAlignment="1">
      <alignment vertical="center"/>
    </xf>
    <xf numFmtId="9" fontId="53" fillId="16" borderId="4" xfId="3" applyNumberFormat="1" applyFont="1" applyFill="1" applyBorder="1" applyAlignment="1">
      <alignment horizontal="center" vertical="center"/>
    </xf>
    <xf numFmtId="38" fontId="53" fillId="16" borderId="22" xfId="3" applyNumberFormat="1" applyFont="1" applyFill="1" applyBorder="1" applyAlignment="1">
      <alignment horizontal="right" vertical="center"/>
    </xf>
    <xf numFmtId="38" fontId="53" fillId="16" borderId="41"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2" fillId="16" borderId="75"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2" fillId="16" borderId="60" xfId="3" applyNumberFormat="1" applyFont="1" applyFill="1" applyBorder="1" applyAlignment="1">
      <alignment horizontal="right" vertical="center"/>
    </xf>
    <xf numFmtId="38" fontId="53" fillId="16" borderId="127" xfId="0" applyNumberFormat="1" applyFont="1" applyFill="1" applyBorder="1" applyAlignment="1" applyProtection="1">
      <alignment horizontal="right"/>
    </xf>
    <xf numFmtId="0" fontId="62" fillId="15" borderId="17" xfId="0" applyFont="1" applyFill="1" applyBorder="1" applyAlignment="1">
      <alignment horizontal="left" vertical="center" wrapText="1"/>
    </xf>
    <xf numFmtId="49" fontId="62" fillId="15" borderId="26" xfId="0" applyNumberFormat="1" applyFont="1" applyFill="1" applyBorder="1" applyAlignment="1">
      <alignment horizontal="center" vertical="center"/>
    </xf>
    <xf numFmtId="38" fontId="53" fillId="15" borderId="26" xfId="0" applyNumberFormat="1" applyFont="1" applyFill="1" applyBorder="1" applyAlignment="1">
      <alignment horizontal="right"/>
    </xf>
    <xf numFmtId="38" fontId="53" fillId="15"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6" borderId="13" xfId="0" applyFont="1" applyFill="1" applyBorder="1" applyAlignment="1">
      <alignment horizontal="left" vertical="center" wrapText="1"/>
    </xf>
    <xf numFmtId="49" fontId="62" fillId="16"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6"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6"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7"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1" xfId="3" applyFont="1" applyBorder="1" applyProtection="1"/>
    <xf numFmtId="49" fontId="60" fillId="0" borderId="14" xfId="0" applyNumberFormat="1" applyFont="1" applyFill="1" applyBorder="1" applyAlignment="1" applyProtection="1">
      <alignment horizontal="center" vertical="center"/>
    </xf>
    <xf numFmtId="38" fontId="53" fillId="15" borderId="3" xfId="0" applyNumberFormat="1" applyFont="1" applyFill="1" applyBorder="1" applyAlignment="1" applyProtection="1">
      <alignment horizontal="right"/>
    </xf>
    <xf numFmtId="38" fontId="53" fillId="15" borderId="26" xfId="0" applyNumberFormat="1" applyFont="1" applyFill="1" applyBorder="1" applyAlignment="1" applyProtection="1">
      <alignment horizontal="right"/>
    </xf>
    <xf numFmtId="38" fontId="5" fillId="0" borderId="157" xfId="17" applyNumberFormat="1" applyBorder="1" applyAlignment="1" applyProtection="1">
      <alignment horizontal="right"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3" borderId="0" xfId="18" applyFont="1" applyFill="1" applyAlignment="1">
      <alignment horizontal="centerContinuous" vertical="center"/>
    </xf>
    <xf numFmtId="0" fontId="98" fillId="23" borderId="0" xfId="18" applyFont="1" applyFill="1" applyAlignment="1">
      <alignment horizontal="centerContinuous"/>
    </xf>
    <xf numFmtId="0" fontId="86" fillId="0" borderId="137"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2"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4"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59" xfId="18" applyFont="1" applyBorder="1" applyAlignment="1">
      <alignment horizontal="left" vertical="center" wrapText="1"/>
    </xf>
    <xf numFmtId="0" fontId="102" fillId="0" borderId="160" xfId="18" applyFont="1" applyBorder="1" applyAlignment="1">
      <alignment horizontal="left" vertical="center" wrapText="1"/>
    </xf>
    <xf numFmtId="49" fontId="102" fillId="17"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2"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0" xfId="18" applyFont="1" applyBorder="1" applyAlignment="1">
      <alignment vertical="top"/>
    </xf>
    <xf numFmtId="0" fontId="46" fillId="0" borderId="141" xfId="18" applyFont="1" applyBorder="1" applyAlignment="1">
      <alignment vertical="top"/>
    </xf>
    <xf numFmtId="0" fontId="47" fillId="15" borderId="76" xfId="18" applyFont="1" applyFill="1" applyBorder="1" applyAlignment="1">
      <alignment vertical="top"/>
    </xf>
    <xf numFmtId="0" fontId="46" fillId="0" borderId="140" xfId="18" applyFont="1" applyBorder="1" applyAlignment="1">
      <alignment vertical="top" wrapText="1"/>
    </xf>
    <xf numFmtId="0" fontId="46" fillId="0" borderId="141"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2" borderId="46" xfId="0" applyFont="1" applyFill="1" applyBorder="1" applyAlignment="1" applyProtection="1">
      <alignment horizontal="left" vertical="center"/>
    </xf>
    <xf numFmtId="0" fontId="62" fillId="12" borderId="6" xfId="0" applyFont="1" applyFill="1" applyBorder="1" applyAlignment="1" applyProtection="1">
      <alignment horizontal="left" vertical="center"/>
    </xf>
    <xf numFmtId="0" fontId="60" fillId="12" borderId="7" xfId="0" applyFont="1" applyFill="1" applyBorder="1" applyAlignment="1" applyProtection="1">
      <alignment horizontal="left" vertical="center" indent="2"/>
    </xf>
    <xf numFmtId="0" fontId="63" fillId="12"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3" borderId="0" xfId="18" applyFont="1" applyFill="1" applyAlignment="1">
      <alignment horizontal="centerContinuous" vertical="center"/>
    </xf>
    <xf numFmtId="0" fontId="102" fillId="23" borderId="138" xfId="18" applyFont="1" applyFill="1" applyBorder="1" applyAlignment="1">
      <alignment horizontal="center" vertical="center" wrapText="1"/>
    </xf>
    <xf numFmtId="0" fontId="102" fillId="23" borderId="163" xfId="18" applyFont="1" applyFill="1" applyBorder="1" applyAlignment="1">
      <alignment horizontal="center" vertical="center" wrapText="1"/>
    </xf>
    <xf numFmtId="0" fontId="102" fillId="17" borderId="139" xfId="18" applyFont="1" applyFill="1" applyBorder="1" applyAlignment="1">
      <alignment horizontal="center" vertical="center" wrapText="1"/>
    </xf>
    <xf numFmtId="49" fontId="102" fillId="17" borderId="107" xfId="18" applyNumberFormat="1" applyFont="1" applyFill="1" applyBorder="1" applyAlignment="1">
      <alignment horizontal="center" vertical="center" wrapText="1"/>
    </xf>
    <xf numFmtId="0" fontId="47" fillId="17" borderId="108" xfId="18" applyFont="1" applyFill="1" applyBorder="1" applyAlignment="1">
      <alignment horizontal="center"/>
    </xf>
    <xf numFmtId="0" fontId="100" fillId="0" borderId="139" xfId="18" applyFont="1" applyFill="1" applyBorder="1" applyAlignment="1" applyProtection="1">
      <alignment horizontal="right"/>
    </xf>
    <xf numFmtId="0" fontId="63" fillId="23"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2" borderId="39" xfId="0" applyFont="1" applyFill="1" applyBorder="1"/>
    <xf numFmtId="0" fontId="53" fillId="12" borderId="23" xfId="0" applyFont="1" applyFill="1" applyBorder="1" applyAlignment="1">
      <alignment horizontal="left" vertical="top"/>
    </xf>
    <xf numFmtId="0" fontId="53" fillId="12" borderId="23" xfId="0" applyFont="1" applyFill="1" applyBorder="1" applyAlignment="1">
      <alignment vertical="top" wrapText="1"/>
    </xf>
    <xf numFmtId="0" fontId="62" fillId="12"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7" xfId="11" applyNumberFormat="1" applyFont="1" applyFill="1" applyBorder="1" applyAlignment="1" applyProtection="1">
      <alignment horizontal="right"/>
      <protection locked="0"/>
    </xf>
    <xf numFmtId="38" fontId="60" fillId="16" borderId="9" xfId="11" applyNumberFormat="1" applyFont="1" applyFill="1" applyBorder="1" applyAlignment="1" applyProtection="1">
      <alignment horizontal="right"/>
    </xf>
    <xf numFmtId="3" fontId="60" fillId="16" borderId="9" xfId="10" applyNumberFormat="1" applyFont="1" applyFill="1" applyBorder="1" applyAlignment="1" applyProtection="1">
      <alignment vertical="center"/>
    </xf>
    <xf numFmtId="3" fontId="60" fillId="16" borderId="6" xfId="10" applyNumberFormat="1" applyFont="1" applyFill="1" applyBorder="1" applyAlignment="1" applyProtection="1">
      <alignment vertical="center"/>
    </xf>
    <xf numFmtId="38" fontId="60" fillId="16" borderId="9" xfId="10" applyNumberFormat="1" applyFont="1" applyFill="1" applyBorder="1" applyAlignment="1" applyProtection="1">
      <alignment horizontal="right" vertical="center"/>
    </xf>
    <xf numFmtId="38" fontId="60" fillId="16" borderId="0" xfId="10" applyNumberFormat="1" applyFont="1" applyFill="1" applyAlignment="1">
      <alignment vertical="top"/>
    </xf>
    <xf numFmtId="38" fontId="60" fillId="16" borderId="6" xfId="10" applyNumberFormat="1" applyFont="1" applyFill="1" applyBorder="1" applyAlignment="1" applyProtection="1">
      <alignment horizontal="right" vertical="center"/>
    </xf>
    <xf numFmtId="38" fontId="60" fillId="16" borderId="6" xfId="10" applyNumberFormat="1" applyFont="1" applyFill="1" applyBorder="1" applyAlignment="1" applyProtection="1">
      <alignment horizontal="right"/>
    </xf>
    <xf numFmtId="38" fontId="60" fillId="16" borderId="0" xfId="10" applyNumberFormat="1" applyFont="1" applyFill="1" applyAlignment="1">
      <alignment horizontal="right"/>
    </xf>
    <xf numFmtId="38" fontId="60" fillId="16" borderId="9" xfId="10" applyNumberFormat="1" applyFont="1" applyFill="1" applyBorder="1" applyAlignment="1" applyProtection="1">
      <alignment horizontal="right"/>
    </xf>
    <xf numFmtId="38" fontId="60" fillId="16" borderId="6" xfId="10" applyNumberFormat="1" applyFont="1" applyFill="1" applyBorder="1" applyAlignment="1">
      <alignment horizontal="right"/>
    </xf>
    <xf numFmtId="38" fontId="60" fillId="16" borderId="147"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7" borderId="21" xfId="0" applyFont="1" applyFill="1" applyBorder="1" applyAlignment="1" applyProtection="1">
      <alignment vertical="center"/>
    </xf>
    <xf numFmtId="0" fontId="62" fillId="17" borderId="2" xfId="0" applyFont="1" applyFill="1" applyBorder="1" applyAlignment="1" applyProtection="1">
      <alignment vertical="center"/>
    </xf>
    <xf numFmtId="0" fontId="2" fillId="0" borderId="157" xfId="17" applyFont="1" applyBorder="1" applyAlignment="1" applyProtection="1">
      <alignment horizontal="left" vertical="top" wrapText="1"/>
      <protection locked="0"/>
    </xf>
    <xf numFmtId="0" fontId="60" fillId="0" borderId="21" xfId="0" applyFont="1" applyBorder="1" applyAlignment="1" applyProtection="1">
      <alignment horizontal="left" vertical="center" indent="1"/>
    </xf>
    <xf numFmtId="0" fontId="122" fillId="0" borderId="21" xfId="0" applyFont="1" applyBorder="1" applyAlignment="1" applyProtection="1">
      <alignment horizontal="left" vertical="center" indent="1"/>
    </xf>
    <xf numFmtId="38" fontId="1" fillId="16" borderId="157" xfId="17" applyNumberFormat="1" applyFont="1" applyFill="1" applyBorder="1" applyAlignment="1" applyProtection="1">
      <alignment horizontal="right" vertical="top"/>
    </xf>
    <xf numFmtId="38" fontId="1" fillId="16" borderId="158" xfId="17" applyNumberFormat="1" applyFont="1" applyFill="1" applyBorder="1" applyAlignment="1" applyProtection="1">
      <alignment horizontal="right" vertical="top"/>
    </xf>
    <xf numFmtId="49" fontId="1" fillId="0" borderId="157" xfId="17" applyNumberFormat="1" applyFont="1" applyBorder="1" applyAlignment="1" applyProtection="1">
      <alignment horizontal="center" vertical="top"/>
      <protection locked="0"/>
    </xf>
    <xf numFmtId="49" fontId="1" fillId="0" borderId="157" xfId="17" applyNumberFormat="1" applyFont="1" applyBorder="1" applyAlignment="1" applyProtection="1">
      <alignment horizontal="center" vertical="center"/>
      <protection locked="0"/>
    </xf>
    <xf numFmtId="0" fontId="55" fillId="0" borderId="77" xfId="3" applyNumberFormat="1" applyFont="1" applyBorder="1" applyAlignment="1" applyProtection="1">
      <alignment horizontal="center"/>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8" xfId="12" applyFont="1" applyBorder="1" applyAlignment="1" applyProtection="1">
      <alignment horizontal="center" vertical="center" wrapText="1"/>
    </xf>
    <xf numFmtId="0" fontId="133" fillId="0" borderId="126"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6" xfId="12" applyFont="1" applyBorder="1" applyAlignment="1" applyProtection="1">
      <alignment horizontal="left" vertical="center" indent="1"/>
      <protection locked="0"/>
    </xf>
    <xf numFmtId="0" fontId="11" fillId="0" borderId="126"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8"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5" xfId="12" applyNumberFormat="1" applyFont="1" applyBorder="1" applyAlignment="1" applyProtection="1">
      <alignment horizontal="left" vertical="center" indent="1"/>
      <protection locked="0"/>
    </xf>
    <xf numFmtId="0" fontId="11" fillId="0" borderId="128" xfId="12" applyNumberFormat="1" applyFont="1" applyBorder="1" applyAlignment="1" applyProtection="1">
      <alignment horizontal="left" vertical="center" indent="1"/>
      <protection locked="0"/>
    </xf>
    <xf numFmtId="0" fontId="11" fillId="0" borderId="126" xfId="12" applyNumberFormat="1" applyFont="1" applyBorder="1" applyAlignment="1" applyProtection="1">
      <alignment horizontal="left" vertical="center" indent="1"/>
      <protection locked="0"/>
    </xf>
    <xf numFmtId="180" fontId="11" fillId="0" borderId="125" xfId="12" applyNumberFormat="1" applyFont="1" applyBorder="1" applyAlignment="1" applyProtection="1">
      <alignment horizontal="left" vertical="center" indent="1"/>
      <protection locked="0"/>
    </xf>
    <xf numFmtId="180" fontId="11" fillId="0" borderId="128"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5" xfId="3" applyFont="1" applyBorder="1" applyAlignment="1" applyProtection="1">
      <alignment horizontal="left" vertical="top"/>
      <protection locked="0"/>
    </xf>
    <xf numFmtId="0" fontId="53" fillId="0" borderId="12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2" fillId="0" borderId="134"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8" borderId="0" xfId="0" applyFont="1" applyFill="1" applyBorder="1" applyAlignment="1" applyProtection="1">
      <alignment horizontal="center" vertical="center"/>
    </xf>
    <xf numFmtId="0" fontId="52" fillId="18"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5" xfId="0" applyFont="1" applyBorder="1" applyAlignment="1" applyProtection="1">
      <alignment horizontal="left" vertical="top" wrapText="1"/>
      <protection locked="0"/>
    </xf>
    <xf numFmtId="0" fontId="53" fillId="0" borderId="12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6" xfId="0" applyFont="1" applyFill="1" applyBorder="1" applyAlignment="1" applyProtection="1">
      <alignment horizontal="center" vertical="center" wrapText="1"/>
    </xf>
    <xf numFmtId="3" fontId="62" fillId="23" borderId="13" xfId="0" applyNumberFormat="1" applyFont="1" applyFill="1" applyBorder="1" applyAlignment="1" applyProtection="1">
      <alignment horizontal="left" vertical="center"/>
    </xf>
    <xf numFmtId="3" fontId="62" fillId="23" borderId="14" xfId="0" applyNumberFormat="1" applyFont="1" applyFill="1" applyBorder="1" applyAlignment="1" applyProtection="1">
      <alignment horizontal="left" vertical="center"/>
    </xf>
    <xf numFmtId="164" fontId="62" fillId="23" borderId="49" xfId="0" applyNumberFormat="1" applyFont="1" applyFill="1" applyBorder="1" applyAlignment="1" applyProtection="1">
      <alignment horizontal="left" vertical="center"/>
    </xf>
    <xf numFmtId="164" fontId="62" fillId="23" borderId="31" xfId="0" applyNumberFormat="1" applyFont="1" applyFill="1" applyBorder="1" applyAlignment="1" applyProtection="1">
      <alignment horizontal="left" vertical="center"/>
    </xf>
    <xf numFmtId="0" fontId="62" fillId="23" borderId="34" xfId="0" applyFont="1" applyFill="1" applyBorder="1" applyAlignment="1" applyProtection="1">
      <alignment horizontal="left" vertical="center"/>
    </xf>
    <xf numFmtId="0" fontId="62" fillId="23" borderId="31" xfId="0" applyFont="1" applyFill="1" applyBorder="1" applyAlignment="1" applyProtection="1">
      <alignment horizontal="left" vertical="center"/>
    </xf>
    <xf numFmtId="164" fontId="62" fillId="23" borderId="13" xfId="0" applyNumberFormat="1" applyFont="1" applyFill="1" applyBorder="1" applyAlignment="1" applyProtection="1">
      <alignment horizontal="left" vertical="center"/>
    </xf>
    <xf numFmtId="164" fontId="62" fillId="23" borderId="14" xfId="0" applyNumberFormat="1" applyFont="1" applyFill="1" applyBorder="1" applyAlignment="1" applyProtection="1">
      <alignment horizontal="left" vertical="center"/>
    </xf>
    <xf numFmtId="164" fontId="62" fillId="16" borderId="36" xfId="0" applyNumberFormat="1" applyFont="1" applyFill="1" applyBorder="1" applyAlignment="1" applyProtection="1">
      <alignment horizontal="left" vertical="center" wrapText="1" indent="2"/>
    </xf>
    <xf numFmtId="164" fontId="62" fillId="16" borderId="30" xfId="0" applyNumberFormat="1" applyFont="1" applyFill="1" applyBorder="1" applyAlignment="1" applyProtection="1">
      <alignment horizontal="left" vertical="center" wrapText="1" indent="2"/>
    </xf>
    <xf numFmtId="0" fontId="62" fillId="16" borderId="52" xfId="0" applyFont="1" applyFill="1" applyBorder="1" applyAlignment="1" applyProtection="1">
      <alignment horizontal="left" vertical="center" indent="2"/>
    </xf>
    <xf numFmtId="0" fontId="62" fillId="16" borderId="53" xfId="0" applyFont="1" applyFill="1" applyBorder="1" applyAlignment="1" applyProtection="1">
      <alignment horizontal="left" vertical="center" indent="2"/>
    </xf>
    <xf numFmtId="0" fontId="62" fillId="16" borderId="35" xfId="0" applyFont="1" applyFill="1" applyBorder="1" applyAlignment="1" applyProtection="1">
      <alignment horizontal="left" vertical="center" indent="2"/>
    </xf>
    <xf numFmtId="0" fontId="62" fillId="16" borderId="30" xfId="0" applyFont="1" applyFill="1" applyBorder="1" applyAlignment="1" applyProtection="1">
      <alignment horizontal="left" vertical="center" indent="2"/>
    </xf>
    <xf numFmtId="0" fontId="60" fillId="16" borderId="52" xfId="0" applyFont="1" applyFill="1" applyBorder="1" applyAlignment="1" applyProtection="1">
      <alignment horizontal="left" vertical="center" wrapText="1" indent="2"/>
    </xf>
    <xf numFmtId="0" fontId="55" fillId="16"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6" xfId="0" applyNumberFormat="1" applyFont="1" applyBorder="1" applyAlignment="1" applyProtection="1">
      <alignment horizontal="center" vertical="center" wrapText="1"/>
    </xf>
    <xf numFmtId="0" fontId="62" fillId="16" borderId="34" xfId="0" applyFont="1" applyFill="1" applyBorder="1" applyAlignment="1" applyProtection="1">
      <alignment horizontal="left" vertical="center" indent="1"/>
    </xf>
    <xf numFmtId="0" fontId="62" fillId="16"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5" borderId="13" xfId="0" applyNumberFormat="1" applyFont="1" applyFill="1" applyBorder="1" applyAlignment="1" applyProtection="1">
      <alignment horizontal="left" vertical="center" wrapText="1" indent="1"/>
    </xf>
    <xf numFmtId="164" fontId="62" fillId="25" borderId="14" xfId="0" applyNumberFormat="1" applyFont="1" applyFill="1" applyBorder="1" applyAlignment="1" applyProtection="1">
      <alignment horizontal="left" vertical="center" wrapText="1" indent="1"/>
    </xf>
    <xf numFmtId="164" fontId="62" fillId="14" borderId="13" xfId="0" applyNumberFormat="1" applyFont="1" applyFill="1" applyBorder="1" applyAlignment="1" applyProtection="1">
      <alignment horizontal="left" vertical="center" wrapText="1" indent="1"/>
    </xf>
    <xf numFmtId="164" fontId="62" fillId="14" borderId="14" xfId="0" applyNumberFormat="1" applyFont="1" applyFill="1" applyBorder="1" applyAlignment="1" applyProtection="1">
      <alignment horizontal="left" vertical="center" wrapText="1" indent="1"/>
    </xf>
    <xf numFmtId="164" fontId="62" fillId="17" borderId="13" xfId="0" applyNumberFormat="1" applyFont="1" applyFill="1" applyBorder="1" applyAlignment="1" applyProtection="1">
      <alignment horizontal="left" vertical="center" wrapText="1"/>
    </xf>
    <xf numFmtId="164" fontId="62" fillId="17" borderId="14" xfId="0" applyNumberFormat="1" applyFont="1" applyFill="1" applyBorder="1" applyAlignment="1" applyProtection="1">
      <alignment horizontal="left" vertical="center" wrapText="1"/>
    </xf>
    <xf numFmtId="49" fontId="62" fillId="23" borderId="13" xfId="0" applyNumberFormat="1" applyFont="1" applyFill="1" applyBorder="1" applyAlignment="1" applyProtection="1">
      <alignment horizontal="left" vertical="center"/>
    </xf>
    <xf numFmtId="49" fontId="62" fillId="23" borderId="14" xfId="0" applyNumberFormat="1" applyFont="1" applyFill="1" applyBorder="1" applyAlignment="1" applyProtection="1">
      <alignment horizontal="left" vertical="center"/>
    </xf>
    <xf numFmtId="0" fontId="62" fillId="23" borderId="13" xfId="0" applyFont="1" applyFill="1" applyBorder="1" applyAlignment="1" applyProtection="1">
      <alignment vertical="center"/>
    </xf>
    <xf numFmtId="0" fontId="62" fillId="23" borderId="14" xfId="0" applyFont="1" applyFill="1" applyBorder="1" applyAlignment="1" applyProtection="1">
      <alignment vertical="center"/>
    </xf>
    <xf numFmtId="164" fontId="62" fillId="16" borderId="13" xfId="0" applyNumberFormat="1" applyFont="1" applyFill="1" applyBorder="1" applyAlignment="1" applyProtection="1">
      <alignment horizontal="left" vertical="center" wrapText="1" indent="2"/>
    </xf>
    <xf numFmtId="164" fontId="62" fillId="16"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6" borderId="24" xfId="0" applyFont="1" applyFill="1" applyBorder="1" applyAlignment="1" applyProtection="1">
      <alignment horizontal="left" vertical="center" indent="1"/>
    </xf>
    <xf numFmtId="0" fontId="55" fillId="16" borderId="51" xfId="0" applyFont="1" applyFill="1" applyBorder="1" applyAlignment="1">
      <alignment horizontal="left" vertical="center" indent="1"/>
    </xf>
    <xf numFmtId="0" fontId="62" fillId="17" borderId="21" xfId="0" applyFont="1" applyFill="1" applyBorder="1" applyAlignment="1">
      <alignment horizontal="left" vertical="center" wrapText="1"/>
    </xf>
    <xf numFmtId="0" fontId="55" fillId="17" borderId="14" xfId="0" applyFont="1" applyFill="1" applyBorder="1" applyAlignment="1">
      <alignment horizontal="left" vertical="center" wrapText="1"/>
    </xf>
    <xf numFmtId="0" fontId="62" fillId="17" borderId="34" xfId="0" applyFont="1" applyFill="1" applyBorder="1" applyAlignment="1">
      <alignment vertical="top" wrapText="1"/>
    </xf>
    <xf numFmtId="0" fontId="55" fillId="17" borderId="31" xfId="0" applyFont="1" applyFill="1" applyBorder="1" applyAlignment="1">
      <alignment vertical="top" wrapText="1"/>
    </xf>
    <xf numFmtId="0" fontId="62" fillId="16" borderId="35" xfId="0" applyFont="1" applyFill="1" applyBorder="1" applyAlignment="1" applyProtection="1">
      <alignment horizontal="left" vertical="top" wrapText="1" indent="1"/>
    </xf>
    <xf numFmtId="0" fontId="55" fillId="16" borderId="30" xfId="0" applyFont="1" applyFill="1" applyBorder="1" applyAlignment="1">
      <alignment horizontal="left" vertical="top" wrapText="1" indent="1"/>
    </xf>
    <xf numFmtId="0" fontId="62" fillId="16" borderId="35" xfId="0" applyFont="1" applyFill="1" applyBorder="1" applyAlignment="1" applyProtection="1">
      <alignment horizontal="left" vertical="top" indent="1"/>
    </xf>
    <xf numFmtId="0" fontId="55" fillId="16" borderId="30" xfId="0" applyFont="1" applyFill="1" applyBorder="1" applyAlignment="1">
      <alignment horizontal="left" vertical="top" indent="1"/>
    </xf>
    <xf numFmtId="0" fontId="62" fillId="17" borderId="34" xfId="0" applyFont="1" applyFill="1" applyBorder="1" applyAlignment="1">
      <alignment vertical="center" wrapText="1"/>
    </xf>
    <xf numFmtId="0" fontId="55" fillId="17" borderId="31" xfId="0" applyFont="1" applyFill="1" applyBorder="1" applyAlignment="1">
      <alignment vertical="center" wrapText="1"/>
    </xf>
    <xf numFmtId="3" fontId="62" fillId="16" borderId="49" xfId="0" applyNumberFormat="1" applyFont="1" applyFill="1" applyBorder="1" applyAlignment="1">
      <alignment horizontal="left" vertical="top" indent="1"/>
    </xf>
    <xf numFmtId="3" fontId="62" fillId="16"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3" borderId="19" xfId="0" applyFont="1" applyFill="1" applyBorder="1" applyAlignment="1">
      <alignment horizontal="center" vertical="center"/>
    </xf>
    <xf numFmtId="0" fontId="55" fillId="23" borderId="11" xfId="0" applyFont="1" applyFill="1" applyBorder="1" applyAlignment="1">
      <alignment horizontal="center" vertical="center"/>
    </xf>
    <xf numFmtId="0" fontId="63" fillId="24" borderId="20" xfId="0" applyFont="1" applyFill="1" applyBorder="1" applyAlignment="1">
      <alignment horizontal="center" vertical="center"/>
    </xf>
    <xf numFmtId="0" fontId="63" fillId="24" borderId="11" xfId="0" applyFont="1" applyFill="1" applyBorder="1" applyAlignment="1">
      <alignment horizontal="center" vertical="center"/>
    </xf>
    <xf numFmtId="0" fontId="55" fillId="24" borderId="11" xfId="0" applyFont="1" applyFill="1" applyBorder="1" applyAlignment="1">
      <alignment horizontal="center" vertical="center"/>
    </xf>
    <xf numFmtId="0" fontId="63" fillId="23" borderId="107" xfId="0" applyFont="1" applyFill="1" applyBorder="1" applyAlignment="1">
      <alignment horizontal="center" vertical="center"/>
    </xf>
    <xf numFmtId="0" fontId="55" fillId="23" borderId="131" xfId="0" applyFont="1" applyFill="1" applyBorder="1" applyAlignment="1">
      <alignment horizontal="center" vertical="center"/>
    </xf>
    <xf numFmtId="0" fontId="63" fillId="23" borderId="20" xfId="0" applyFont="1" applyFill="1" applyBorder="1" applyAlignment="1">
      <alignment horizontal="center" vertical="center"/>
    </xf>
    <xf numFmtId="3" fontId="62" fillId="16" borderId="34" xfId="0" applyNumberFormat="1" applyFont="1" applyFill="1" applyBorder="1" applyAlignment="1">
      <alignment horizontal="left" vertical="top" wrapText="1" indent="1"/>
    </xf>
    <xf numFmtId="0" fontId="55" fillId="16" borderId="31" xfId="0" applyFont="1" applyFill="1" applyBorder="1" applyAlignment="1">
      <alignment horizontal="left" vertical="top" wrapText="1"/>
    </xf>
    <xf numFmtId="3" fontId="62" fillId="16" borderId="23" xfId="0" applyNumberFormat="1" applyFont="1" applyFill="1" applyBorder="1" applyAlignment="1">
      <alignment horizontal="left" vertical="top" wrapText="1" indent="1"/>
    </xf>
    <xf numFmtId="0" fontId="55" fillId="16" borderId="38" xfId="0" applyFont="1" applyFill="1" applyBorder="1" applyAlignment="1">
      <alignment horizontal="left" vertical="top" wrapText="1" indent="1"/>
    </xf>
    <xf numFmtId="3" fontId="62" fillId="16" borderId="24" xfId="0" applyNumberFormat="1" applyFont="1" applyFill="1" applyBorder="1" applyAlignment="1">
      <alignment horizontal="left" vertical="top" wrapText="1" indent="1"/>
    </xf>
    <xf numFmtId="0" fontId="60" fillId="16" borderId="51" xfId="0" applyFont="1" applyFill="1" applyBorder="1" applyAlignment="1">
      <alignment horizontal="left" vertical="top" wrapText="1" indent="1"/>
    </xf>
    <xf numFmtId="3" fontId="62" fillId="16" borderId="35" xfId="0" applyNumberFormat="1" applyFont="1" applyFill="1" applyBorder="1" applyAlignment="1">
      <alignment horizontal="left" vertical="top" wrapText="1" indent="1"/>
    </xf>
    <xf numFmtId="3" fontId="62" fillId="16" borderId="35" xfId="0" applyNumberFormat="1" applyFont="1" applyFill="1" applyBorder="1" applyAlignment="1">
      <alignment horizontal="left" vertical="top" indent="1"/>
    </xf>
    <xf numFmtId="0" fontId="60" fillId="16"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3" borderId="20" xfId="0" applyFont="1" applyFill="1" applyBorder="1" applyAlignment="1">
      <alignment horizontal="center" vertical="center" wrapText="1"/>
    </xf>
    <xf numFmtId="0" fontId="55" fillId="23" borderId="11" xfId="0" applyFont="1" applyFill="1" applyBorder="1" applyAlignment="1">
      <alignment horizontal="center" vertical="center" wrapText="1"/>
    </xf>
    <xf numFmtId="3" fontId="63" fillId="23" borderId="13" xfId="0" applyNumberFormat="1" applyFont="1" applyFill="1" applyBorder="1" applyAlignment="1">
      <alignment horizontal="center" vertical="center"/>
    </xf>
    <xf numFmtId="0" fontId="55" fillId="23" borderId="14" xfId="0" applyFont="1" applyFill="1" applyBorder="1" applyAlignment="1">
      <alignment horizontal="center" vertical="center"/>
    </xf>
    <xf numFmtId="0" fontId="63" fillId="23" borderId="21" xfId="0" applyFont="1" applyFill="1" applyBorder="1" applyAlignment="1">
      <alignment horizontal="center" vertical="center"/>
    </xf>
    <xf numFmtId="3" fontId="62" fillId="15" borderId="10" xfId="0" applyNumberFormat="1" applyFont="1" applyFill="1" applyBorder="1" applyAlignment="1" applyProtection="1">
      <alignment horizontal="center" vertical="center" wrapText="1"/>
    </xf>
    <xf numFmtId="3" fontId="62" fillId="15" borderId="126"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6" borderId="13" xfId="0" applyNumberFormat="1" applyFont="1" applyFill="1" applyBorder="1" applyAlignment="1" applyProtection="1">
      <alignment horizontal="left" vertical="center" wrapText="1" indent="1"/>
    </xf>
    <xf numFmtId="0" fontId="55" fillId="16"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6" borderId="13" xfId="0" applyNumberFormat="1" applyFont="1" applyFill="1" applyBorder="1" applyAlignment="1" applyProtection="1">
      <alignment horizontal="left" vertical="center" indent="1"/>
    </xf>
    <xf numFmtId="0" fontId="55" fillId="16" borderId="14" xfId="0" applyFont="1" applyFill="1" applyBorder="1" applyAlignment="1">
      <alignment horizontal="left" vertical="center" indent="1"/>
    </xf>
    <xf numFmtId="0" fontId="63" fillId="12" borderId="13" xfId="9" applyFont="1" applyFill="1" applyBorder="1" applyAlignment="1">
      <alignment horizontal="center" vertical="center"/>
    </xf>
    <xf numFmtId="0" fontId="55" fillId="12"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2"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2" borderId="46" xfId="0" applyFont="1" applyFill="1" applyBorder="1" applyAlignment="1" applyProtection="1">
      <alignment horizontal="left" vertical="center" wrapText="1"/>
    </xf>
    <xf numFmtId="0" fontId="55" fillId="12" borderId="6" xfId="0" applyFont="1" applyFill="1" applyBorder="1" applyAlignment="1">
      <alignment horizontal="left" wrapText="1"/>
    </xf>
    <xf numFmtId="0" fontId="55" fillId="12"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7" xfId="0" applyFont="1" applyBorder="1" applyAlignment="1" applyProtection="1">
      <alignment horizontal="left" vertical="center" wrapText="1" indent="1"/>
    </xf>
    <xf numFmtId="0" fontId="60" fillId="0" borderId="148"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6" borderId="54" xfId="0" applyFont="1" applyFill="1" applyBorder="1" applyAlignment="1" applyProtection="1">
      <alignment horizontal="left" vertical="center" indent="1"/>
    </xf>
    <xf numFmtId="0" fontId="62" fillId="16" borderId="57" xfId="0" applyFont="1" applyFill="1" applyBorder="1" applyAlignment="1" applyProtection="1">
      <alignment horizontal="left" vertical="center" indent="1"/>
    </xf>
    <xf numFmtId="0" fontId="62" fillId="16" borderId="61" xfId="0" applyFont="1" applyFill="1" applyBorder="1" applyAlignment="1" applyProtection="1">
      <alignment horizontal="left" vertical="center" indent="1"/>
    </xf>
    <xf numFmtId="0" fontId="62" fillId="16" borderId="147" xfId="0" applyFont="1" applyFill="1" applyBorder="1" applyAlignment="1" applyProtection="1">
      <alignment horizontal="left" vertical="center" indent="1"/>
    </xf>
    <xf numFmtId="0" fontId="62" fillId="16" borderId="146" xfId="0" applyFont="1" applyFill="1" applyBorder="1" applyAlignment="1" applyProtection="1">
      <alignment horizontal="left" vertical="center" indent="1"/>
    </xf>
    <xf numFmtId="0" fontId="62" fillId="3" borderId="147" xfId="0" applyFont="1" applyFill="1" applyBorder="1" applyAlignment="1" applyProtection="1">
      <alignment horizontal="left" vertical="center"/>
    </xf>
    <xf numFmtId="0" fontId="62" fillId="3" borderId="148"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3" borderId="146" xfId="0" applyFont="1" applyFill="1" applyBorder="1" applyAlignment="1" applyProtection="1">
      <alignment horizontal="left" vertical="center" indent="1"/>
    </xf>
    <xf numFmtId="0" fontId="63" fillId="23" borderId="147" xfId="0" applyFont="1" applyFill="1" applyBorder="1" applyAlignment="1" applyProtection="1">
      <alignment horizontal="left" vertical="center" indent="1"/>
    </xf>
    <xf numFmtId="0" fontId="63" fillId="23" borderId="148"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3" borderId="92" xfId="10" applyFont="1" applyFill="1" applyBorder="1" applyAlignment="1">
      <alignment horizontal="center" vertical="center" wrapText="1"/>
    </xf>
    <xf numFmtId="0" fontId="63" fillId="23" borderId="25" xfId="0" applyFont="1" applyFill="1" applyBorder="1" applyAlignment="1">
      <alignment horizontal="center" vertical="center" wrapText="1"/>
    </xf>
    <xf numFmtId="0" fontId="63" fillId="23" borderId="93" xfId="0" applyFont="1" applyFill="1" applyBorder="1" applyAlignment="1">
      <alignment horizontal="center" vertical="center" wrapText="1"/>
    </xf>
    <xf numFmtId="0" fontId="128" fillId="23" borderId="94" xfId="10" applyFont="1" applyFill="1" applyBorder="1" applyAlignment="1">
      <alignment horizontal="center" vertical="center"/>
    </xf>
    <xf numFmtId="0" fontId="53" fillId="23" borderId="47" xfId="0" applyFont="1" applyFill="1" applyBorder="1" applyAlignment="1">
      <alignment horizontal="center" vertical="center"/>
    </xf>
    <xf numFmtId="0" fontId="53" fillId="23"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3" borderId="140" xfId="17" applyFont="1" applyFill="1" applyBorder="1" applyAlignment="1">
      <alignment horizontal="center" vertical="center"/>
    </xf>
    <xf numFmtId="0" fontId="124" fillId="23" borderId="141" xfId="17" applyFont="1" applyFill="1" applyBorder="1" applyAlignment="1">
      <alignment horizontal="center" vertical="center"/>
    </xf>
    <xf numFmtId="0" fontId="124" fillId="23" borderId="142" xfId="17" applyFont="1" applyFill="1" applyBorder="1" applyAlignment="1">
      <alignment horizontal="center" vertical="center"/>
    </xf>
    <xf numFmtId="0" fontId="124" fillId="23" borderId="98" xfId="17" applyFont="1" applyFill="1" applyBorder="1" applyAlignment="1">
      <alignment horizontal="center" vertical="center"/>
    </xf>
    <xf numFmtId="0" fontId="124" fillId="23" borderId="78" xfId="17" applyFont="1" applyFill="1" applyBorder="1" applyAlignment="1">
      <alignment horizontal="center" vertical="center"/>
    </xf>
    <xf numFmtId="0" fontId="124" fillId="23"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19" borderId="13" xfId="0" applyFont="1" applyFill="1" applyBorder="1" applyAlignment="1" applyProtection="1">
      <alignment horizontal="left" vertical="center" wrapText="1" indent="1"/>
    </xf>
    <xf numFmtId="0" fontId="55" fillId="19" borderId="21" xfId="0" applyFont="1" applyFill="1" applyBorder="1" applyAlignment="1">
      <alignment horizontal="left" vertical="center" wrapText="1" indent="1"/>
    </xf>
    <xf numFmtId="0" fontId="55" fillId="19"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1" xfId="18" applyFont="1" applyBorder="1" applyAlignment="1" applyProtection="1">
      <alignment horizontal="center" vertical="top" wrapText="1"/>
      <protection locked="0"/>
    </xf>
    <xf numFmtId="0" fontId="47" fillId="0" borderId="142"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3" borderId="0" xfId="18" applyFont="1" applyFill="1" applyAlignment="1">
      <alignment horizontal="center" vertical="center"/>
    </xf>
    <xf numFmtId="0" fontId="71" fillId="0" borderId="137"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1" xfId="18" applyFont="1" applyBorder="1" applyAlignment="1" applyProtection="1">
      <alignment horizontal="center" vertical="top" wrapText="1"/>
      <protection locked="0"/>
    </xf>
    <xf numFmtId="0" fontId="2" fillId="0" borderId="142"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3" borderId="17" xfId="3" applyNumberFormat="1" applyFont="1" applyFill="1" applyBorder="1" applyAlignment="1">
      <alignment horizontal="left" vertical="top" wrapText="1"/>
    </xf>
    <xf numFmtId="0" fontId="53" fillId="23" borderId="0" xfId="3" applyFont="1" applyFill="1" applyBorder="1" applyAlignment="1">
      <alignment vertical="top"/>
    </xf>
    <xf numFmtId="0" fontId="53" fillId="23"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3" xfId="3" applyFont="1" applyBorder="1" applyAlignment="1">
      <alignment horizontal="center" vertical="center" wrapText="1"/>
    </xf>
    <xf numFmtId="0" fontId="71" fillId="0" borderId="133" xfId="3" applyNumberFormat="1" applyFont="1" applyBorder="1" applyAlignment="1">
      <alignment horizontal="center"/>
    </xf>
    <xf numFmtId="0" fontId="55" fillId="0" borderId="134" xfId="3" applyNumberFormat="1" applyFont="1" applyBorder="1" applyAlignment="1" applyProtection="1">
      <alignment horizontal="center"/>
      <protection locked="0"/>
    </xf>
    <xf numFmtId="171" fontId="55" fillId="0" borderId="134" xfId="3" applyNumberFormat="1" applyFont="1" applyBorder="1" applyAlignment="1" applyProtection="1">
      <alignment horizontal="center"/>
      <protection locked="0"/>
    </xf>
    <xf numFmtId="0" fontId="55" fillId="0" borderId="134"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2" borderId="13" xfId="3" applyFont="1" applyFill="1" applyBorder="1" applyAlignment="1">
      <alignment horizontal="center" vertical="center" wrapText="1"/>
    </xf>
    <xf numFmtId="0" fontId="63" fillId="12" borderId="21" xfId="3" applyFont="1" applyFill="1" applyBorder="1" applyAlignment="1">
      <alignment horizontal="center" vertical="center" wrapText="1"/>
    </xf>
    <xf numFmtId="0" fontId="63" fillId="12" borderId="14" xfId="3" applyFont="1" applyFill="1" applyBorder="1" applyAlignment="1">
      <alignment horizontal="center" vertical="center" wrapText="1"/>
    </xf>
    <xf numFmtId="0" fontId="55" fillId="0" borderId="0" xfId="3" applyFont="1" applyBorder="1" applyAlignment="1">
      <alignment wrapText="1"/>
    </xf>
    <xf numFmtId="0" fontId="107" fillId="0" borderId="112"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3"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2" borderId="125" xfId="0" applyFont="1" applyFill="1" applyBorder="1" applyAlignment="1">
      <alignment horizontal="center" vertical="center"/>
    </xf>
    <xf numFmtId="0" fontId="110" fillId="12" borderId="128" xfId="0" applyFont="1" applyFill="1" applyBorder="1" applyAlignment="1">
      <alignment horizontal="center" vertical="center"/>
    </xf>
    <xf numFmtId="0" fontId="110" fillId="12" borderId="153" xfId="0" applyFont="1" applyFill="1" applyBorder="1" applyAlignment="1">
      <alignment horizontal="center" vertical="center"/>
    </xf>
    <xf numFmtId="164" fontId="110" fillId="12" borderId="17" xfId="0" applyNumberFormat="1" applyFont="1" applyFill="1" applyBorder="1" applyAlignment="1">
      <alignment horizontal="center" vertical="center"/>
    </xf>
    <xf numFmtId="164" fontId="110" fillId="12" borderId="0" xfId="0" applyNumberFormat="1" applyFont="1" applyFill="1" applyBorder="1" applyAlignment="1">
      <alignment horizontal="center" vertical="center"/>
    </xf>
    <xf numFmtId="164" fontId="110" fillId="12" borderId="63" xfId="0" applyNumberFormat="1" applyFont="1" applyFill="1" applyBorder="1" applyAlignment="1">
      <alignment horizontal="center" vertical="center"/>
    </xf>
    <xf numFmtId="164" fontId="59" fillId="12" borderId="125" xfId="0" applyNumberFormat="1" applyFont="1" applyFill="1" applyBorder="1" applyAlignment="1">
      <alignment horizontal="center" vertical="top"/>
    </xf>
    <xf numFmtId="164" fontId="111" fillId="12" borderId="128" xfId="0" applyNumberFormat="1" applyFont="1" applyFill="1" applyBorder="1" applyAlignment="1">
      <alignment horizontal="center" vertical="top"/>
    </xf>
    <xf numFmtId="164" fontId="111" fillId="12" borderId="153"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8" xfId="0" applyNumberFormat="1" applyFont="1" applyBorder="1" applyAlignment="1">
      <alignment horizontal="left" vertical="center" wrapText="1"/>
    </xf>
    <xf numFmtId="0" fontId="55" fillId="0" borderId="126"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6" xfId="3" applyNumberFormat="1" applyFont="1" applyBorder="1" applyProtection="1"/>
    <xf numFmtId="0" fontId="53" fillId="0" borderId="147"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7" xfId="3" applyNumberFormat="1" applyFont="1" applyBorder="1" applyAlignment="1" applyProtection="1">
      <alignment horizontal="left" indent="1"/>
      <protection locked="0"/>
    </xf>
    <xf numFmtId="0" fontId="63" fillId="0" borderId="147" xfId="3"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3" fillId="0" borderId="0" xfId="3" applyNumberFormat="1" applyFont="1" applyAlignment="1">
      <alignment horizontal="center"/>
    </xf>
    <xf numFmtId="165" fontId="63" fillId="0" borderId="0" xfId="3" applyNumberFormat="1" applyFont="1" applyAlignment="1" applyProtection="1">
      <alignment horizontal="center" vertic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49" xfId="3" applyNumberFormat="1" applyFont="1" applyBorder="1" applyAlignment="1" applyProtection="1">
      <protection locked="0"/>
    </xf>
    <xf numFmtId="0" fontId="63" fillId="0" borderId="150" xfId="3" applyFont="1" applyBorder="1" applyAlignment="1" applyProtection="1">
      <protection locked="0"/>
    </xf>
    <xf numFmtId="0" fontId="60" fillId="0" borderId="0" xfId="3" applyFont="1" applyBorder="1" applyAlignment="1" applyProtection="1">
      <alignment horizontal="left" vertical="top" wrapText="1"/>
    </xf>
    <xf numFmtId="0" fontId="60" fillId="0" borderId="149"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0"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49" xfId="3" applyFont="1" applyBorder="1" applyAlignment="1" applyProtection="1">
      <alignment horizontal="center"/>
    </xf>
    <xf numFmtId="0" fontId="60" fillId="0" borderId="76" xfId="3" applyFont="1" applyBorder="1" applyAlignment="1" applyProtection="1">
      <alignment horizontal="center"/>
    </xf>
    <xf numFmtId="0" fontId="60" fillId="0" borderId="150" xfId="3" applyFont="1" applyBorder="1" applyAlignment="1" applyProtection="1">
      <alignment horizontal="center"/>
    </xf>
    <xf numFmtId="38" fontId="60" fillId="0" borderId="149"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0" xfId="3" applyNumberFormat="1" applyFont="1" applyBorder="1" applyAlignment="1" applyProtection="1">
      <alignment horizontal="right" vertical="center"/>
      <protection locked="0"/>
    </xf>
    <xf numFmtId="0" fontId="62" fillId="0" borderId="149"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0"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49" xfId="3" applyNumberFormat="1" applyFont="1" applyBorder="1" applyProtection="1">
      <protection locked="0"/>
    </xf>
    <xf numFmtId="6" fontId="60" fillId="0" borderId="150"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4"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467591</xdr:colOff>
          <xdr:row>4</xdr:row>
          <xdr:rowOff>25977</xdr:rowOff>
        </xdr:from>
        <xdr:to>
          <xdr:col>1</xdr:col>
          <xdr:colOff>1334366</xdr:colOff>
          <xdr:row>8</xdr:row>
          <xdr:rowOff>83127</xdr:rowOff>
        </xdr:to>
        <xdr:sp macro="" textlink="">
          <xdr:nvSpPr>
            <xdr:cNvPr id="50177" name="Object 1" hidden="1">
              <a:extLst>
                <a:ext uri="{63B3BB69-23CF-44E3-9099-C40C66FF867C}">
                  <a14:compatExt spid="_x0000_s50177"/>
                </a:ext>
                <a:ext uri="{FF2B5EF4-FFF2-40B4-BE49-F238E27FC236}">
                  <a16:creationId xmlns:a16="http://schemas.microsoft.com/office/drawing/2014/main" id="{00000000-0008-0000-1400-000001C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J24" sqref="J24:S2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0" t="s">
        <v>405</v>
      </c>
      <c r="J1" s="1981"/>
      <c r="K1" s="1981"/>
      <c r="L1" s="1981"/>
      <c r="M1" s="1981"/>
      <c r="N1" s="1981"/>
      <c r="O1" s="1981"/>
      <c r="P1" s="1981"/>
      <c r="Q1" s="1981"/>
      <c r="R1" s="1981"/>
      <c r="S1" s="1981"/>
    </row>
    <row r="2" spans="1:28" ht="12" customHeight="1" x14ac:dyDescent="0.2">
      <c r="A2" s="47" t="s">
        <v>1991</v>
      </c>
      <c r="D2" s="48"/>
      <c r="I2" s="1982" t="s">
        <v>979</v>
      </c>
      <c r="J2" s="1981"/>
      <c r="K2" s="1981"/>
      <c r="L2" s="1981"/>
      <c r="M2" s="1981"/>
      <c r="N2" s="1981"/>
      <c r="O2" s="1981"/>
      <c r="P2" s="1981"/>
      <c r="Q2" s="1981"/>
      <c r="R2" s="1981"/>
      <c r="S2" s="1981"/>
    </row>
    <row r="3" spans="1:28" ht="12" customHeight="1" x14ac:dyDescent="0.2">
      <c r="A3" s="155" t="s">
        <v>1943</v>
      </c>
      <c r="B3" s="156"/>
      <c r="C3" s="156"/>
      <c r="D3" s="157"/>
      <c r="I3" s="1982" t="s">
        <v>52</v>
      </c>
      <c r="J3" s="1981"/>
      <c r="K3" s="1981"/>
      <c r="L3" s="1981"/>
      <c r="M3" s="1981"/>
      <c r="N3" s="1981"/>
      <c r="O3" s="1981"/>
      <c r="P3" s="1981"/>
      <c r="Q3" s="1981"/>
      <c r="R3" s="1981"/>
      <c r="S3" s="1981"/>
    </row>
    <row r="4" spans="1:28" ht="12" customHeight="1" x14ac:dyDescent="0.2">
      <c r="A4" s="37"/>
      <c r="I4" s="1982" t="s">
        <v>524</v>
      </c>
      <c r="J4" s="1981"/>
      <c r="K4" s="1981"/>
      <c r="L4" s="1981"/>
      <c r="M4" s="1981"/>
      <c r="N4" s="1981"/>
      <c r="O4" s="1981"/>
      <c r="P4" s="1981"/>
      <c r="Q4" s="1981"/>
      <c r="R4" s="1981"/>
      <c r="S4" s="1981"/>
    </row>
    <row r="5" spans="1:28" ht="14.1" customHeight="1" x14ac:dyDescent="0.2">
      <c r="B5" s="104"/>
      <c r="C5" s="26" t="s">
        <v>910</v>
      </c>
      <c r="D5" s="84"/>
      <c r="E5" s="84"/>
      <c r="H5" s="38"/>
      <c r="I5" s="1990" t="s">
        <v>680</v>
      </c>
      <c r="J5" s="1989"/>
      <c r="K5" s="1989"/>
      <c r="L5" s="1989"/>
      <c r="M5" s="1989"/>
      <c r="N5" s="1989"/>
      <c r="O5" s="1989"/>
      <c r="P5" s="1989"/>
      <c r="Q5" s="1989"/>
      <c r="R5" s="1989"/>
      <c r="S5" s="1989"/>
    </row>
    <row r="6" spans="1:28" ht="14.1" customHeight="1" x14ac:dyDescent="0.2">
      <c r="B6" s="104" t="s">
        <v>2071</v>
      </c>
      <c r="C6" s="26" t="s">
        <v>911</v>
      </c>
      <c r="D6" s="84"/>
      <c r="E6" s="84"/>
      <c r="I6" s="1988" t="s">
        <v>883</v>
      </c>
      <c r="J6" s="1989"/>
      <c r="K6" s="1989"/>
      <c r="L6" s="1989"/>
      <c r="M6" s="1989"/>
      <c r="N6" s="1989"/>
      <c r="O6" s="1989"/>
      <c r="P6" s="1989"/>
      <c r="Q6" s="1989"/>
      <c r="R6" s="1989"/>
      <c r="S6" s="1989"/>
    </row>
    <row r="7" spans="1:28" ht="12.2" customHeight="1" x14ac:dyDescent="0.2">
      <c r="I7" s="1983">
        <v>43646</v>
      </c>
      <c r="J7" s="1984"/>
      <c r="K7" s="1984"/>
      <c r="L7" s="1984"/>
      <c r="M7" s="1984"/>
      <c r="N7" s="1984"/>
      <c r="O7" s="1984"/>
      <c r="P7" s="1984"/>
      <c r="Q7" s="1984"/>
      <c r="R7" s="1984"/>
      <c r="S7" s="198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5" t="s">
        <v>674</v>
      </c>
      <c r="J9" s="1986"/>
      <c r="K9" s="1986"/>
      <c r="L9" s="1986"/>
      <c r="M9" s="1986"/>
      <c r="N9" s="1986"/>
      <c r="O9" s="1986"/>
      <c r="P9" s="1986"/>
      <c r="Q9" s="1986"/>
      <c r="R9" s="1986"/>
      <c r="S9" s="1987"/>
      <c r="T9" s="2001" t="s">
        <v>533</v>
      </c>
      <c r="U9" s="2002"/>
      <c r="V9" s="2002"/>
      <c r="W9" s="2002"/>
      <c r="X9" s="2002"/>
      <c r="Y9" s="2002"/>
      <c r="Z9" s="2002"/>
      <c r="AA9" s="2003"/>
    </row>
    <row r="10" spans="1:28" ht="13.5" customHeight="1" x14ac:dyDescent="0.2">
      <c r="A10" s="2008" t="s">
        <v>675</v>
      </c>
      <c r="B10" s="2009"/>
      <c r="C10" s="2009"/>
      <c r="D10" s="2009"/>
      <c r="E10" s="2009"/>
      <c r="F10" s="2009"/>
      <c r="G10" s="2009"/>
      <c r="H10" s="2010"/>
      <c r="I10" s="29"/>
      <c r="J10" s="30"/>
      <c r="K10" s="28"/>
      <c r="R10" s="30"/>
      <c r="S10" s="30"/>
      <c r="T10" s="2004"/>
      <c r="U10" s="1989"/>
      <c r="V10" s="1989"/>
      <c r="W10" s="1989"/>
      <c r="X10" s="1989"/>
      <c r="Y10" s="1989"/>
      <c r="Z10" s="1989"/>
      <c r="AA10" s="1995"/>
    </row>
    <row r="11" spans="1:28" ht="14.25" customHeight="1" x14ac:dyDescent="0.2">
      <c r="A11" s="2011" t="s">
        <v>955</v>
      </c>
      <c r="B11" s="2012"/>
      <c r="C11" s="2012"/>
      <c r="D11" s="2012"/>
      <c r="E11" s="2012"/>
      <c r="F11" s="2012"/>
      <c r="G11" s="2012"/>
      <c r="H11" s="2013"/>
      <c r="I11" s="27"/>
      <c r="J11" s="74"/>
      <c r="K11" s="27"/>
      <c r="O11" s="148" t="s">
        <v>2071</v>
      </c>
      <c r="P11" s="100" t="s">
        <v>201</v>
      </c>
      <c r="Q11" s="30"/>
      <c r="R11" s="28"/>
      <c r="S11" s="27"/>
      <c r="T11" s="2005"/>
      <c r="U11" s="2006"/>
      <c r="V11" s="2006"/>
      <c r="W11" s="2006"/>
      <c r="X11" s="2006"/>
      <c r="Y11" s="2006"/>
      <c r="Z11" s="2006"/>
      <c r="AA11" s="200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5">
        <v>45079132061</v>
      </c>
      <c r="B13" s="2016"/>
      <c r="C13" s="2016"/>
      <c r="D13" s="2016"/>
      <c r="E13" s="2016"/>
      <c r="F13" s="2016"/>
      <c r="G13" s="2016"/>
      <c r="H13" s="2017"/>
      <c r="I13" s="31"/>
      <c r="J13" s="30"/>
      <c r="K13" s="28"/>
      <c r="L13" s="30"/>
      <c r="M13" s="30"/>
      <c r="N13" s="30"/>
      <c r="O13" s="30"/>
      <c r="P13" s="30"/>
      <c r="Q13" s="30"/>
      <c r="R13" s="30"/>
      <c r="S13" s="30"/>
      <c r="T13" s="2020" t="s">
        <v>2063</v>
      </c>
      <c r="U13" s="2021"/>
      <c r="V13" s="2021"/>
      <c r="W13" s="2021"/>
      <c r="X13" s="2021"/>
      <c r="Y13" s="2022"/>
      <c r="Z13" s="2022"/>
      <c r="AA13" s="2023"/>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4" t="s">
        <v>2072</v>
      </c>
      <c r="B15" s="2018"/>
      <c r="C15" s="2018"/>
      <c r="D15" s="2018"/>
      <c r="E15" s="2018"/>
      <c r="F15" s="2018"/>
      <c r="G15" s="2018"/>
      <c r="H15" s="2019"/>
      <c r="T15" s="2024" t="s">
        <v>2062</v>
      </c>
      <c r="U15" s="1968"/>
      <c r="V15" s="1968"/>
      <c r="W15" s="1968"/>
      <c r="X15" s="1968"/>
      <c r="Y15" s="2025"/>
      <c r="Z15" s="2025"/>
      <c r="AA15" s="2026"/>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4" t="s">
        <v>2128</v>
      </c>
      <c r="B17" s="1975"/>
      <c r="C17" s="1975"/>
      <c r="D17" s="1975"/>
      <c r="E17" s="1975"/>
      <c r="F17" s="1975"/>
      <c r="G17" s="1975"/>
      <c r="H17" s="2000"/>
      <c r="T17" s="2031" t="s">
        <v>2064</v>
      </c>
      <c r="U17" s="2032"/>
      <c r="V17" s="2032"/>
      <c r="W17" s="2032"/>
      <c r="X17" s="2032"/>
      <c r="Y17" s="2032"/>
      <c r="Z17" s="2032"/>
      <c r="AA17" s="2033"/>
    </row>
    <row r="18" spans="1:27" ht="13.5" customHeight="1" x14ac:dyDescent="0.2">
      <c r="A18" s="85" t="s">
        <v>530</v>
      </c>
      <c r="B18" s="76"/>
      <c r="C18" s="72"/>
      <c r="D18" s="76"/>
      <c r="E18" s="76"/>
      <c r="F18" s="76"/>
      <c r="G18" s="76"/>
      <c r="H18" s="56"/>
      <c r="I18" s="1999" t="s">
        <v>676</v>
      </c>
      <c r="J18" s="1950"/>
      <c r="K18" s="1950"/>
      <c r="L18" s="1950"/>
      <c r="M18" s="1950"/>
      <c r="N18" s="1950"/>
      <c r="O18" s="1950"/>
      <c r="P18" s="1950"/>
      <c r="Q18" s="1950"/>
      <c r="R18" s="1950"/>
      <c r="S18" s="1951"/>
      <c r="T18" s="85" t="s">
        <v>711</v>
      </c>
      <c r="U18" s="51"/>
      <c r="V18" s="72"/>
      <c r="W18" s="50"/>
      <c r="X18" s="85" t="s">
        <v>266</v>
      </c>
      <c r="Y18" s="81"/>
      <c r="Z18" s="159" t="s">
        <v>677</v>
      </c>
      <c r="AA18" s="46"/>
    </row>
    <row r="19" spans="1:27" ht="13.5" customHeight="1" x14ac:dyDescent="0.2">
      <c r="A19" s="2014" t="s">
        <v>2073</v>
      </c>
      <c r="B19" s="1960"/>
      <c r="C19" s="1960"/>
      <c r="D19" s="1960"/>
      <c r="E19" s="1960"/>
      <c r="F19" s="1960"/>
      <c r="G19" s="1960"/>
      <c r="H19" s="1940"/>
      <c r="I19" s="30"/>
      <c r="J19" s="99"/>
      <c r="K19" s="40"/>
      <c r="L19" s="38"/>
      <c r="M19" s="112" t="s">
        <v>315</v>
      </c>
      <c r="P19" s="27"/>
      <c r="Q19" s="27"/>
      <c r="R19" s="27"/>
      <c r="S19" s="31"/>
      <c r="T19" s="2014" t="s">
        <v>2065</v>
      </c>
      <c r="U19" s="1939"/>
      <c r="V19" s="1939"/>
      <c r="W19" s="1940"/>
      <c r="X19" s="2029" t="s">
        <v>2066</v>
      </c>
      <c r="Y19" s="2030"/>
      <c r="Z19" s="2027">
        <v>62226</v>
      </c>
      <c r="AA19" s="2028"/>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8" t="s">
        <v>2074</v>
      </c>
      <c r="B21" s="1939"/>
      <c r="C21" s="1939"/>
      <c r="D21" s="1939"/>
      <c r="E21" s="1939"/>
      <c r="F21" s="1939"/>
      <c r="G21" s="1939"/>
      <c r="H21" s="1940"/>
      <c r="I21" s="1994" t="s">
        <v>678</v>
      </c>
      <c r="J21" s="1989"/>
      <c r="K21" s="1989"/>
      <c r="L21" s="1989"/>
      <c r="M21" s="1989"/>
      <c r="N21" s="1989"/>
      <c r="O21" s="1989"/>
      <c r="P21" s="1989"/>
      <c r="Q21" s="1989"/>
      <c r="R21" s="1989"/>
      <c r="S21" s="1995"/>
      <c r="T21" s="2038" t="s">
        <v>2067</v>
      </c>
      <c r="U21" s="2039"/>
      <c r="V21" s="2039"/>
      <c r="W21" s="2039"/>
      <c r="X21" s="2044" t="s">
        <v>2068</v>
      </c>
      <c r="Y21" s="2045"/>
      <c r="Z21" s="2045"/>
      <c r="AA21" s="2046"/>
    </row>
    <row r="22" spans="1:27" ht="13.5" customHeight="1" x14ac:dyDescent="0.2">
      <c r="A22" s="87" t="s">
        <v>531</v>
      </c>
      <c r="B22" s="59"/>
      <c r="C22" s="59"/>
      <c r="D22" s="59"/>
      <c r="E22" s="59"/>
      <c r="F22" s="59"/>
      <c r="G22" s="59"/>
      <c r="H22" s="60"/>
      <c r="I22" s="1996" t="s">
        <v>1429</v>
      </c>
      <c r="J22" s="1997"/>
      <c r="K22" s="1997"/>
      <c r="L22" s="1997"/>
      <c r="M22" s="1997"/>
      <c r="N22" s="1997"/>
      <c r="O22" s="1997"/>
      <c r="P22" s="1997"/>
      <c r="Q22" s="1997"/>
      <c r="R22" s="1997"/>
      <c r="S22" s="1998"/>
      <c r="T22" s="85" t="s">
        <v>1516</v>
      </c>
      <c r="U22" s="51"/>
      <c r="V22" s="72"/>
      <c r="W22" s="51"/>
      <c r="X22" s="160" t="s">
        <v>1318</v>
      </c>
      <c r="Z22" s="45"/>
      <c r="AA22" s="46"/>
    </row>
    <row r="23" spans="1:27" ht="13.5" customHeight="1" x14ac:dyDescent="0.2">
      <c r="A23" s="1991"/>
      <c r="B23" s="1992"/>
      <c r="C23" s="1992"/>
      <c r="D23" s="1992"/>
      <c r="E23" s="1992"/>
      <c r="F23" s="1992"/>
      <c r="G23" s="1992"/>
      <c r="H23" s="1993"/>
      <c r="T23" s="1974" t="s">
        <v>2069</v>
      </c>
      <c r="U23" s="2037"/>
      <c r="V23" s="2037"/>
      <c r="W23" s="2037"/>
      <c r="X23" s="2041">
        <v>44530</v>
      </c>
      <c r="Y23" s="2042"/>
      <c r="Z23" s="2042"/>
      <c r="AA23" s="2043"/>
    </row>
    <row r="24" spans="1:27" ht="14.1" customHeight="1" x14ac:dyDescent="0.2">
      <c r="A24" s="88" t="s">
        <v>677</v>
      </c>
      <c r="B24" s="49"/>
      <c r="C24" s="49"/>
      <c r="D24" s="49"/>
      <c r="E24" s="49"/>
      <c r="F24" s="49"/>
      <c r="G24" s="49"/>
      <c r="H24" s="61"/>
      <c r="J24" s="1961" t="str">
        <f>IF(B5="x",IF(AUDITCHECK!D29="AFR form Incomplete.","",IF(AUDITCHECK!D29="Deficit reduction plan is required.","School District must complete a deficit reduction plan in the 2019-2020 Budget",)),"")</f>
        <v/>
      </c>
      <c r="K24" s="1961"/>
      <c r="L24" s="1961"/>
      <c r="M24" s="1961"/>
      <c r="N24" s="1961"/>
      <c r="O24" s="1961"/>
      <c r="P24" s="1961"/>
      <c r="Q24" s="1961"/>
      <c r="R24" s="1961"/>
      <c r="S24" s="1962"/>
      <c r="T24" s="105" t="s">
        <v>531</v>
      </c>
      <c r="U24" s="106"/>
      <c r="V24" s="106"/>
      <c r="W24" s="106"/>
      <c r="X24" s="107"/>
      <c r="Y24" s="107"/>
      <c r="Z24" s="107"/>
      <c r="AA24" s="108"/>
    </row>
    <row r="25" spans="1:27" ht="14.1" customHeight="1" x14ac:dyDescent="0.2">
      <c r="A25" s="1938">
        <v>62278</v>
      </c>
      <c r="B25" s="1939"/>
      <c r="C25" s="1939"/>
      <c r="D25" s="1939"/>
      <c r="E25" s="1939"/>
      <c r="F25" s="1939"/>
      <c r="G25" s="1939"/>
      <c r="H25" s="1940"/>
      <c r="I25" s="113"/>
      <c r="J25" s="1963"/>
      <c r="K25" s="1963"/>
      <c r="L25" s="1963"/>
      <c r="M25" s="1963"/>
      <c r="N25" s="1963"/>
      <c r="O25" s="1963"/>
      <c r="P25" s="1963"/>
      <c r="Q25" s="1963"/>
      <c r="R25" s="1963"/>
      <c r="S25" s="1964"/>
      <c r="T25" s="2034" t="s">
        <v>2070</v>
      </c>
      <c r="U25" s="2035"/>
      <c r="V25" s="2035"/>
      <c r="W25" s="2035"/>
      <c r="X25" s="2035"/>
      <c r="Y25" s="2035"/>
      <c r="Z25" s="2035"/>
      <c r="AA25" s="203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49" t="s">
        <v>1511</v>
      </c>
      <c r="J27" s="1950"/>
      <c r="K27" s="1950"/>
      <c r="L27" s="1950"/>
      <c r="M27" s="1950"/>
      <c r="N27" s="1950"/>
      <c r="O27" s="1950"/>
      <c r="P27" s="1950"/>
      <c r="Q27" s="1950"/>
      <c r="R27" s="1950"/>
      <c r="S27" s="1951"/>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2071</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2071</v>
      </c>
      <c r="C30" s="124" t="s">
        <v>1164</v>
      </c>
      <c r="D30" s="28"/>
      <c r="E30" s="28"/>
      <c r="F30" s="140"/>
      <c r="G30" s="114"/>
      <c r="H30" s="114"/>
      <c r="I30" s="54"/>
      <c r="J30" s="148" t="s">
        <v>2071</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2071</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0"/>
      <c r="Q35" s="1939"/>
      <c r="R35" s="1939"/>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4"/>
      <c r="B38" s="1975"/>
      <c r="C38" s="1975"/>
      <c r="D38" s="1975"/>
      <c r="E38" s="1975"/>
      <c r="F38" s="1939"/>
      <c r="G38" s="1939"/>
      <c r="H38" s="1940"/>
      <c r="I38" s="1967"/>
      <c r="J38" s="1968"/>
      <c r="K38" s="1968"/>
      <c r="L38" s="1968"/>
      <c r="M38" s="1968"/>
      <c r="N38" s="1968"/>
      <c r="O38" s="1968"/>
      <c r="P38" s="1969"/>
      <c r="Q38" s="1969"/>
      <c r="R38" s="1969"/>
      <c r="S38" s="1970"/>
      <c r="T38" s="2024"/>
      <c r="U38" s="1968"/>
      <c r="V38" s="1968"/>
      <c r="W38" s="1968"/>
      <c r="X38" s="1969"/>
      <c r="Y38" s="1969"/>
      <c r="Z38" s="1969"/>
      <c r="AA38" s="1970"/>
    </row>
    <row r="39" spans="1:27" ht="12" customHeight="1" x14ac:dyDescent="0.2">
      <c r="A39" s="1944" t="s">
        <v>531</v>
      </c>
      <c r="B39" s="1945"/>
      <c r="C39" s="72"/>
      <c r="D39" s="69"/>
      <c r="E39" s="69"/>
      <c r="F39" s="79"/>
      <c r="G39" s="69"/>
      <c r="H39" s="56"/>
      <c r="I39" s="1944" t="s">
        <v>531</v>
      </c>
      <c r="J39" s="1945"/>
      <c r="K39" s="1945"/>
      <c r="L39" s="1945"/>
      <c r="M39" s="1945"/>
      <c r="N39" s="67"/>
      <c r="O39" s="72"/>
      <c r="P39" s="72"/>
      <c r="Q39" s="78"/>
      <c r="R39" s="72"/>
      <c r="S39" s="56"/>
      <c r="T39" s="72" t="s">
        <v>531</v>
      </c>
      <c r="U39" s="51"/>
      <c r="V39" s="72"/>
      <c r="W39" s="50"/>
      <c r="X39" s="78"/>
      <c r="Y39" s="45"/>
      <c r="Z39" s="45"/>
      <c r="AA39" s="46"/>
    </row>
    <row r="40" spans="1:27" ht="13.5" customHeight="1" x14ac:dyDescent="0.2">
      <c r="A40" s="1952"/>
      <c r="B40" s="1953"/>
      <c r="C40" s="1954"/>
      <c r="D40" s="1954"/>
      <c r="E40" s="1954"/>
      <c r="F40" s="1955"/>
      <c r="G40" s="1955"/>
      <c r="H40" s="1956"/>
      <c r="I40" s="1977"/>
      <c r="J40" s="1978"/>
      <c r="K40" s="1978"/>
      <c r="L40" s="1978"/>
      <c r="M40" s="1978"/>
      <c r="N40" s="1978"/>
      <c r="O40" s="1978"/>
      <c r="P40" s="1978"/>
      <c r="Q40" s="1978"/>
      <c r="R40" s="1978"/>
      <c r="S40" s="1979"/>
      <c r="T40" s="1977"/>
      <c r="U40" s="2040"/>
      <c r="V40" s="1978"/>
      <c r="W40" s="1978"/>
      <c r="X40" s="1978"/>
      <c r="Y40" s="1978"/>
      <c r="Z40" s="1978"/>
      <c r="AA40" s="1979"/>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6"/>
      <c r="B42" s="1958"/>
      <c r="C42" s="1959"/>
      <c r="D42" s="1957"/>
      <c r="E42" s="1958"/>
      <c r="F42" s="1958"/>
      <c r="G42" s="1958"/>
      <c r="H42" s="1959"/>
      <c r="I42" s="1941"/>
      <c r="J42" s="1942"/>
      <c r="K42" s="1942"/>
      <c r="L42" s="1942"/>
      <c r="M42" s="1942"/>
      <c r="N42" s="1942"/>
      <c r="O42" s="1943"/>
      <c r="P42" s="1976"/>
      <c r="Q42" s="1942"/>
      <c r="R42" s="1942"/>
      <c r="S42" s="1943"/>
      <c r="T42" s="1941"/>
      <c r="U42" s="1942"/>
      <c r="V42" s="1942"/>
      <c r="W42" s="1943"/>
      <c r="X42" s="1976"/>
      <c r="Y42" s="1942"/>
      <c r="Z42" s="1942"/>
      <c r="AA42" s="1943"/>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1"/>
      <c r="B44" s="1972"/>
      <c r="C44" s="1972"/>
      <c r="D44" s="1972"/>
      <c r="E44" s="1972"/>
      <c r="F44" s="1972"/>
      <c r="G44" s="1972"/>
      <c r="H44" s="1973"/>
      <c r="I44" s="1946"/>
      <c r="J44" s="1947"/>
      <c r="K44" s="1947"/>
      <c r="L44" s="1947"/>
      <c r="M44" s="1947"/>
      <c r="N44" s="1947"/>
      <c r="O44" s="1947"/>
      <c r="P44" s="1947"/>
      <c r="Q44" s="1947"/>
      <c r="R44" s="1947"/>
      <c r="S44" s="1948"/>
      <c r="T44" s="1946"/>
      <c r="U44" s="1965"/>
      <c r="V44" s="1965"/>
      <c r="W44" s="1965"/>
      <c r="X44" s="1965"/>
      <c r="Y44" s="1965"/>
      <c r="Z44" s="1947"/>
      <c r="AA44" s="1948"/>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1924</v>
      </c>
      <c r="R47" s="41"/>
      <c r="S47" s="41"/>
      <c r="T47" s="41"/>
      <c r="U47" s="41"/>
      <c r="V47" s="41"/>
      <c r="W47" s="41"/>
      <c r="X47" s="41"/>
      <c r="Y47" s="41"/>
      <c r="Z47" s="41"/>
      <c r="AA47" s="41"/>
    </row>
    <row r="48" spans="1:27" x14ac:dyDescent="0.2">
      <c r="Q48" s="41" t="s">
        <v>1925</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A8" sqref="A8"/>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0" t="s">
        <v>1800</v>
      </c>
      <c r="B2" s="1528" t="s">
        <v>1949</v>
      </c>
      <c r="C2" s="714" t="s">
        <v>1950</v>
      </c>
      <c r="D2" s="714" t="s">
        <v>1951</v>
      </c>
      <c r="E2" s="714" t="s">
        <v>1952</v>
      </c>
      <c r="F2" s="714" t="s">
        <v>1953</v>
      </c>
    </row>
    <row r="3" spans="1:6" ht="12" customHeight="1" x14ac:dyDescent="0.2">
      <c r="A3" s="2181"/>
      <c r="B3" s="1525"/>
      <c r="C3" s="1526"/>
      <c r="D3" s="1527" t="s">
        <v>256</v>
      </c>
      <c r="E3" s="1526"/>
      <c r="F3" s="1527" t="s">
        <v>257</v>
      </c>
    </row>
    <row r="4" spans="1:6" ht="13.7" customHeight="1" x14ac:dyDescent="0.2">
      <c r="A4" s="715" t="s">
        <v>1155</v>
      </c>
      <c r="B4" s="1749">
        <f>'Revenues 9-14'!C5</f>
        <v>0</v>
      </c>
      <c r="C4" s="1524"/>
      <c r="D4" s="1752">
        <f>B4-C4</f>
        <v>0</v>
      </c>
      <c r="E4" s="1524"/>
      <c r="F4" s="1752">
        <f>E4-C4</f>
        <v>0</v>
      </c>
    </row>
    <row r="5" spans="1:6" ht="13.7" customHeight="1" x14ac:dyDescent="0.2">
      <c r="A5" s="715" t="s">
        <v>870</v>
      </c>
      <c r="B5" s="1750">
        <f>'Revenues 9-14'!D5</f>
        <v>0</v>
      </c>
      <c r="C5" s="585"/>
      <c r="D5" s="1753">
        <f t="shared" ref="D5:D18" si="0">B5-C5</f>
        <v>0</v>
      </c>
      <c r="E5" s="585"/>
      <c r="F5" s="1753">
        <f>E5-C5</f>
        <v>0</v>
      </c>
    </row>
    <row r="6" spans="1:6" ht="13.7" customHeight="1" x14ac:dyDescent="0.2">
      <c r="A6" s="715" t="s">
        <v>411</v>
      </c>
      <c r="B6" s="1750">
        <f>'Revenues 9-14'!E5</f>
        <v>0</v>
      </c>
      <c r="C6" s="585"/>
      <c r="D6" s="1753">
        <f t="shared" si="0"/>
        <v>0</v>
      </c>
      <c r="E6" s="585"/>
      <c r="F6" s="1753">
        <f t="shared" ref="F6:F18" si="1">E6-C6</f>
        <v>0</v>
      </c>
    </row>
    <row r="7" spans="1:6" ht="13.7" customHeight="1" x14ac:dyDescent="0.2">
      <c r="A7" s="715" t="s">
        <v>155</v>
      </c>
      <c r="B7" s="1750">
        <f>'Revenues 9-14'!F5</f>
        <v>0</v>
      </c>
      <c r="C7" s="585"/>
      <c r="D7" s="1753">
        <f t="shared" si="0"/>
        <v>0</v>
      </c>
      <c r="E7" s="585"/>
      <c r="F7" s="1753">
        <f t="shared" si="1"/>
        <v>0</v>
      </c>
    </row>
    <row r="8" spans="1:6" ht="13.7" customHeight="1" x14ac:dyDescent="0.2">
      <c r="A8" s="715" t="s">
        <v>1179</v>
      </c>
      <c r="B8" s="1750">
        <f>'Revenues 9-14'!G5</f>
        <v>0</v>
      </c>
      <c r="C8" s="585"/>
      <c r="D8" s="1753">
        <f t="shared" si="0"/>
        <v>0</v>
      </c>
      <c r="E8" s="585"/>
      <c r="F8" s="1753">
        <f t="shared" si="1"/>
        <v>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0</v>
      </c>
      <c r="C10" s="585"/>
      <c r="D10" s="1753">
        <f t="shared" si="0"/>
        <v>0</v>
      </c>
      <c r="E10" s="585"/>
      <c r="F10" s="1753">
        <f t="shared" si="1"/>
        <v>0</v>
      </c>
    </row>
    <row r="11" spans="1:6" x14ac:dyDescent="0.2">
      <c r="A11" s="715" t="s">
        <v>409</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0</v>
      </c>
      <c r="C16" s="585"/>
      <c r="D16" s="1753">
        <f t="shared" si="0"/>
        <v>0</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0</v>
      </c>
      <c r="C19" s="1751">
        <f>SUM(C4:C18)</f>
        <v>0</v>
      </c>
      <c r="D19" s="1751">
        <f>SUM(D4:D18)</f>
        <v>0</v>
      </c>
      <c r="E19" s="1751">
        <f>SUM(E4:E18)</f>
        <v>0</v>
      </c>
      <c r="F19" s="1751">
        <f>SUM(F4:F18)</f>
        <v>0</v>
      </c>
    </row>
    <row r="20" spans="1:6" ht="13.5" thickTop="1" x14ac:dyDescent="0.2">
      <c r="B20" s="713"/>
      <c r="F20" s="716"/>
    </row>
    <row r="21" spans="1:6" x14ac:dyDescent="0.2">
      <c r="A21" s="717" t="s">
        <v>1806</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colorId="8" zoomScale="110" zoomScaleNormal="110" workbookViewId="0">
      <selection activeCell="A8" sqref="A8"/>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2" t="s">
        <v>629</v>
      </c>
      <c r="B1" s="2200"/>
      <c r="C1" s="721"/>
    </row>
    <row r="2" spans="1:7" ht="33.75" x14ac:dyDescent="0.2">
      <c r="A2" s="2207" t="s">
        <v>1800</v>
      </c>
      <c r="B2" s="2208"/>
      <c r="C2" s="1884" t="s">
        <v>1954</v>
      </c>
      <c r="D2" s="723" t="s">
        <v>1955</v>
      </c>
      <c r="E2" s="723" t="s">
        <v>1956</v>
      </c>
      <c r="F2" s="1884" t="s">
        <v>1957</v>
      </c>
    </row>
    <row r="3" spans="1:7" ht="15.75" customHeight="1" x14ac:dyDescent="0.2">
      <c r="A3" s="2209" t="s">
        <v>1114</v>
      </c>
      <c r="B3" s="2210"/>
      <c r="C3" s="2203"/>
      <c r="D3" s="2204"/>
      <c r="E3" s="2204"/>
      <c r="F3" s="2205"/>
    </row>
    <row r="4" spans="1:7" ht="12.75" customHeight="1" thickBot="1" x14ac:dyDescent="0.25">
      <c r="A4" s="2197" t="s">
        <v>630</v>
      </c>
      <c r="B4" s="2198"/>
      <c r="C4" s="581"/>
      <c r="D4" s="581"/>
      <c r="E4" s="581"/>
      <c r="F4" s="1755">
        <f>SUM(C4+D4)-E4</f>
        <v>0</v>
      </c>
    </row>
    <row r="5" spans="1:7" ht="15.75" customHeight="1" thickTop="1" x14ac:dyDescent="0.2">
      <c r="A5" s="2201" t="s">
        <v>1110</v>
      </c>
      <c r="B5" s="2196"/>
      <c r="C5" s="2190"/>
      <c r="D5" s="2191"/>
      <c r="E5" s="2191"/>
      <c r="F5" s="2192"/>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3" t="s">
        <v>631</v>
      </c>
      <c r="B15" s="2194"/>
      <c r="C15" s="1755">
        <f>SUM(C6:C14)</f>
        <v>0</v>
      </c>
      <c r="D15" s="1755">
        <f>SUM(D6:D14)</f>
        <v>0</v>
      </c>
      <c r="E15" s="1755">
        <f>SUM(E6:E14)</f>
        <v>0</v>
      </c>
      <c r="F15" s="1755">
        <f>SUM(F6:F14)</f>
        <v>0</v>
      </c>
      <c r="G15" s="552"/>
    </row>
    <row r="16" spans="1:7" s="202" customFormat="1" ht="15.75" customHeight="1" thickTop="1" x14ac:dyDescent="0.2">
      <c r="A16" s="2206" t="s">
        <v>1111</v>
      </c>
      <c r="B16" s="2196"/>
      <c r="C16" s="2190"/>
      <c r="D16" s="2191"/>
      <c r="E16" s="2191"/>
      <c r="F16" s="2192"/>
    </row>
    <row r="17" spans="1:11" ht="12.75" customHeight="1" thickBot="1" x14ac:dyDescent="0.25">
      <c r="A17" s="2188" t="s">
        <v>64</v>
      </c>
      <c r="B17" s="2189"/>
      <c r="C17" s="726"/>
      <c r="D17" s="585"/>
      <c r="E17" s="726"/>
      <c r="F17" s="1755">
        <f>SUM(C17+D17)-E17</f>
        <v>0</v>
      </c>
    </row>
    <row r="18" spans="1:11" ht="12.75" customHeight="1" thickTop="1" thickBot="1" x14ac:dyDescent="0.25">
      <c r="A18" s="2188" t="s">
        <v>6</v>
      </c>
      <c r="B18" s="2189"/>
      <c r="C18" s="726"/>
      <c r="D18" s="585"/>
      <c r="E18" s="726"/>
      <c r="F18" s="1755">
        <f>SUM(C18+D18)-E18</f>
        <v>0</v>
      </c>
    </row>
    <row r="19" spans="1:11" ht="12.75" customHeight="1" thickTop="1" thickBot="1" x14ac:dyDescent="0.25">
      <c r="A19" s="2188" t="s">
        <v>388</v>
      </c>
      <c r="B19" s="2189"/>
      <c r="C19" s="726"/>
      <c r="D19" s="585"/>
      <c r="E19" s="726"/>
      <c r="F19" s="1755">
        <f>SUM(C19+D19)-E19</f>
        <v>0</v>
      </c>
    </row>
    <row r="20" spans="1:11" ht="12.75" customHeight="1" thickTop="1" thickBot="1" x14ac:dyDescent="0.25">
      <c r="A20" s="2188" t="s">
        <v>448</v>
      </c>
      <c r="B20" s="2189"/>
      <c r="C20" s="726"/>
      <c r="D20" s="585"/>
      <c r="E20" s="726"/>
      <c r="F20" s="1755">
        <f>SUM(C20+D20)-E20</f>
        <v>0</v>
      </c>
    </row>
    <row r="21" spans="1:11" ht="14.25" thickTop="1" thickBot="1" x14ac:dyDescent="0.25">
      <c r="A21" s="2193" t="s">
        <v>632</v>
      </c>
      <c r="B21" s="2194"/>
      <c r="C21" s="1755">
        <f>SUM(C17:C20)</f>
        <v>0</v>
      </c>
      <c r="D21" s="1755">
        <f>SUM(D17:D20)</f>
        <v>0</v>
      </c>
      <c r="E21" s="1755">
        <f>SUM(E17:E20)</f>
        <v>0</v>
      </c>
      <c r="F21" s="1755">
        <f>SUM(F17:F20)</f>
        <v>0</v>
      </c>
      <c r="G21" s="552"/>
    </row>
    <row r="22" spans="1:11" ht="15.75" customHeight="1" thickTop="1" x14ac:dyDescent="0.2">
      <c r="A22" s="2195" t="s">
        <v>1112</v>
      </c>
      <c r="B22" s="2196"/>
      <c r="C22" s="2190"/>
      <c r="D22" s="2191"/>
      <c r="E22" s="2191"/>
      <c r="F22" s="2192"/>
    </row>
    <row r="23" spans="1:11" ht="13.5" thickBot="1" x14ac:dyDescent="0.25">
      <c r="A23" s="2197" t="s">
        <v>633</v>
      </c>
      <c r="B23" s="2198"/>
      <c r="C23" s="581"/>
      <c r="D23" s="581"/>
      <c r="E23" s="581"/>
      <c r="F23" s="1755">
        <f>SUM(C23+D23)-E23</f>
        <v>0</v>
      </c>
      <c r="G23" s="552"/>
    </row>
    <row r="24" spans="1:11" ht="15.75" customHeight="1" thickTop="1" x14ac:dyDescent="0.2">
      <c r="A24" s="2195" t="s">
        <v>1113</v>
      </c>
      <c r="B24" s="2196"/>
      <c r="C24" s="2190"/>
      <c r="D24" s="2191"/>
      <c r="E24" s="2191"/>
      <c r="F24" s="2192"/>
    </row>
    <row r="25" spans="1:11" ht="13.5" thickBot="1" x14ac:dyDescent="0.25">
      <c r="A25" s="2197" t="s">
        <v>634</v>
      </c>
      <c r="B25" s="2198"/>
      <c r="C25" s="581"/>
      <c r="D25" s="581"/>
      <c r="E25" s="581"/>
      <c r="F25" s="1755">
        <f>SUM(C25+D25)-E25</f>
        <v>0</v>
      </c>
      <c r="G25" s="552"/>
    </row>
    <row r="26" spans="1:11" ht="15.75" customHeight="1" thickTop="1" x14ac:dyDescent="0.2">
      <c r="A26" s="2201" t="s">
        <v>657</v>
      </c>
      <c r="B26" s="2196"/>
      <c r="C26" s="727"/>
      <c r="D26" s="727"/>
      <c r="E26" s="727"/>
      <c r="F26" s="728"/>
    </row>
    <row r="27" spans="1:11" ht="13.5" thickBot="1" x14ac:dyDescent="0.25">
      <c r="A27" s="2193" t="s">
        <v>1070</v>
      </c>
      <c r="B27" s="2194"/>
      <c r="C27" s="585"/>
      <c r="D27" s="585"/>
      <c r="E27" s="585"/>
      <c r="F27" s="1755">
        <f>SUM(C27+D27)-E27</f>
        <v>0</v>
      </c>
      <c r="G27" s="552"/>
    </row>
    <row r="28" spans="1:11" ht="7.5" customHeight="1" thickTop="1" x14ac:dyDescent="0.2">
      <c r="A28" s="593"/>
    </row>
    <row r="29" spans="1:11" ht="23.25" customHeight="1" x14ac:dyDescent="0.2">
      <c r="A29" s="2199" t="s">
        <v>582</v>
      </c>
      <c r="B29" s="2200"/>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1909</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1805</v>
      </c>
      <c r="B51" s="746"/>
      <c r="C51" s="737"/>
      <c r="D51" s="737"/>
      <c r="E51" s="737"/>
      <c r="F51" s="737"/>
      <c r="G51" s="737"/>
      <c r="H51" s="736"/>
      <c r="I51" s="736"/>
      <c r="J51" s="746"/>
    </row>
    <row r="52" spans="1:11" ht="11.25" customHeight="1" x14ac:dyDescent="0.2">
      <c r="A52" s="748" t="s">
        <v>912</v>
      </c>
      <c r="B52" s="2182" t="s">
        <v>584</v>
      </c>
      <c r="C52" s="2183"/>
      <c r="D52" s="2183"/>
      <c r="E52" s="749" t="s">
        <v>845</v>
      </c>
      <c r="F52" s="2184"/>
      <c r="G52" s="2185"/>
      <c r="H52" s="736"/>
      <c r="I52" s="736"/>
      <c r="J52" s="746"/>
    </row>
    <row r="53" spans="1:11" ht="11.25" customHeight="1" x14ac:dyDescent="0.2">
      <c r="A53" s="750" t="s">
        <v>913</v>
      </c>
      <c r="B53" s="751" t="s">
        <v>951</v>
      </c>
      <c r="C53" s="746"/>
      <c r="D53" s="737"/>
      <c r="E53" s="749" t="s">
        <v>497</v>
      </c>
      <c r="F53" s="2186"/>
      <c r="G53" s="2187"/>
      <c r="H53" s="736"/>
      <c r="I53" s="736"/>
      <c r="J53" s="746"/>
    </row>
    <row r="54" spans="1:11" ht="11.25" customHeight="1" x14ac:dyDescent="0.2">
      <c r="A54" s="752" t="s">
        <v>914</v>
      </c>
      <c r="B54" s="747" t="s">
        <v>952</v>
      </c>
      <c r="C54" s="746"/>
      <c r="D54" s="737"/>
      <c r="E54" s="749" t="s">
        <v>498</v>
      </c>
      <c r="F54" s="2186"/>
      <c r="G54" s="2187"/>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A8" sqref="A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1" t="s">
        <v>856</v>
      </c>
      <c r="B1" s="2212"/>
      <c r="C1" s="2212"/>
      <c r="D1" s="2212"/>
      <c r="E1" s="2212"/>
      <c r="F1" s="2212"/>
      <c r="G1" s="2213"/>
      <c r="H1" s="1530"/>
      <c r="I1" s="760"/>
      <c r="J1" s="433"/>
    </row>
    <row r="2" spans="1:11" ht="26.25" x14ac:dyDescent="0.2">
      <c r="A2" s="2230" t="s">
        <v>1677</v>
      </c>
      <c r="B2" s="2231"/>
      <c r="C2" s="2231"/>
      <c r="D2" s="2231"/>
      <c r="E2" s="2232"/>
      <c r="F2" s="761" t="s">
        <v>904</v>
      </c>
      <c r="G2" s="762" t="s">
        <v>1674</v>
      </c>
      <c r="H2" s="762" t="s">
        <v>410</v>
      </c>
      <c r="I2" s="762" t="s">
        <v>1158</v>
      </c>
      <c r="J2" s="762" t="s">
        <v>1810</v>
      </c>
      <c r="K2" s="762" t="s">
        <v>138</v>
      </c>
    </row>
    <row r="3" spans="1:11" x14ac:dyDescent="0.2">
      <c r="A3" s="2233" t="s">
        <v>1962</v>
      </c>
      <c r="B3" s="2234"/>
      <c r="C3" s="2234"/>
      <c r="D3" s="2234"/>
      <c r="E3" s="2235"/>
      <c r="F3" s="763"/>
      <c r="G3" s="764"/>
      <c r="H3" s="764"/>
      <c r="I3" s="764"/>
      <c r="J3" s="765"/>
      <c r="K3" s="765"/>
    </row>
    <row r="4" spans="1:11" x14ac:dyDescent="0.2">
      <c r="A4" s="2236" t="s">
        <v>369</v>
      </c>
      <c r="B4" s="2237"/>
      <c r="C4" s="2237"/>
      <c r="D4" s="2237"/>
      <c r="E4" s="2183"/>
      <c r="F4" s="766"/>
      <c r="G4" s="767"/>
      <c r="H4" s="768"/>
      <c r="I4" s="767"/>
      <c r="J4" s="769"/>
      <c r="K4" s="769"/>
    </row>
    <row r="5" spans="1:11" x14ac:dyDescent="0.2">
      <c r="A5" s="2214" t="s">
        <v>1069</v>
      </c>
      <c r="B5" s="2215"/>
      <c r="C5" s="2215"/>
      <c r="D5" s="2215"/>
      <c r="E5" s="2216"/>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14" t="s">
        <v>1811</v>
      </c>
      <c r="B10" s="2215"/>
      <c r="C10" s="2215"/>
      <c r="D10" s="2215"/>
      <c r="E10" s="2217"/>
      <c r="F10" s="783" t="s">
        <v>862</v>
      </c>
      <c r="G10" s="782"/>
      <c r="H10" s="784"/>
      <c r="I10" s="764"/>
      <c r="J10" s="765"/>
      <c r="K10" s="765"/>
    </row>
    <row r="11" spans="1:11" x14ac:dyDescent="0.2">
      <c r="A11" s="2214" t="s">
        <v>160</v>
      </c>
      <c r="B11" s="2215"/>
      <c r="C11" s="2215"/>
      <c r="D11" s="2215"/>
      <c r="E11" s="2216"/>
      <c r="F11" s="770" t="s">
        <v>852</v>
      </c>
      <c r="G11" s="771"/>
      <c r="H11" s="764"/>
      <c r="I11" s="764"/>
      <c r="J11" s="765"/>
      <c r="K11" s="773"/>
    </row>
    <row r="12" spans="1:11" ht="13.5" thickBot="1" x14ac:dyDescent="0.25">
      <c r="A12" s="2241" t="s">
        <v>905</v>
      </c>
      <c r="B12" s="2242"/>
      <c r="C12" s="2242"/>
      <c r="D12" s="2242"/>
      <c r="E12" s="2243"/>
      <c r="F12" s="1757"/>
      <c r="G12" s="1758">
        <f>SUM(G5:G11)</f>
        <v>0</v>
      </c>
      <c r="H12" s="1758">
        <f>SUM(H5:H11)</f>
        <v>0</v>
      </c>
      <c r="I12" s="1758">
        <f>SUM(I5:I11)</f>
        <v>0</v>
      </c>
      <c r="J12" s="1758">
        <f>SUM(J5:J11)</f>
        <v>0</v>
      </c>
      <c r="K12" s="1758">
        <f>SUM(K5:K11)</f>
        <v>0</v>
      </c>
    </row>
    <row r="13" spans="1:11" ht="13.5" thickTop="1" x14ac:dyDescent="0.2">
      <c r="A13" s="2238" t="s">
        <v>370</v>
      </c>
      <c r="B13" s="2239"/>
      <c r="C13" s="2239"/>
      <c r="D13" s="2239"/>
      <c r="E13" s="2240"/>
      <c r="F13" s="785"/>
      <c r="G13" s="786"/>
      <c r="H13" s="787"/>
      <c r="I13" s="788"/>
      <c r="J13" s="788"/>
      <c r="K13" s="788"/>
    </row>
    <row r="14" spans="1:11" x14ac:dyDescent="0.2">
      <c r="A14" s="2221" t="s">
        <v>456</v>
      </c>
      <c r="B14" s="2221"/>
      <c r="C14" s="2221"/>
      <c r="D14" s="2221"/>
      <c r="E14" s="2222"/>
      <c r="F14" s="789" t="s">
        <v>854</v>
      </c>
      <c r="G14" s="782"/>
      <c r="H14" s="764"/>
      <c r="I14" s="771"/>
      <c r="J14" s="773"/>
      <c r="K14" s="765"/>
    </row>
    <row r="15" spans="1:11" x14ac:dyDescent="0.2">
      <c r="A15" s="2215" t="s">
        <v>4</v>
      </c>
      <c r="B15" s="2215"/>
      <c r="C15" s="2215"/>
      <c r="D15" s="2215"/>
      <c r="E15" s="2216"/>
      <c r="F15" s="789" t="s">
        <v>855</v>
      </c>
      <c r="G15" s="771"/>
      <c r="H15" s="764"/>
      <c r="I15" s="764"/>
      <c r="J15" s="765"/>
      <c r="K15" s="765"/>
    </row>
    <row r="16" spans="1:11" x14ac:dyDescent="0.2">
      <c r="A16" s="2215" t="s">
        <v>298</v>
      </c>
      <c r="B16" s="2215"/>
      <c r="C16" s="2215"/>
      <c r="D16" s="2215"/>
      <c r="E16" s="2216"/>
      <c r="F16" s="789" t="s">
        <v>923</v>
      </c>
      <c r="G16" s="772"/>
      <c r="H16" s="767"/>
      <c r="I16" s="767"/>
      <c r="J16" s="769"/>
      <c r="K16" s="769"/>
    </row>
    <row r="17" spans="1:11" x14ac:dyDescent="0.2">
      <c r="A17" s="2246" t="s">
        <v>935</v>
      </c>
      <c r="B17" s="2246"/>
      <c r="C17" s="2246"/>
      <c r="D17" s="2246"/>
      <c r="E17" s="2247"/>
      <c r="F17" s="790"/>
      <c r="G17" s="791"/>
      <c r="H17" s="792"/>
      <c r="I17" s="792"/>
      <c r="J17" s="793"/>
      <c r="K17" s="794"/>
    </row>
    <row r="18" spans="1:11" x14ac:dyDescent="0.2">
      <c r="A18" s="2225" t="s">
        <v>368</v>
      </c>
      <c r="B18" s="2226"/>
      <c r="C18" s="2226"/>
      <c r="D18" s="2226"/>
      <c r="E18" s="2227"/>
      <c r="F18" s="789" t="s">
        <v>932</v>
      </c>
      <c r="G18" s="782"/>
      <c r="H18" s="782"/>
      <c r="I18" s="782"/>
      <c r="J18" s="765"/>
      <c r="K18" s="795"/>
    </row>
    <row r="19" spans="1:11" ht="21.75" customHeight="1" x14ac:dyDescent="0.2">
      <c r="A19" s="2223" t="s">
        <v>1807</v>
      </c>
      <c r="B19" s="2223"/>
      <c r="C19" s="2223"/>
      <c r="D19" s="2223"/>
      <c r="E19" s="2224"/>
      <c r="F19" s="789" t="s">
        <v>933</v>
      </c>
      <c r="G19" s="782"/>
      <c r="H19" s="782"/>
      <c r="I19" s="782"/>
      <c r="J19" s="765"/>
      <c r="K19" s="795"/>
    </row>
    <row r="20" spans="1:11" x14ac:dyDescent="0.2">
      <c r="A20" s="2225" t="s">
        <v>1812</v>
      </c>
      <c r="B20" s="2226"/>
      <c r="C20" s="2226"/>
      <c r="D20" s="2226"/>
      <c r="E20" s="2227"/>
      <c r="F20" s="789" t="s">
        <v>934</v>
      </c>
      <c r="G20" s="782"/>
      <c r="H20" s="782"/>
      <c r="I20" s="782"/>
      <c r="J20" s="765"/>
      <c r="K20" s="795"/>
    </row>
    <row r="21" spans="1:11" ht="13.5" thickBot="1" x14ac:dyDescent="0.25">
      <c r="A21" s="2244" t="s">
        <v>638</v>
      </c>
      <c r="B21" s="2244"/>
      <c r="C21" s="2244"/>
      <c r="D21" s="2244"/>
      <c r="E21" s="2244"/>
      <c r="F21" s="1759"/>
      <c r="G21" s="792"/>
      <c r="H21" s="796"/>
      <c r="I21" s="796"/>
      <c r="J21" s="1760">
        <f>SUM(J18:J20)</f>
        <v>0</v>
      </c>
      <c r="K21" s="793"/>
    </row>
    <row r="22" spans="1:11" ht="13.5" thickTop="1" x14ac:dyDescent="0.2">
      <c r="A22" s="2215" t="s">
        <v>1813</v>
      </c>
      <c r="B22" s="2215"/>
      <c r="C22" s="2215"/>
      <c r="D22" s="2215"/>
      <c r="E22" s="2216"/>
      <c r="F22" s="789" t="s">
        <v>862</v>
      </c>
      <c r="G22" s="782"/>
      <c r="H22" s="764"/>
      <c r="I22" s="764"/>
      <c r="J22" s="797"/>
      <c r="K22" s="765"/>
    </row>
    <row r="23" spans="1:11" ht="13.5" thickBot="1" x14ac:dyDescent="0.25">
      <c r="A23" s="2245" t="s">
        <v>906</v>
      </c>
      <c r="B23" s="2244"/>
      <c r="C23" s="2244"/>
      <c r="D23" s="2244"/>
      <c r="E23" s="2244"/>
      <c r="F23" s="1761"/>
      <c r="G23" s="1758">
        <f>SUM(G14:G16,G21,G22)</f>
        <v>0</v>
      </c>
      <c r="H23" s="1758">
        <f>SUM(H14:H16,H21,H22)</f>
        <v>0</v>
      </c>
      <c r="I23" s="1758">
        <f>SUM(I14:I16,I21,I22)</f>
        <v>0</v>
      </c>
      <c r="J23" s="1758">
        <f>SUM(J14:J16,J21,J22)</f>
        <v>0</v>
      </c>
      <c r="K23" s="1758">
        <f>SUM(K14:K16,K21,K22)</f>
        <v>0</v>
      </c>
    </row>
    <row r="24" spans="1:11" ht="14.25" thickTop="1" thickBot="1" x14ac:dyDescent="0.25">
      <c r="A24" s="2245" t="s">
        <v>1963</v>
      </c>
      <c r="B24" s="2244"/>
      <c r="C24" s="2244"/>
      <c r="D24" s="2244"/>
      <c r="E24" s="2244"/>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1908</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18"/>
      <c r="I31" s="2219"/>
      <c r="J31" s="2219"/>
      <c r="K31" s="2219"/>
    </row>
    <row r="32" spans="1:11" x14ac:dyDescent="0.2">
      <c r="A32" s="809"/>
      <c r="B32" s="237"/>
      <c r="C32" s="237"/>
      <c r="D32" s="237"/>
      <c r="E32" s="805"/>
      <c r="F32" s="811" t="s">
        <v>540</v>
      </c>
      <c r="G32" s="764"/>
      <c r="H32" s="2220"/>
      <c r="I32" s="2219"/>
      <c r="J32" s="2219"/>
      <c r="K32" s="2219"/>
    </row>
    <row r="33" spans="1:11" ht="1.5" customHeight="1" x14ac:dyDescent="0.2">
      <c r="A33" s="812" t="s">
        <v>1169</v>
      </c>
      <c r="B33" s="364"/>
      <c r="C33" s="364"/>
      <c r="D33" s="364"/>
      <c r="E33" s="364"/>
      <c r="F33" s="364"/>
      <c r="G33" s="813"/>
      <c r="H33" s="2220"/>
      <c r="I33" s="2219"/>
      <c r="J33" s="2219"/>
      <c r="K33" s="2219"/>
    </row>
    <row r="34" spans="1:11" x14ac:dyDescent="0.2">
      <c r="A34" s="814" t="s">
        <v>1814</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5" t="s">
        <v>541</v>
      </c>
      <c r="B41" s="2228"/>
      <c r="C41" s="2228"/>
      <c r="D41" s="2228"/>
      <c r="E41" s="2228"/>
      <c r="F41" s="2229"/>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1808</v>
      </c>
      <c r="B46" s="408" t="s">
        <v>1675</v>
      </c>
    </row>
    <row r="47" spans="1:11" s="823" customFormat="1" ht="12.75" customHeight="1" x14ac:dyDescent="0.2">
      <c r="A47" s="821"/>
      <c r="B47" s="822" t="s">
        <v>1676</v>
      </c>
      <c r="E47" s="822"/>
      <c r="K47" s="824"/>
    </row>
    <row r="48" spans="1:11" ht="12.75" customHeight="1" x14ac:dyDescent="0.2">
      <c r="A48" s="1532" t="s">
        <v>1809</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A8" sqref="A8"/>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0" t="s">
        <v>1907</v>
      </c>
      <c r="B1" s="2251"/>
      <c r="C1" s="2252"/>
      <c r="D1" s="826"/>
      <c r="E1" s="827"/>
      <c r="F1" s="827"/>
      <c r="G1" s="828"/>
      <c r="H1" s="829"/>
      <c r="I1" s="830"/>
      <c r="J1" s="2248"/>
      <c r="K1" s="2249"/>
      <c r="L1" s="2249"/>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51015</v>
      </c>
      <c r="D5" s="841"/>
      <c r="E5" s="841"/>
      <c r="F5" s="1760">
        <f>(C5+D5)-E5</f>
        <v>51015</v>
      </c>
      <c r="G5" s="837"/>
      <c r="H5" s="842"/>
      <c r="I5" s="842"/>
      <c r="J5" s="842"/>
      <c r="K5" s="793"/>
      <c r="L5" s="1769">
        <f>F5-K5</f>
        <v>51015</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742128</v>
      </c>
      <c r="D8" s="844"/>
      <c r="E8" s="844">
        <v>155415</v>
      </c>
      <c r="F8" s="1760">
        <f>(C8+D8)-E8</f>
        <v>586713</v>
      </c>
      <c r="G8" s="843">
        <v>50</v>
      </c>
      <c r="H8" s="765">
        <v>230818</v>
      </c>
      <c r="I8" s="765">
        <v>16223</v>
      </c>
      <c r="J8" s="765">
        <v>14994</v>
      </c>
      <c r="K8" s="1769">
        <f>(H8+I8)-J8</f>
        <v>232047</v>
      </c>
      <c r="L8" s="1769">
        <f>F8-K8</f>
        <v>354666</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41198</v>
      </c>
      <c r="D10" s="846"/>
      <c r="E10" s="846">
        <v>41198</v>
      </c>
      <c r="F10" s="1764">
        <f>(C10+D10)-E10</f>
        <v>0</v>
      </c>
      <c r="G10" s="843">
        <v>20</v>
      </c>
      <c r="H10" s="847">
        <v>6180</v>
      </c>
      <c r="I10" s="847"/>
      <c r="J10" s="847">
        <v>6180</v>
      </c>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566291</v>
      </c>
      <c r="D12" s="844"/>
      <c r="E12" s="844">
        <v>176755</v>
      </c>
      <c r="F12" s="1760">
        <f>(C12+D12)-E12</f>
        <v>389536</v>
      </c>
      <c r="G12" s="843">
        <v>10</v>
      </c>
      <c r="H12" s="765">
        <v>473751</v>
      </c>
      <c r="I12" s="765">
        <v>24864</v>
      </c>
      <c r="J12" s="765">
        <v>176755</v>
      </c>
      <c r="K12" s="1769">
        <f>(H12+I12)-J12</f>
        <v>321860</v>
      </c>
      <c r="L12" s="1769">
        <f>F12-K12</f>
        <v>67676</v>
      </c>
    </row>
    <row r="13" spans="1:14" ht="14.25" thickTop="1" thickBot="1" x14ac:dyDescent="0.25">
      <c r="A13" s="848" t="s">
        <v>1122</v>
      </c>
      <c r="B13" s="840">
        <v>252</v>
      </c>
      <c r="C13" s="844">
        <v>24281</v>
      </c>
      <c r="D13" s="844">
        <v>25865</v>
      </c>
      <c r="E13" s="844"/>
      <c r="F13" s="1760">
        <f>(C13+D13)-E13</f>
        <v>50146</v>
      </c>
      <c r="G13" s="843">
        <v>5</v>
      </c>
      <c r="H13" s="765">
        <v>14568</v>
      </c>
      <c r="I13" s="765">
        <v>10029</v>
      </c>
      <c r="J13" s="765"/>
      <c r="K13" s="1769">
        <f>(H13+I13)-J13</f>
        <v>24597</v>
      </c>
      <c r="L13" s="1769">
        <f>F13-K13</f>
        <v>25549</v>
      </c>
    </row>
    <row r="14" spans="1:14" ht="14.25" thickTop="1" thickBot="1" x14ac:dyDescent="0.25">
      <c r="A14" s="848" t="s">
        <v>1123</v>
      </c>
      <c r="B14" s="840">
        <v>253</v>
      </c>
      <c r="C14" s="765">
        <v>11528</v>
      </c>
      <c r="D14" s="765">
        <v>7423</v>
      </c>
      <c r="E14" s="765"/>
      <c r="F14" s="1760">
        <f>(C14+D14)-E14</f>
        <v>18951</v>
      </c>
      <c r="G14" s="843">
        <v>3</v>
      </c>
      <c r="H14" s="765">
        <v>1921</v>
      </c>
      <c r="I14" s="765">
        <v>6316</v>
      </c>
      <c r="J14" s="765"/>
      <c r="K14" s="1769">
        <f>(H14+I14)-J14</f>
        <v>8237</v>
      </c>
      <c r="L14" s="1769">
        <f>F14-K14</f>
        <v>10714</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1436441</v>
      </c>
      <c r="D16" s="1760">
        <f>SUM(D3,D5:D6,D8:D10,D12:D15)</f>
        <v>33288</v>
      </c>
      <c r="E16" s="1760">
        <f>SUM(E3,E5:E6,E8:E10,E12:E15)</f>
        <v>373368</v>
      </c>
      <c r="F16" s="1760">
        <f>SUM(F3,F5:F6,F8:F10,F12:F15)</f>
        <v>1096361</v>
      </c>
      <c r="G16" s="843"/>
      <c r="H16" s="1760">
        <f>SUM(H3,H6,H8:H10,H12:H14,)</f>
        <v>727238</v>
      </c>
      <c r="I16" s="1760">
        <f>SUM(I3,I6,I8:I10,I12:I14,)</f>
        <v>57432</v>
      </c>
      <c r="J16" s="1760">
        <f>SUM(J3,J6,J8:J10,J12:J14,)</f>
        <v>197929</v>
      </c>
      <c r="K16" s="1760">
        <f>(H16+I16)-J16</f>
        <v>586741</v>
      </c>
      <c r="L16" s="1760">
        <f>F16-K16</f>
        <v>509620</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4792</v>
      </c>
      <c r="G17" s="837">
        <v>10</v>
      </c>
      <c r="H17" s="769"/>
      <c r="I17" s="1769">
        <f>F17/G17</f>
        <v>479.2</v>
      </c>
      <c r="J17" s="769"/>
      <c r="K17" s="795"/>
      <c r="L17" s="795"/>
    </row>
    <row r="18" spans="1:12" ht="14.25" thickTop="1" thickBot="1" x14ac:dyDescent="0.25">
      <c r="A18" s="1767" t="s">
        <v>685</v>
      </c>
      <c r="B18" s="1768"/>
      <c r="C18" s="771"/>
      <c r="D18" s="771"/>
      <c r="E18" s="771"/>
      <c r="F18" s="850"/>
      <c r="G18" s="851"/>
      <c r="H18" s="773"/>
      <c r="I18" s="1760">
        <f>SUM(I16,I17)</f>
        <v>57911.199999999997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8" sqref="A8"/>
      <selection pane="bottomLeft" activeCell="A8" sqref="A8"/>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6" t="s">
        <v>1973</v>
      </c>
      <c r="B1" s="2257"/>
      <c r="C1" s="2257"/>
      <c r="D1" s="2257"/>
      <c r="E1" s="2257"/>
      <c r="F1" s="2258"/>
      <c r="G1" s="855"/>
    </row>
    <row r="2" spans="1:7" ht="15" customHeight="1" thickBot="1" x14ac:dyDescent="0.25">
      <c r="A2" s="2259" t="s">
        <v>477</v>
      </c>
      <c r="B2" s="2260"/>
      <c r="C2" s="2260"/>
      <c r="D2" s="2260"/>
      <c r="E2" s="2260"/>
      <c r="F2" s="2261"/>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2"/>
      <c r="B5" s="2263"/>
      <c r="C5" s="2263"/>
      <c r="D5" s="2263"/>
      <c r="E5" s="2263"/>
      <c r="F5" s="2263"/>
    </row>
    <row r="6" spans="1:7" ht="13.5" customHeight="1" thickBot="1" x14ac:dyDescent="0.25">
      <c r="A6" s="2253" t="s">
        <v>1104</v>
      </c>
      <c r="B6" s="2254"/>
      <c r="C6" s="2254"/>
      <c r="D6" s="2254"/>
      <c r="E6" s="2254"/>
      <c r="F6" s="2255"/>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6707803</v>
      </c>
      <c r="G8" s="865"/>
    </row>
    <row r="9" spans="1:7" x14ac:dyDescent="0.2">
      <c r="A9" s="869" t="s">
        <v>460</v>
      </c>
      <c r="B9" s="870" t="s">
        <v>1875</v>
      </c>
      <c r="C9" s="871"/>
      <c r="D9" s="869" t="s">
        <v>501</v>
      </c>
      <c r="E9" s="868"/>
      <c r="F9" s="1909">
        <f>'Expenditures 15-22'!K151</f>
        <v>0</v>
      </c>
      <c r="G9" s="872"/>
    </row>
    <row r="10" spans="1:7" x14ac:dyDescent="0.2">
      <c r="A10" s="869" t="s">
        <v>499</v>
      </c>
      <c r="B10" s="870" t="s">
        <v>1876</v>
      </c>
      <c r="C10" s="871"/>
      <c r="D10" s="869" t="s">
        <v>501</v>
      </c>
      <c r="E10" s="868"/>
      <c r="F10" s="1909">
        <f>'Expenditures 15-22'!K174</f>
        <v>0</v>
      </c>
      <c r="G10" s="872"/>
    </row>
    <row r="11" spans="1:7" x14ac:dyDescent="0.2">
      <c r="A11" s="869" t="s">
        <v>461</v>
      </c>
      <c r="B11" s="870" t="s">
        <v>1877</v>
      </c>
      <c r="C11" s="871"/>
      <c r="D11" s="869" t="s">
        <v>501</v>
      </c>
      <c r="E11" s="868"/>
      <c r="F11" s="1909">
        <f>'Expenditures 15-22'!K210</f>
        <v>0</v>
      </c>
      <c r="G11" s="872"/>
    </row>
    <row r="12" spans="1:7" x14ac:dyDescent="0.2">
      <c r="A12" s="869" t="s">
        <v>462</v>
      </c>
      <c r="B12" s="870" t="s">
        <v>1878</v>
      </c>
      <c r="C12" s="871"/>
      <c r="D12" s="869" t="s">
        <v>501</v>
      </c>
      <c r="E12" s="868"/>
      <c r="F12" s="1909">
        <f>'Expenditures 15-22'!K295</f>
        <v>0</v>
      </c>
      <c r="G12" s="872"/>
    </row>
    <row r="13" spans="1:7" x14ac:dyDescent="0.2">
      <c r="A13" s="869" t="s">
        <v>106</v>
      </c>
      <c r="B13" s="870" t="s">
        <v>1879</v>
      </c>
      <c r="C13" s="871"/>
      <c r="D13" s="869" t="s">
        <v>501</v>
      </c>
      <c r="E13" s="868"/>
      <c r="F13" s="1909">
        <f>'Expenditures 15-22'!K342</f>
        <v>0</v>
      </c>
      <c r="G13" s="873"/>
    </row>
    <row r="14" spans="1:7" ht="12" customHeight="1" thickBot="1" x14ac:dyDescent="0.25">
      <c r="A14" s="1770"/>
      <c r="B14" s="1771"/>
      <c r="C14" s="1772"/>
      <c r="D14" s="1773" t="s">
        <v>501</v>
      </c>
      <c r="E14" s="1774" t="s">
        <v>958</v>
      </c>
      <c r="F14" s="1775">
        <f>SUM(F8:F13)</f>
        <v>6707803</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1528762</v>
      </c>
      <c r="G53" s="865"/>
    </row>
    <row r="54" spans="1:7" x14ac:dyDescent="0.2">
      <c r="A54" s="869" t="s">
        <v>459</v>
      </c>
      <c r="B54" s="869" t="s">
        <v>1476</v>
      </c>
      <c r="C54" s="889" t="s">
        <v>982</v>
      </c>
      <c r="D54" s="885" t="s">
        <v>1095</v>
      </c>
      <c r="E54" s="868"/>
      <c r="F54" s="1913">
        <f>'Expenditures 15-22'!G114</f>
        <v>33288</v>
      </c>
      <c r="G54" s="865"/>
    </row>
    <row r="55" spans="1:7" x14ac:dyDescent="0.2">
      <c r="A55" s="869" t="s">
        <v>459</v>
      </c>
      <c r="B55" s="869" t="s">
        <v>1477</v>
      </c>
      <c r="C55" s="889" t="s">
        <v>982</v>
      </c>
      <c r="D55" s="885" t="s">
        <v>291</v>
      </c>
      <c r="E55" s="868"/>
      <c r="F55" s="1913">
        <f>'Expenditures 15-22'!I114</f>
        <v>4792</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1880</v>
      </c>
      <c r="C57" s="889">
        <f>'Expenditures 15-22'!B139</f>
        <v>4000</v>
      </c>
      <c r="D57" s="887" t="str">
        <f>'Expenditures 15-22'!A139</f>
        <v>Total Payments to Other Govt Units</v>
      </c>
      <c r="E57" s="868"/>
      <c r="F57" s="1913">
        <f>'Expenditures 15-22'!K139</f>
        <v>0</v>
      </c>
      <c r="G57" s="865"/>
    </row>
    <row r="58" spans="1:7" x14ac:dyDescent="0.2">
      <c r="A58" s="869" t="s">
        <v>460</v>
      </c>
      <c r="B58" s="869" t="s">
        <v>1881</v>
      </c>
      <c r="C58" s="886" t="s">
        <v>982</v>
      </c>
      <c r="D58" s="885" t="s">
        <v>1095</v>
      </c>
      <c r="E58" s="868"/>
      <c r="F58" s="1915">
        <f>'Expenditures 15-22'!G151</f>
        <v>0</v>
      </c>
      <c r="G58" s="865"/>
    </row>
    <row r="59" spans="1:7" x14ac:dyDescent="0.2">
      <c r="A59" s="893" t="s">
        <v>460</v>
      </c>
      <c r="B59" s="856" t="s">
        <v>1882</v>
      </c>
      <c r="C59" s="894" t="s">
        <v>982</v>
      </c>
      <c r="D59" s="856" t="s">
        <v>291</v>
      </c>
      <c r="F59" s="1916">
        <f>'Expenditures 15-22'!I151</f>
        <v>0</v>
      </c>
      <c r="G59" s="865"/>
    </row>
    <row r="60" spans="1:7" x14ac:dyDescent="0.2">
      <c r="A60" s="893" t="s">
        <v>499</v>
      </c>
      <c r="B60" s="856" t="s">
        <v>1883</v>
      </c>
      <c r="C60" s="894">
        <v>4000</v>
      </c>
      <c r="D60" s="856" t="s">
        <v>312</v>
      </c>
      <c r="F60" s="1914">
        <f>'Expenditures 15-22'!K160</f>
        <v>0</v>
      </c>
      <c r="G60" s="865"/>
    </row>
    <row r="61" spans="1:7" x14ac:dyDescent="0.2">
      <c r="A61" s="895" t="s">
        <v>499</v>
      </c>
      <c r="B61" s="895" t="s">
        <v>1884</v>
      </c>
      <c r="C61" s="896" t="str">
        <f>'Expenditures 15-22'!B170</f>
        <v>5300</v>
      </c>
      <c r="D61" s="897" t="s">
        <v>311</v>
      </c>
      <c r="E61" s="879"/>
      <c r="F61" s="1913">
        <f>'Expenditures 15-22'!K170</f>
        <v>0</v>
      </c>
      <c r="G61" s="865"/>
    </row>
    <row r="62" spans="1:7" x14ac:dyDescent="0.2">
      <c r="A62" s="869" t="s">
        <v>461</v>
      </c>
      <c r="B62" s="869" t="s">
        <v>1885</v>
      </c>
      <c r="C62" s="886">
        <f>'Expenditures 15-22'!B185</f>
        <v>3000</v>
      </c>
      <c r="D62" s="876" t="s">
        <v>449</v>
      </c>
      <c r="E62" s="868"/>
      <c r="F62" s="1913">
        <f>'Expenditures 15-22'!K185-SUM('Expenditures 15-22'!G185,'Expenditures 15-22'!I185)</f>
        <v>0</v>
      </c>
      <c r="G62" s="865"/>
    </row>
    <row r="63" spans="1:7" x14ac:dyDescent="0.2">
      <c r="A63" s="869" t="s">
        <v>461</v>
      </c>
      <c r="B63" s="869" t="s">
        <v>1886</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1887</v>
      </c>
      <c r="C64" s="896" t="str">
        <f>'Expenditures 15-22'!B206</f>
        <v>5300</v>
      </c>
      <c r="D64" s="892" t="s">
        <v>311</v>
      </c>
      <c r="E64" s="868"/>
      <c r="F64" s="1913">
        <f>'Expenditures 15-22'!K206</f>
        <v>0</v>
      </c>
      <c r="G64" s="865"/>
    </row>
    <row r="65" spans="1:8" x14ac:dyDescent="0.2">
      <c r="A65" s="869" t="s">
        <v>461</v>
      </c>
      <c r="B65" s="869" t="s">
        <v>1888</v>
      </c>
      <c r="C65" s="886" t="s">
        <v>982</v>
      </c>
      <c r="D65" s="885" t="s">
        <v>1095</v>
      </c>
      <c r="E65" s="868"/>
      <c r="F65" s="1913">
        <f>'Expenditures 15-22'!G210</f>
        <v>0</v>
      </c>
      <c r="G65" s="865"/>
    </row>
    <row r="66" spans="1:8" x14ac:dyDescent="0.2">
      <c r="A66" s="869" t="s">
        <v>461</v>
      </c>
      <c r="B66" s="869" t="s">
        <v>1889</v>
      </c>
      <c r="C66" s="886" t="s">
        <v>982</v>
      </c>
      <c r="D66" s="885" t="s">
        <v>291</v>
      </c>
      <c r="E66" s="868"/>
      <c r="F66" s="1913">
        <f>'Expenditures 15-22'!I210</f>
        <v>0</v>
      </c>
      <c r="G66" s="865"/>
    </row>
    <row r="67" spans="1:8" x14ac:dyDescent="0.2">
      <c r="A67" s="869" t="s">
        <v>462</v>
      </c>
      <c r="B67" s="869" t="s">
        <v>1890</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1891</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1892</v>
      </c>
      <c r="C70" s="886">
        <f>'Expenditures 15-22'!B221</f>
        <v>1300</v>
      </c>
      <c r="D70" s="887" t="str">
        <f>'Expenditures 15-22'!A221</f>
        <v>Adult/Continuing Education Programs</v>
      </c>
      <c r="E70" s="868"/>
      <c r="F70" s="1913">
        <f>'Expenditures 15-22'!K221</f>
        <v>0</v>
      </c>
      <c r="G70" s="865"/>
    </row>
    <row r="71" spans="1:8" x14ac:dyDescent="0.2">
      <c r="A71" s="869" t="s">
        <v>462</v>
      </c>
      <c r="B71" s="869" t="s">
        <v>1893</v>
      </c>
      <c r="C71" s="886">
        <f>'Expenditures 15-22'!B224</f>
        <v>1600</v>
      </c>
      <c r="D71" s="887" t="str">
        <f>'Expenditures 15-22'!A224</f>
        <v>Summer School Programs</v>
      </c>
      <c r="E71" s="868"/>
      <c r="F71" s="1913">
        <f>'Expenditures 15-22'!K224</f>
        <v>0</v>
      </c>
      <c r="G71" s="865"/>
    </row>
    <row r="72" spans="1:8" x14ac:dyDescent="0.2">
      <c r="A72" s="869" t="s">
        <v>462</v>
      </c>
      <c r="B72" s="869" t="s">
        <v>1894</v>
      </c>
      <c r="C72" s="886">
        <f>'Expenditures 15-22'!B280</f>
        <v>3000</v>
      </c>
      <c r="D72" s="876" t="s">
        <v>449</v>
      </c>
      <c r="E72" s="868"/>
      <c r="F72" s="1913">
        <f>'Expenditures 15-22'!K280</f>
        <v>0</v>
      </c>
      <c r="G72" s="865"/>
    </row>
    <row r="73" spans="1:8" x14ac:dyDescent="0.2">
      <c r="A73" s="869" t="s">
        <v>462</v>
      </c>
      <c r="B73" s="869" t="s">
        <v>1895</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1896</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1897</v>
      </c>
      <c r="E76" s="1774" t="s">
        <v>958</v>
      </c>
      <c r="F76" s="1778">
        <f>SUM(F18:F74)</f>
        <v>1566842</v>
      </c>
      <c r="G76" s="865"/>
    </row>
    <row r="77" spans="1:8" s="893" customFormat="1" ht="12" customHeight="1" thickTop="1" thickBot="1" x14ac:dyDescent="0.25">
      <c r="A77" s="1779"/>
      <c r="B77" s="1776"/>
      <c r="C77" s="1772"/>
      <c r="D77" s="1777" t="s">
        <v>1898</v>
      </c>
      <c r="E77" s="1774"/>
      <c r="F77" s="1780">
        <f>(F14-F76)</f>
        <v>5140961</v>
      </c>
      <c r="G77" s="869"/>
    </row>
    <row r="78" spans="1:8" s="893" customFormat="1" ht="12" customHeight="1" thickTop="1" x14ac:dyDescent="0.2">
      <c r="A78" s="1781"/>
      <c r="B78" s="1776"/>
      <c r="C78" s="1772"/>
      <c r="D78" s="1777" t="s">
        <v>2060</v>
      </c>
      <c r="E78" s="1774"/>
      <c r="F78" s="898">
        <v>0</v>
      </c>
      <c r="G78" s="899"/>
      <c r="H78" s="869"/>
    </row>
    <row r="79" spans="1:8" s="893" customFormat="1" ht="12" customHeight="1" thickBot="1" x14ac:dyDescent="0.25">
      <c r="A79" s="1782"/>
      <c r="B79" s="1776"/>
      <c r="C79" s="1772"/>
      <c r="D79" s="1777" t="s">
        <v>1899</v>
      </c>
      <c r="E79" s="1774" t="s">
        <v>958</v>
      </c>
      <c r="F79" s="1783"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53" t="s">
        <v>1105</v>
      </c>
      <c r="B81" s="2254"/>
      <c r="C81" s="2254"/>
      <c r="D81" s="2254"/>
      <c r="E81" s="2254"/>
      <c r="F81" s="2255"/>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1675</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353716</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1591454</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1132</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0</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55020</v>
      </c>
      <c r="G125" s="930"/>
    </row>
    <row r="126" spans="1:7" x14ac:dyDescent="0.2">
      <c r="A126" s="927" t="s">
        <v>668</v>
      </c>
      <c r="B126" s="927" t="s">
        <v>2022</v>
      </c>
      <c r="C126" s="932">
        <v>4300</v>
      </c>
      <c r="D126" s="933" t="str">
        <f>'Revenues 9-14'!A204</f>
        <v>Total Title I</v>
      </c>
      <c r="E126" s="906"/>
      <c r="F126" s="1789">
        <f>SUM('Revenues 9-14'!C204,'Revenues 9-14'!D204,'Revenues 9-14'!F204,'Revenues 9-14'!G204)</f>
        <v>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1786423</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63449</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436268</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17697</v>
      </c>
      <c r="G170" s="927"/>
    </row>
    <row r="171" spans="1:7" x14ac:dyDescent="0.2">
      <c r="A171" s="1918" t="s">
        <v>5</v>
      </c>
      <c r="B171" s="1919" t="s">
        <v>1918</v>
      </c>
      <c r="C171" s="1920">
        <v>3100</v>
      </c>
      <c r="D171" s="1921" t="s">
        <v>1920</v>
      </c>
      <c r="E171" s="906"/>
      <c r="F171" s="1906"/>
      <c r="G171" s="927"/>
    </row>
    <row r="172" spans="1:7" x14ac:dyDescent="0.2">
      <c r="A172" s="1918" t="s">
        <v>664</v>
      </c>
      <c r="B172" s="1919" t="s">
        <v>1918</v>
      </c>
      <c r="C172" s="1920">
        <v>3300</v>
      </c>
      <c r="D172" s="1921" t="s">
        <v>1921</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4306834</v>
      </c>
    </row>
    <row r="175" spans="1:7" ht="12" customHeight="1" x14ac:dyDescent="0.2">
      <c r="A175" s="1770"/>
      <c r="B175" s="1784"/>
      <c r="C175" s="1785"/>
      <c r="D175" s="1786" t="s">
        <v>2055</v>
      </c>
      <c r="E175" s="1787"/>
      <c r="F175" s="1789">
        <f>'PCTC-OEPP 27-28'!F77-F174</f>
        <v>834127</v>
      </c>
    </row>
    <row r="176" spans="1:7" ht="12" customHeight="1" x14ac:dyDescent="0.2">
      <c r="A176" s="1770"/>
      <c r="B176" s="1784"/>
      <c r="C176" s="1785"/>
      <c r="D176" s="1786" t="s">
        <v>1815</v>
      </c>
      <c r="E176" s="1787"/>
      <c r="F176" s="1789">
        <f>'Cap Outlay Deprec 26'!I18</f>
        <v>57911.199999999997</v>
      </c>
    </row>
    <row r="177" spans="1:7" ht="12" customHeight="1" x14ac:dyDescent="0.2">
      <c r="A177" s="1770"/>
      <c r="B177" s="1784"/>
      <c r="C177" s="1785"/>
      <c r="D177" s="1786" t="s">
        <v>2056</v>
      </c>
      <c r="E177" s="1787"/>
      <c r="F177" s="1789">
        <f>F175+F176</f>
        <v>892038.2</v>
      </c>
    </row>
    <row r="178" spans="1:7" ht="12" customHeight="1" x14ac:dyDescent="0.2">
      <c r="A178" s="1770"/>
      <c r="B178" s="1790"/>
      <c r="C178" s="1785"/>
      <c r="D178" s="1786" t="str">
        <f>D78</f>
        <v>9 Month ADA from District Average Daily Attendance/Prior General State Aid Inquiry 2018-2019</v>
      </c>
      <c r="E178" s="1787"/>
      <c r="F178" s="1791">
        <f>'PCTC-OEPP 27-28'!F78</f>
        <v>0</v>
      </c>
      <c r="G178" s="930"/>
    </row>
    <row r="179" spans="1:7" ht="12" customHeight="1" thickBot="1" x14ac:dyDescent="0.25">
      <c r="A179" s="1770"/>
      <c r="B179" s="1790"/>
      <c r="C179" s="1785"/>
      <c r="D179" s="1786" t="s">
        <v>2057</v>
      </c>
      <c r="E179" s="1787" t="s">
        <v>1545</v>
      </c>
      <c r="F179" s="1792" t="e">
        <f>F177/F178</f>
        <v>#DIV/0!</v>
      </c>
      <c r="G179" s="856">
        <v>6323</v>
      </c>
    </row>
    <row r="180" spans="1:7" ht="12" thickTop="1" x14ac:dyDescent="0.2">
      <c r="B180" s="930"/>
      <c r="C180" s="949"/>
      <c r="D180" s="930"/>
      <c r="E180" s="949"/>
      <c r="F180" s="930"/>
      <c r="G180" s="951">
        <v>6326</v>
      </c>
    </row>
    <row r="181" spans="1:7" ht="12.2" customHeight="1" x14ac:dyDescent="0.2">
      <c r="A181" s="930" t="s">
        <v>1919</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1923</v>
      </c>
      <c r="B185" s="1927" t="s">
        <v>1922</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3"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A8" sqref="A8"/>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1830</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7" t="s">
        <v>1816</v>
      </c>
      <c r="B4" s="2268"/>
      <c r="C4" s="2268"/>
      <c r="D4" s="2268"/>
      <c r="E4" s="2268"/>
      <c r="F4" s="2268"/>
      <c r="G4" s="2269"/>
    </row>
    <row r="5" spans="1:7" x14ac:dyDescent="0.25">
      <c r="A5" s="2270"/>
      <c r="B5" s="2271"/>
      <c r="C5" s="2271"/>
      <c r="D5" s="2271"/>
      <c r="E5" s="2271"/>
      <c r="F5" s="2271"/>
      <c r="G5" s="2272"/>
    </row>
    <row r="6" spans="1:7" ht="18.75" x14ac:dyDescent="0.25">
      <c r="A6" s="1534" t="s">
        <v>1817</v>
      </c>
      <c r="B6" s="1535"/>
      <c r="C6" s="1535"/>
      <c r="D6" s="1535"/>
      <c r="E6" s="1535"/>
      <c r="F6" s="1535"/>
      <c r="G6" s="1536"/>
    </row>
    <row r="7" spans="1:7" ht="30.75" customHeight="1" x14ac:dyDescent="0.25">
      <c r="A7" s="2273" t="s">
        <v>1930</v>
      </c>
      <c r="B7" s="2274"/>
      <c r="C7" s="2274"/>
      <c r="D7" s="2274"/>
      <c r="E7" s="2274"/>
      <c r="F7" s="2274"/>
      <c r="G7" s="2275"/>
    </row>
    <row r="8" spans="1:7" ht="15.75" customHeight="1" x14ac:dyDescent="0.25">
      <c r="A8" s="2276" t="s">
        <v>1905</v>
      </c>
      <c r="B8" s="2277"/>
      <c r="C8" s="2277"/>
      <c r="D8" s="2277"/>
      <c r="E8" s="2277"/>
      <c r="F8" s="2277"/>
      <c r="G8" s="2278"/>
    </row>
    <row r="9" spans="1:7" ht="35.25" customHeight="1" x14ac:dyDescent="0.25">
      <c r="A9" s="2273" t="s">
        <v>1933</v>
      </c>
      <c r="B9" s="2274"/>
      <c r="C9" s="2274"/>
      <c r="D9" s="2274"/>
      <c r="E9" s="2274"/>
      <c r="F9" s="2274"/>
      <c r="G9" s="2275"/>
    </row>
    <row r="10" spans="1:7" ht="15" customHeight="1" x14ac:dyDescent="0.25">
      <c r="A10" s="1537" t="s">
        <v>1818</v>
      </c>
      <c r="B10" s="1538"/>
      <c r="C10" s="1538"/>
      <c r="D10" s="1538"/>
      <c r="E10" s="1538"/>
      <c r="F10" s="1538"/>
      <c r="G10" s="1539"/>
    </row>
    <row r="11" spans="1:7" ht="17.25" customHeight="1" x14ac:dyDescent="0.25">
      <c r="A11" s="2273" t="s">
        <v>1932</v>
      </c>
      <c r="B11" s="2274"/>
      <c r="C11" s="2274"/>
      <c r="D11" s="2274"/>
      <c r="E11" s="2274"/>
      <c r="F11" s="2274"/>
      <c r="G11" s="2275"/>
    </row>
    <row r="12" spans="1:7" ht="15" customHeight="1" x14ac:dyDescent="0.25">
      <c r="A12" s="1537" t="s">
        <v>1823</v>
      </c>
      <c r="B12" s="1538"/>
      <c r="C12" s="1538"/>
      <c r="D12" s="1538"/>
      <c r="E12" s="1538"/>
      <c r="F12" s="1538"/>
      <c r="G12" s="1539"/>
    </row>
    <row r="13" spans="1:7" ht="32.25" customHeight="1" x14ac:dyDescent="0.25">
      <c r="A13" s="2264" t="s">
        <v>1974</v>
      </c>
      <c r="B13" s="2265"/>
      <c r="C13" s="2265"/>
      <c r="D13" s="2265"/>
      <c r="E13" s="2265"/>
      <c r="F13" s="2265"/>
      <c r="G13" s="2266"/>
    </row>
    <row r="14" spans="1:7" x14ac:dyDescent="0.25">
      <c r="A14" s="1661" t="s">
        <v>1831</v>
      </c>
      <c r="B14" s="1662"/>
      <c r="C14" s="1662"/>
      <c r="D14" s="1662"/>
      <c r="E14" s="1662"/>
      <c r="F14" s="1662"/>
      <c r="G14" s="1663"/>
    </row>
    <row r="15" spans="1:7" ht="61.5" customHeight="1" x14ac:dyDescent="0.25">
      <c r="A15" s="1546" t="s">
        <v>1824</v>
      </c>
      <c r="B15" s="1546" t="s">
        <v>1825</v>
      </c>
      <c r="C15" s="1546" t="s">
        <v>1826</v>
      </c>
      <c r="D15" s="1547" t="s">
        <v>1827</v>
      </c>
      <c r="E15" s="1547" t="s">
        <v>1819</v>
      </c>
      <c r="F15" s="1547" t="s">
        <v>1828</v>
      </c>
      <c r="G15" s="1547" t="s">
        <v>1829</v>
      </c>
    </row>
    <row r="16" spans="1:7" x14ac:dyDescent="0.25">
      <c r="A16" s="1648" t="s">
        <v>1832</v>
      </c>
      <c r="B16" s="1649" t="s">
        <v>1822</v>
      </c>
      <c r="C16" s="1650" t="s">
        <v>1820</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0"/>
      <c r="B17" s="1935"/>
      <c r="C17" s="1656"/>
      <c r="D17" s="1844"/>
      <c r="E17" s="1540">
        <f t="shared" ref="E17:E141" si="0">IF(D17&lt;=25000,D17,IF(D17&gt;25000,25000,0))</f>
        <v>0</v>
      </c>
      <c r="F17" s="1933">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0</v>
      </c>
      <c r="G17" s="1793">
        <f>IF(F17=0,0,D17-F17)</f>
        <v>0</v>
      </c>
      <c r="H17" s="1647"/>
    </row>
    <row r="18" spans="1:8" x14ac:dyDescent="0.25">
      <c r="A18" s="1653"/>
      <c r="B18" s="1935"/>
      <c r="C18" s="1656"/>
      <c r="D18" s="1844"/>
      <c r="E18" s="1540">
        <f t="shared" ref="E18:E140" si="2">IF(D18&lt;=25000,D18,IF(D18&gt;25000,25000,0))</f>
        <v>0</v>
      </c>
      <c r="F18" s="1933">
        <f t="shared" si="1"/>
        <v>0</v>
      </c>
      <c r="G18" s="1793">
        <f t="shared" ref="G18:G140" si="3">IF(F18=0,0,D18-F18)</f>
        <v>0</v>
      </c>
    </row>
    <row r="19" spans="1:8" x14ac:dyDescent="0.25">
      <c r="A19" s="1653"/>
      <c r="B19" s="1935"/>
      <c r="C19" s="1656"/>
      <c r="D19" s="1844"/>
      <c r="E19" s="1540">
        <f t="shared" si="2"/>
        <v>0</v>
      </c>
      <c r="F19" s="1933">
        <f t="shared" si="1"/>
        <v>0</v>
      </c>
      <c r="G19" s="1793">
        <f t="shared" si="3"/>
        <v>0</v>
      </c>
    </row>
    <row r="20" spans="1:8" x14ac:dyDescent="0.25">
      <c r="A20" s="1653"/>
      <c r="B20" s="1935"/>
      <c r="C20" s="1656"/>
      <c r="D20" s="1844"/>
      <c r="E20" s="1540">
        <f t="shared" si="2"/>
        <v>0</v>
      </c>
      <c r="F20" s="1933">
        <f t="shared" si="1"/>
        <v>0</v>
      </c>
      <c r="G20" s="1793">
        <f t="shared" si="3"/>
        <v>0</v>
      </c>
    </row>
    <row r="21" spans="1:8" x14ac:dyDescent="0.25">
      <c r="A21" s="1653"/>
      <c r="B21" s="1935"/>
      <c r="C21" s="1656"/>
      <c r="D21" s="1844"/>
      <c r="E21" s="1540">
        <f t="shared" si="2"/>
        <v>0</v>
      </c>
      <c r="F21" s="1933">
        <f t="shared" si="1"/>
        <v>0</v>
      </c>
      <c r="G21" s="1793">
        <f t="shared" si="3"/>
        <v>0</v>
      </c>
    </row>
    <row r="22" spans="1:8" x14ac:dyDescent="0.25">
      <c r="A22" s="1653"/>
      <c r="B22" s="1935"/>
      <c r="C22" s="1656"/>
      <c r="D22" s="1844"/>
      <c r="E22" s="1540">
        <f t="shared" si="2"/>
        <v>0</v>
      </c>
      <c r="F22" s="1933">
        <f t="shared" si="1"/>
        <v>0</v>
      </c>
      <c r="G22" s="1793">
        <f t="shared" si="3"/>
        <v>0</v>
      </c>
    </row>
    <row r="23" spans="1:8" x14ac:dyDescent="0.25">
      <c r="A23" s="1653"/>
      <c r="B23" s="1935"/>
      <c r="C23" s="1656"/>
      <c r="D23" s="1844"/>
      <c r="E23" s="1540">
        <f t="shared" si="2"/>
        <v>0</v>
      </c>
      <c r="F23" s="1933">
        <f t="shared" si="1"/>
        <v>0</v>
      </c>
      <c r="G23" s="1793">
        <f t="shared" si="3"/>
        <v>0</v>
      </c>
    </row>
    <row r="24" spans="1:8" x14ac:dyDescent="0.25">
      <c r="A24" s="1653"/>
      <c r="B24" s="1935"/>
      <c r="C24" s="1656"/>
      <c r="D24" s="1844"/>
      <c r="E24" s="1540">
        <f t="shared" si="2"/>
        <v>0</v>
      </c>
      <c r="F24" s="1933">
        <f t="shared" si="1"/>
        <v>0</v>
      </c>
      <c r="G24" s="1793">
        <f t="shared" si="3"/>
        <v>0</v>
      </c>
    </row>
    <row r="25" spans="1:8" x14ac:dyDescent="0.25">
      <c r="A25" s="1653"/>
      <c r="B25" s="1935"/>
      <c r="C25" s="1656"/>
      <c r="D25" s="1844"/>
      <c r="E25" s="1540">
        <f t="shared" si="2"/>
        <v>0</v>
      </c>
      <c r="F25" s="1933">
        <f t="shared" si="1"/>
        <v>0</v>
      </c>
      <c r="G25" s="1793">
        <f t="shared" si="3"/>
        <v>0</v>
      </c>
    </row>
    <row r="26" spans="1:8" x14ac:dyDescent="0.25">
      <c r="A26" s="1653"/>
      <c r="B26" s="1935"/>
      <c r="C26" s="1654"/>
      <c r="D26" s="1844"/>
      <c r="E26" s="1540">
        <f t="shared" si="2"/>
        <v>0</v>
      </c>
      <c r="F26" s="1933">
        <f t="shared" si="1"/>
        <v>0</v>
      </c>
      <c r="G26" s="1793">
        <f t="shared" si="3"/>
        <v>0</v>
      </c>
    </row>
    <row r="27" spans="1:8" x14ac:dyDescent="0.25">
      <c r="A27" s="1653"/>
      <c r="B27" s="1935"/>
      <c r="C27" s="1654"/>
      <c r="D27" s="1844"/>
      <c r="E27" s="1540">
        <f t="shared" si="2"/>
        <v>0</v>
      </c>
      <c r="F27" s="1933">
        <f t="shared" si="1"/>
        <v>0</v>
      </c>
      <c r="G27" s="1793">
        <f t="shared" si="3"/>
        <v>0</v>
      </c>
    </row>
    <row r="28" spans="1:8" x14ac:dyDescent="0.25">
      <c r="A28" s="1653"/>
      <c r="B28" s="1935"/>
      <c r="C28" s="1654"/>
      <c r="D28" s="1844"/>
      <c r="E28" s="1540">
        <f t="shared" si="2"/>
        <v>0</v>
      </c>
      <c r="F28" s="1933">
        <f t="shared" si="1"/>
        <v>0</v>
      </c>
      <c r="G28" s="1793">
        <f t="shared" si="3"/>
        <v>0</v>
      </c>
    </row>
    <row r="29" spans="1:8" x14ac:dyDescent="0.25">
      <c r="A29" s="1653"/>
      <c r="B29" s="1935"/>
      <c r="C29" s="1654"/>
      <c r="D29" s="1844"/>
      <c r="E29" s="1540">
        <f t="shared" si="2"/>
        <v>0</v>
      </c>
      <c r="F29" s="1933">
        <f t="shared" si="1"/>
        <v>0</v>
      </c>
      <c r="G29" s="1793">
        <f t="shared" si="3"/>
        <v>0</v>
      </c>
    </row>
    <row r="30" spans="1:8" x14ac:dyDescent="0.25">
      <c r="A30" s="1653"/>
      <c r="B30" s="1935"/>
      <c r="C30" s="1654"/>
      <c r="D30" s="1844"/>
      <c r="E30" s="1540">
        <f t="shared" si="2"/>
        <v>0</v>
      </c>
      <c r="F30" s="1933">
        <f t="shared" si="1"/>
        <v>0</v>
      </c>
      <c r="G30" s="1793">
        <f t="shared" si="3"/>
        <v>0</v>
      </c>
    </row>
    <row r="31" spans="1:8" x14ac:dyDescent="0.25">
      <c r="A31" s="1653"/>
      <c r="B31" s="1935"/>
      <c r="C31" s="1654"/>
      <c r="D31" s="1844"/>
      <c r="E31" s="1540">
        <f t="shared" si="2"/>
        <v>0</v>
      </c>
      <c r="F31" s="1933">
        <f t="shared" si="1"/>
        <v>0</v>
      </c>
      <c r="G31" s="1793">
        <f t="shared" si="3"/>
        <v>0</v>
      </c>
    </row>
    <row r="32" spans="1:8" x14ac:dyDescent="0.25">
      <c r="A32" s="1653"/>
      <c r="B32" s="1935"/>
      <c r="C32" s="1654"/>
      <c r="D32" s="1844"/>
      <c r="E32" s="1540">
        <f t="shared" si="2"/>
        <v>0</v>
      </c>
      <c r="F32" s="1933">
        <f t="shared" si="1"/>
        <v>0</v>
      </c>
      <c r="G32" s="1793">
        <f t="shared" si="3"/>
        <v>0</v>
      </c>
    </row>
    <row r="33" spans="1:7" x14ac:dyDescent="0.25">
      <c r="A33" s="1653"/>
      <c r="B33" s="1935"/>
      <c r="C33" s="1654"/>
      <c r="D33" s="1844"/>
      <c r="E33" s="1540">
        <f t="shared" si="2"/>
        <v>0</v>
      </c>
      <c r="F33" s="1933">
        <f t="shared" si="1"/>
        <v>0</v>
      </c>
      <c r="G33" s="1793">
        <f t="shared" si="3"/>
        <v>0</v>
      </c>
    </row>
    <row r="34" spans="1:7" x14ac:dyDescent="0.25">
      <c r="A34" s="1653"/>
      <c r="B34" s="1935"/>
      <c r="C34" s="1654"/>
      <c r="D34" s="1844"/>
      <c r="E34" s="1540">
        <f t="shared" si="2"/>
        <v>0</v>
      </c>
      <c r="F34" s="1933">
        <f t="shared" si="1"/>
        <v>0</v>
      </c>
      <c r="G34" s="1793">
        <f t="shared" si="3"/>
        <v>0</v>
      </c>
    </row>
    <row r="35" spans="1:7" x14ac:dyDescent="0.25">
      <c r="A35" s="1653"/>
      <c r="B35" s="1935"/>
      <c r="C35" s="1654"/>
      <c r="D35" s="1844"/>
      <c r="E35" s="1540">
        <f t="shared" si="2"/>
        <v>0</v>
      </c>
      <c r="F35" s="1933">
        <f t="shared" si="1"/>
        <v>0</v>
      </c>
      <c r="G35" s="1793">
        <f t="shared" si="3"/>
        <v>0</v>
      </c>
    </row>
    <row r="36" spans="1:7" x14ac:dyDescent="0.25">
      <c r="A36" s="1653"/>
      <c r="B36" s="1935"/>
      <c r="C36" s="1654"/>
      <c r="D36" s="1844"/>
      <c r="E36" s="1540">
        <f t="shared" si="2"/>
        <v>0</v>
      </c>
      <c r="F36" s="1933">
        <f t="shared" si="1"/>
        <v>0</v>
      </c>
      <c r="G36" s="1793">
        <f t="shared" si="3"/>
        <v>0</v>
      </c>
    </row>
    <row r="37" spans="1:7" x14ac:dyDescent="0.25">
      <c r="A37" s="1653"/>
      <c r="B37" s="1935"/>
      <c r="C37" s="1654"/>
      <c r="D37" s="1844"/>
      <c r="E37" s="1540">
        <f t="shared" si="2"/>
        <v>0</v>
      </c>
      <c r="F37" s="1933">
        <f t="shared" si="1"/>
        <v>0</v>
      </c>
      <c r="G37" s="1793">
        <f t="shared" si="3"/>
        <v>0</v>
      </c>
    </row>
    <row r="38" spans="1:7" x14ac:dyDescent="0.25">
      <c r="A38" s="1653"/>
      <c r="B38" s="1936"/>
      <c r="C38" s="1654"/>
      <c r="D38" s="1844"/>
      <c r="E38" s="1540">
        <f t="shared" si="2"/>
        <v>0</v>
      </c>
      <c r="F38" s="1933">
        <f t="shared" si="1"/>
        <v>0</v>
      </c>
      <c r="G38" s="1793">
        <f t="shared" si="3"/>
        <v>0</v>
      </c>
    </row>
    <row r="39" spans="1:7" x14ac:dyDescent="0.25">
      <c r="A39" s="1653"/>
      <c r="B39" s="1936"/>
      <c r="C39" s="1654"/>
      <c r="D39" s="1844"/>
      <c r="E39" s="1540">
        <f t="shared" si="2"/>
        <v>0</v>
      </c>
      <c r="F39" s="1933">
        <f t="shared" si="1"/>
        <v>0</v>
      </c>
      <c r="G39" s="1793">
        <f t="shared" si="3"/>
        <v>0</v>
      </c>
    </row>
    <row r="40" spans="1:7" x14ac:dyDescent="0.25">
      <c r="A40" s="1653"/>
      <c r="B40" s="1936"/>
      <c r="C40" s="1654"/>
      <c r="D40" s="1844"/>
      <c r="E40" s="1540">
        <f t="shared" si="2"/>
        <v>0</v>
      </c>
      <c r="F40" s="1933">
        <f t="shared" si="1"/>
        <v>0</v>
      </c>
      <c r="G40" s="1793">
        <f t="shared" si="3"/>
        <v>0</v>
      </c>
    </row>
    <row r="41" spans="1:7" x14ac:dyDescent="0.25">
      <c r="A41" s="1653"/>
      <c r="B41" s="1936"/>
      <c r="C41" s="1654"/>
      <c r="D41" s="1844"/>
      <c r="E41" s="1540">
        <f t="shared" si="2"/>
        <v>0</v>
      </c>
      <c r="F41" s="1933">
        <f t="shared" si="1"/>
        <v>0</v>
      </c>
      <c r="G41" s="1793">
        <f t="shared" si="3"/>
        <v>0</v>
      </c>
    </row>
    <row r="42" spans="1:7" x14ac:dyDescent="0.25">
      <c r="A42" s="1653"/>
      <c r="B42" s="1936"/>
      <c r="C42" s="1654"/>
      <c r="D42" s="1844"/>
      <c r="E42" s="1540">
        <f t="shared" si="2"/>
        <v>0</v>
      </c>
      <c r="F42" s="1933">
        <f t="shared" si="1"/>
        <v>0</v>
      </c>
      <c r="G42" s="1793">
        <f t="shared" si="3"/>
        <v>0</v>
      </c>
    </row>
    <row r="43" spans="1:7" x14ac:dyDescent="0.25">
      <c r="A43" s="1653"/>
      <c r="B43" s="1936"/>
      <c r="C43" s="1654"/>
      <c r="D43" s="1844"/>
      <c r="E43" s="1540">
        <f t="shared" si="2"/>
        <v>0</v>
      </c>
      <c r="F43" s="1933">
        <f t="shared" si="1"/>
        <v>0</v>
      </c>
      <c r="G43" s="1793">
        <f t="shared" si="3"/>
        <v>0</v>
      </c>
    </row>
    <row r="44" spans="1:7" x14ac:dyDescent="0.25">
      <c r="A44" s="1653"/>
      <c r="B44" s="1936"/>
      <c r="C44" s="1654"/>
      <c r="D44" s="1844"/>
      <c r="E44" s="1540">
        <f t="shared" si="2"/>
        <v>0</v>
      </c>
      <c r="F44" s="1933">
        <f t="shared" si="1"/>
        <v>0</v>
      </c>
      <c r="G44" s="1793">
        <f t="shared" si="3"/>
        <v>0</v>
      </c>
    </row>
    <row r="45" spans="1:7" x14ac:dyDescent="0.25">
      <c r="A45" s="1653"/>
      <c r="B45" s="1936"/>
      <c r="C45" s="1654"/>
      <c r="D45" s="1844"/>
      <c r="E45" s="1540">
        <f t="shared" si="2"/>
        <v>0</v>
      </c>
      <c r="F45" s="1933">
        <f t="shared" si="1"/>
        <v>0</v>
      </c>
      <c r="G45" s="1793">
        <f t="shared" si="3"/>
        <v>0</v>
      </c>
    </row>
    <row r="46" spans="1:7" x14ac:dyDescent="0.25">
      <c r="A46" s="1653"/>
      <c r="B46" s="1667"/>
      <c r="C46" s="1654"/>
      <c r="D46" s="1844"/>
      <c r="E46" s="1540">
        <f t="shared" si="2"/>
        <v>0</v>
      </c>
      <c r="F46" s="1933">
        <f t="shared" si="1"/>
        <v>0</v>
      </c>
      <c r="G46" s="1793">
        <f t="shared" si="3"/>
        <v>0</v>
      </c>
    </row>
    <row r="47" spans="1:7" x14ac:dyDescent="0.25">
      <c r="A47" s="1653"/>
      <c r="B47" s="1667"/>
      <c r="C47" s="1654"/>
      <c r="D47" s="1844"/>
      <c r="E47" s="1540">
        <f t="shared" si="2"/>
        <v>0</v>
      </c>
      <c r="F47" s="1933">
        <f t="shared" si="1"/>
        <v>0</v>
      </c>
      <c r="G47" s="1793">
        <f t="shared" si="3"/>
        <v>0</v>
      </c>
    </row>
    <row r="48" spans="1:7" x14ac:dyDescent="0.25">
      <c r="A48" s="1653"/>
      <c r="B48" s="1667"/>
      <c r="C48" s="1654"/>
      <c r="D48" s="1844"/>
      <c r="E48" s="1540">
        <f t="shared" si="2"/>
        <v>0</v>
      </c>
      <c r="F48" s="1933">
        <f t="shared" si="1"/>
        <v>0</v>
      </c>
      <c r="G48" s="1793">
        <f t="shared" si="3"/>
        <v>0</v>
      </c>
    </row>
    <row r="49" spans="1:7" x14ac:dyDescent="0.25">
      <c r="A49" s="1653"/>
      <c r="B49" s="1667"/>
      <c r="C49" s="1654"/>
      <c r="D49" s="1844"/>
      <c r="E49" s="1540">
        <f t="shared" si="2"/>
        <v>0</v>
      </c>
      <c r="F49" s="1933">
        <f t="shared" si="1"/>
        <v>0</v>
      </c>
      <c r="G49" s="1793">
        <f t="shared" si="3"/>
        <v>0</v>
      </c>
    </row>
    <row r="50" spans="1:7" x14ac:dyDescent="0.25">
      <c r="A50" s="1653"/>
      <c r="B50" s="1667"/>
      <c r="C50" s="1654"/>
      <c r="D50" s="1844"/>
      <c r="E50" s="1540">
        <f t="shared" si="2"/>
        <v>0</v>
      </c>
      <c r="F50" s="1933">
        <f t="shared" si="1"/>
        <v>0</v>
      </c>
      <c r="G50" s="1793">
        <f t="shared" si="3"/>
        <v>0</v>
      </c>
    </row>
    <row r="51" spans="1:7" x14ac:dyDescent="0.25">
      <c r="A51" s="1653"/>
      <c r="B51" s="1667"/>
      <c r="C51" s="1654"/>
      <c r="D51" s="1844"/>
      <c r="E51" s="1540">
        <f t="shared" si="2"/>
        <v>0</v>
      </c>
      <c r="F51" s="1933">
        <f t="shared" si="1"/>
        <v>0</v>
      </c>
      <c r="G51" s="1793">
        <f t="shared" si="3"/>
        <v>0</v>
      </c>
    </row>
    <row r="52" spans="1:7" x14ac:dyDescent="0.25">
      <c r="A52" s="1653"/>
      <c r="B52" s="1667"/>
      <c r="C52" s="1654"/>
      <c r="D52" s="1844"/>
      <c r="E52" s="1540">
        <f t="shared" si="2"/>
        <v>0</v>
      </c>
      <c r="F52" s="1933">
        <f t="shared" si="1"/>
        <v>0</v>
      </c>
      <c r="G52" s="1793">
        <f t="shared" si="3"/>
        <v>0</v>
      </c>
    </row>
    <row r="53" spans="1:7" x14ac:dyDescent="0.25">
      <c r="A53" s="1653"/>
      <c r="B53" s="1667"/>
      <c r="C53" s="1654"/>
      <c r="D53" s="1844"/>
      <c r="E53" s="1540">
        <f t="shared" si="2"/>
        <v>0</v>
      </c>
      <c r="F53" s="1933">
        <f t="shared" si="1"/>
        <v>0</v>
      </c>
      <c r="G53" s="1793">
        <f t="shared" si="3"/>
        <v>0</v>
      </c>
    </row>
    <row r="54" spans="1:7" x14ac:dyDescent="0.25">
      <c r="A54" s="1653"/>
      <c r="B54" s="1667"/>
      <c r="C54" s="1654"/>
      <c r="D54" s="1844"/>
      <c r="E54" s="1540">
        <f t="shared" si="2"/>
        <v>0</v>
      </c>
      <c r="F54" s="1933">
        <f t="shared" si="1"/>
        <v>0</v>
      </c>
      <c r="G54" s="1793">
        <f t="shared" si="3"/>
        <v>0</v>
      </c>
    </row>
    <row r="55" spans="1:7" x14ac:dyDescent="0.25">
      <c r="A55" s="1653"/>
      <c r="B55" s="1667"/>
      <c r="C55" s="1654"/>
      <c r="D55" s="1844"/>
      <c r="E55" s="1540">
        <f t="shared" si="2"/>
        <v>0</v>
      </c>
      <c r="F55" s="1933">
        <f t="shared" si="1"/>
        <v>0</v>
      </c>
      <c r="G55" s="1793">
        <f t="shared" si="3"/>
        <v>0</v>
      </c>
    </row>
    <row r="56" spans="1:7" x14ac:dyDescent="0.25">
      <c r="A56" s="1653"/>
      <c r="B56" s="1667"/>
      <c r="C56" s="1654"/>
      <c r="D56" s="1844"/>
      <c r="E56" s="1540">
        <f t="shared" si="2"/>
        <v>0</v>
      </c>
      <c r="F56" s="1933">
        <f t="shared" si="1"/>
        <v>0</v>
      </c>
      <c r="G56" s="1793">
        <f t="shared" si="3"/>
        <v>0</v>
      </c>
    </row>
    <row r="57" spans="1:7" x14ac:dyDescent="0.25">
      <c r="A57" s="1653"/>
      <c r="B57" s="1667"/>
      <c r="C57" s="1654"/>
      <c r="D57" s="1844"/>
      <c r="E57" s="1540">
        <f t="shared" si="2"/>
        <v>0</v>
      </c>
      <c r="F57" s="1933">
        <f t="shared" si="1"/>
        <v>0</v>
      </c>
      <c r="G57" s="1793">
        <f t="shared" si="3"/>
        <v>0</v>
      </c>
    </row>
    <row r="58" spans="1:7" x14ac:dyDescent="0.25">
      <c r="A58" s="1653"/>
      <c r="B58" s="1667"/>
      <c r="C58" s="1654"/>
      <c r="D58" s="1844"/>
      <c r="E58" s="1540">
        <f t="shared" si="2"/>
        <v>0</v>
      </c>
      <c r="F58" s="1933">
        <f t="shared" si="1"/>
        <v>0</v>
      </c>
      <c r="G58" s="1793">
        <f t="shared" si="3"/>
        <v>0</v>
      </c>
    </row>
    <row r="59" spans="1:7" x14ac:dyDescent="0.25">
      <c r="A59" s="1653"/>
      <c r="B59" s="1667"/>
      <c r="C59" s="1654"/>
      <c r="D59" s="1844"/>
      <c r="E59" s="1540">
        <f t="shared" si="2"/>
        <v>0</v>
      </c>
      <c r="F59" s="1933">
        <f t="shared" si="1"/>
        <v>0</v>
      </c>
      <c r="G59" s="1793">
        <f t="shared" si="3"/>
        <v>0</v>
      </c>
    </row>
    <row r="60" spans="1:7" x14ac:dyDescent="0.25">
      <c r="A60" s="1653"/>
      <c r="B60" s="1667"/>
      <c r="C60" s="1654"/>
      <c r="D60" s="1844"/>
      <c r="E60" s="1540">
        <f t="shared" si="2"/>
        <v>0</v>
      </c>
      <c r="F60" s="1933">
        <f t="shared" si="1"/>
        <v>0</v>
      </c>
      <c r="G60" s="1793">
        <f t="shared" si="3"/>
        <v>0</v>
      </c>
    </row>
    <row r="61" spans="1:7" x14ac:dyDescent="0.25">
      <c r="A61" s="1653"/>
      <c r="B61" s="1667"/>
      <c r="C61" s="1654"/>
      <c r="D61" s="1844"/>
      <c r="E61" s="1540">
        <f t="shared" si="2"/>
        <v>0</v>
      </c>
      <c r="F61" s="1933">
        <f t="shared" si="1"/>
        <v>0</v>
      </c>
      <c r="G61" s="1793">
        <f t="shared" si="3"/>
        <v>0</v>
      </c>
    </row>
    <row r="62" spans="1:7" x14ac:dyDescent="0.25">
      <c r="A62" s="1653"/>
      <c r="B62" s="1667"/>
      <c r="C62" s="1654"/>
      <c r="D62" s="1844"/>
      <c r="E62" s="1540">
        <f t="shared" si="2"/>
        <v>0</v>
      </c>
      <c r="F62" s="1933">
        <f t="shared" si="1"/>
        <v>0</v>
      </c>
      <c r="G62" s="1793">
        <f t="shared" si="3"/>
        <v>0</v>
      </c>
    </row>
    <row r="63" spans="1:7" x14ac:dyDescent="0.25">
      <c r="A63" s="1653"/>
      <c r="B63" s="1667"/>
      <c r="C63" s="1654"/>
      <c r="D63" s="1844"/>
      <c r="E63" s="1540">
        <f t="shared" si="2"/>
        <v>0</v>
      </c>
      <c r="F63" s="1933">
        <f t="shared" si="1"/>
        <v>0</v>
      </c>
      <c r="G63" s="1793">
        <f t="shared" si="3"/>
        <v>0</v>
      </c>
    </row>
    <row r="64" spans="1:7" x14ac:dyDescent="0.25">
      <c r="A64" s="1655"/>
      <c r="B64" s="1667"/>
      <c r="C64" s="1656"/>
      <c r="D64" s="1844"/>
      <c r="E64" s="1540">
        <f t="shared" si="2"/>
        <v>0</v>
      </c>
      <c r="F64" s="1933">
        <f t="shared" si="1"/>
        <v>0</v>
      </c>
      <c r="G64" s="1793">
        <f t="shared" si="3"/>
        <v>0</v>
      </c>
    </row>
    <row r="65" spans="1:7" x14ac:dyDescent="0.25">
      <c r="A65" s="1653"/>
      <c r="B65" s="1667"/>
      <c r="C65" s="1654"/>
      <c r="D65" s="1844"/>
      <c r="E65" s="1540">
        <f t="shared" si="2"/>
        <v>0</v>
      </c>
      <c r="F65" s="1933">
        <f t="shared" si="1"/>
        <v>0</v>
      </c>
      <c r="G65" s="1793">
        <f t="shared" si="3"/>
        <v>0</v>
      </c>
    </row>
    <row r="66" spans="1:7" x14ac:dyDescent="0.25">
      <c r="A66" s="1653"/>
      <c r="B66" s="1667"/>
      <c r="C66" s="1654"/>
      <c r="D66" s="1844"/>
      <c r="E66" s="1540">
        <f t="shared" si="2"/>
        <v>0</v>
      </c>
      <c r="F66" s="1933">
        <f t="shared" si="1"/>
        <v>0</v>
      </c>
      <c r="G66" s="1793">
        <f t="shared" si="3"/>
        <v>0</v>
      </c>
    </row>
    <row r="67" spans="1:7" x14ac:dyDescent="0.25">
      <c r="A67" s="1653"/>
      <c r="B67" s="1667"/>
      <c r="C67" s="1654"/>
      <c r="D67" s="1844"/>
      <c r="E67" s="1540">
        <f t="shared" si="2"/>
        <v>0</v>
      </c>
      <c r="F67" s="1933">
        <f t="shared" si="1"/>
        <v>0</v>
      </c>
      <c r="G67" s="1793">
        <f t="shared" si="3"/>
        <v>0</v>
      </c>
    </row>
    <row r="68" spans="1:7" x14ac:dyDescent="0.25">
      <c r="A68" s="1653"/>
      <c r="B68" s="1667"/>
      <c r="C68" s="1654"/>
      <c r="D68" s="1844"/>
      <c r="E68" s="1540">
        <f t="shared" si="2"/>
        <v>0</v>
      </c>
      <c r="F68" s="1933">
        <f t="shared" si="1"/>
        <v>0</v>
      </c>
      <c r="G68" s="1793">
        <f t="shared" si="3"/>
        <v>0</v>
      </c>
    </row>
    <row r="69" spans="1:7" x14ac:dyDescent="0.25">
      <c r="A69" s="1653"/>
      <c r="B69" s="1667"/>
      <c r="C69" s="1654"/>
      <c r="D69" s="1844"/>
      <c r="E69" s="1540">
        <f t="shared" si="2"/>
        <v>0</v>
      </c>
      <c r="F69" s="1933">
        <f t="shared" si="1"/>
        <v>0</v>
      </c>
      <c r="G69" s="1793">
        <f t="shared" si="3"/>
        <v>0</v>
      </c>
    </row>
    <row r="70" spans="1:7" x14ac:dyDescent="0.25">
      <c r="A70" s="1653"/>
      <c r="B70" s="1667"/>
      <c r="C70" s="1654"/>
      <c r="D70" s="1844"/>
      <c r="E70" s="1540">
        <f t="shared" si="2"/>
        <v>0</v>
      </c>
      <c r="F70" s="1933">
        <f t="shared" si="1"/>
        <v>0</v>
      </c>
      <c r="G70" s="1793">
        <f t="shared" si="3"/>
        <v>0</v>
      </c>
    </row>
    <row r="71" spans="1:7" x14ac:dyDescent="0.25">
      <c r="A71" s="1653"/>
      <c r="B71" s="1667"/>
      <c r="C71" s="1654"/>
      <c r="D71" s="1844"/>
      <c r="E71" s="1540">
        <f t="shared" si="2"/>
        <v>0</v>
      </c>
      <c r="F71" s="1933">
        <f t="shared" si="1"/>
        <v>0</v>
      </c>
      <c r="G71" s="1793">
        <f t="shared" si="3"/>
        <v>0</v>
      </c>
    </row>
    <row r="72" spans="1:7" x14ac:dyDescent="0.25">
      <c r="A72" s="1653"/>
      <c r="B72" s="1667"/>
      <c r="C72" s="1654"/>
      <c r="D72" s="1844"/>
      <c r="E72" s="1540">
        <f t="shared" si="2"/>
        <v>0</v>
      </c>
      <c r="F72" s="1933">
        <f t="shared" si="1"/>
        <v>0</v>
      </c>
      <c r="G72" s="1793">
        <f t="shared" si="3"/>
        <v>0</v>
      </c>
    </row>
    <row r="73" spans="1:7" x14ac:dyDescent="0.25">
      <c r="A73" s="1653"/>
      <c r="B73" s="1667"/>
      <c r="C73" s="1654"/>
      <c r="D73" s="1844"/>
      <c r="E73" s="1540">
        <f t="shared" ref="E73:E84" si="4">IF(D73&lt;=25000,D73,IF(D73&gt;25000,25000,0))</f>
        <v>0</v>
      </c>
      <c r="F73" s="1933">
        <f t="shared" si="1"/>
        <v>0</v>
      </c>
      <c r="G73" s="1793">
        <f t="shared" ref="G73:G84" si="5">IF(F73=0,0,D73-F73)</f>
        <v>0</v>
      </c>
    </row>
    <row r="74" spans="1:7" x14ac:dyDescent="0.25">
      <c r="A74" s="1653"/>
      <c r="B74" s="1667"/>
      <c r="C74" s="1654"/>
      <c r="D74" s="1844"/>
      <c r="E74" s="1540">
        <f t="shared" si="4"/>
        <v>0</v>
      </c>
      <c r="F74" s="1933">
        <f t="shared" si="1"/>
        <v>0</v>
      </c>
      <c r="G74" s="1793">
        <f t="shared" si="5"/>
        <v>0</v>
      </c>
    </row>
    <row r="75" spans="1:7" x14ac:dyDescent="0.25">
      <c r="A75" s="1653"/>
      <c r="B75" s="1667"/>
      <c r="C75" s="1654"/>
      <c r="D75" s="1844"/>
      <c r="E75" s="1540">
        <f t="shared" si="4"/>
        <v>0</v>
      </c>
      <c r="F75" s="1933">
        <f t="shared" si="1"/>
        <v>0</v>
      </c>
      <c r="G75" s="1793">
        <f t="shared" si="5"/>
        <v>0</v>
      </c>
    </row>
    <row r="76" spans="1:7" x14ac:dyDescent="0.25">
      <c r="A76" s="1653"/>
      <c r="B76" s="1667"/>
      <c r="C76" s="1654"/>
      <c r="D76" s="1844"/>
      <c r="E76" s="1540">
        <f t="shared" si="4"/>
        <v>0</v>
      </c>
      <c r="F76" s="1933">
        <f t="shared" si="1"/>
        <v>0</v>
      </c>
      <c r="G76" s="1793">
        <f t="shared" si="5"/>
        <v>0</v>
      </c>
    </row>
    <row r="77" spans="1:7" x14ac:dyDescent="0.25">
      <c r="A77" s="1653"/>
      <c r="B77" s="1667"/>
      <c r="C77" s="1654"/>
      <c r="D77" s="1844"/>
      <c r="E77" s="1540">
        <f t="shared" si="4"/>
        <v>0</v>
      </c>
      <c r="F77" s="1933">
        <f t="shared" si="1"/>
        <v>0</v>
      </c>
      <c r="G77" s="1793">
        <f t="shared" si="5"/>
        <v>0</v>
      </c>
    </row>
    <row r="78" spans="1:7" x14ac:dyDescent="0.25">
      <c r="A78" s="1653"/>
      <c r="B78" s="1667"/>
      <c r="C78" s="1654"/>
      <c r="D78" s="1844"/>
      <c r="E78" s="1540">
        <f t="shared" si="4"/>
        <v>0</v>
      </c>
      <c r="F78" s="1933">
        <f t="shared" si="1"/>
        <v>0</v>
      </c>
      <c r="G78" s="1793">
        <f t="shared" si="5"/>
        <v>0</v>
      </c>
    </row>
    <row r="79" spans="1:7" x14ac:dyDescent="0.25">
      <c r="A79" s="1653"/>
      <c r="B79" s="1667"/>
      <c r="C79" s="1654"/>
      <c r="D79" s="1844"/>
      <c r="E79" s="1540">
        <f t="shared" si="4"/>
        <v>0</v>
      </c>
      <c r="F79" s="1933">
        <f t="shared" si="1"/>
        <v>0</v>
      </c>
      <c r="G79" s="1793">
        <f t="shared" si="5"/>
        <v>0</v>
      </c>
    </row>
    <row r="80" spans="1:7" x14ac:dyDescent="0.25">
      <c r="A80" s="1653"/>
      <c r="B80" s="1667"/>
      <c r="C80" s="1654"/>
      <c r="D80" s="1844"/>
      <c r="E80" s="1540">
        <f t="shared" si="4"/>
        <v>0</v>
      </c>
      <c r="F80" s="1933">
        <f t="shared" si="1"/>
        <v>0</v>
      </c>
      <c r="G80" s="1793">
        <f t="shared" si="5"/>
        <v>0</v>
      </c>
    </row>
    <row r="81" spans="1:7" x14ac:dyDescent="0.25">
      <c r="A81" s="1653"/>
      <c r="B81" s="1667"/>
      <c r="C81" s="1654"/>
      <c r="D81" s="1844"/>
      <c r="E81" s="1540">
        <f t="shared" si="4"/>
        <v>0</v>
      </c>
      <c r="F81" s="1933">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3">
        <f t="shared" si="6"/>
        <v>0</v>
      </c>
      <c r="G82" s="1793">
        <f t="shared" si="5"/>
        <v>0</v>
      </c>
    </row>
    <row r="83" spans="1:7" x14ac:dyDescent="0.25">
      <c r="A83" s="1653"/>
      <c r="B83" s="1667"/>
      <c r="C83" s="1654"/>
      <c r="D83" s="1844"/>
      <c r="E83" s="1540">
        <f t="shared" si="4"/>
        <v>0</v>
      </c>
      <c r="F83" s="1933">
        <f t="shared" si="6"/>
        <v>0</v>
      </c>
      <c r="G83" s="1793">
        <f t="shared" si="5"/>
        <v>0</v>
      </c>
    </row>
    <row r="84" spans="1:7" x14ac:dyDescent="0.25">
      <c r="A84" s="1653"/>
      <c r="B84" s="1667"/>
      <c r="C84" s="1654"/>
      <c r="D84" s="1844"/>
      <c r="E84" s="1540">
        <f t="shared" si="4"/>
        <v>0</v>
      </c>
      <c r="F84" s="1933">
        <f t="shared" si="6"/>
        <v>0</v>
      </c>
      <c r="G84" s="1793">
        <f t="shared" si="5"/>
        <v>0</v>
      </c>
    </row>
    <row r="85" spans="1:7" x14ac:dyDescent="0.25">
      <c r="A85" s="1653"/>
      <c r="B85" s="1667"/>
      <c r="C85" s="1654"/>
      <c r="D85" s="1844"/>
      <c r="E85" s="1540">
        <f t="shared" si="2"/>
        <v>0</v>
      </c>
      <c r="F85" s="1933">
        <f t="shared" si="6"/>
        <v>0</v>
      </c>
      <c r="G85" s="1793">
        <f t="shared" si="3"/>
        <v>0</v>
      </c>
    </row>
    <row r="86" spans="1:7" x14ac:dyDescent="0.25">
      <c r="A86" s="1653"/>
      <c r="B86" s="1667"/>
      <c r="C86" s="1654"/>
      <c r="D86" s="1844"/>
      <c r="E86" s="1540">
        <f t="shared" si="2"/>
        <v>0</v>
      </c>
      <c r="F86" s="1933">
        <f t="shared" si="6"/>
        <v>0</v>
      </c>
      <c r="G86" s="1793">
        <f t="shared" si="3"/>
        <v>0</v>
      </c>
    </row>
    <row r="87" spans="1:7" x14ac:dyDescent="0.25">
      <c r="A87" s="1653"/>
      <c r="B87" s="1667"/>
      <c r="C87" s="1654"/>
      <c r="D87" s="1844"/>
      <c r="E87" s="1540">
        <f t="shared" si="2"/>
        <v>0</v>
      </c>
      <c r="F87" s="1933">
        <f t="shared" si="6"/>
        <v>0</v>
      </c>
      <c r="G87" s="1793">
        <f t="shared" si="3"/>
        <v>0</v>
      </c>
    </row>
    <row r="88" spans="1:7" x14ac:dyDescent="0.25">
      <c r="A88" s="1653"/>
      <c r="B88" s="1667"/>
      <c r="C88" s="1654"/>
      <c r="D88" s="1844"/>
      <c r="E88" s="1540">
        <f t="shared" si="2"/>
        <v>0</v>
      </c>
      <c r="F88" s="1933">
        <f t="shared" si="6"/>
        <v>0</v>
      </c>
      <c r="G88" s="1793">
        <f t="shared" si="3"/>
        <v>0</v>
      </c>
    </row>
    <row r="89" spans="1:7" x14ac:dyDescent="0.25">
      <c r="A89" s="1653"/>
      <c r="B89" s="1667"/>
      <c r="C89" s="1654"/>
      <c r="D89" s="1844"/>
      <c r="E89" s="1540">
        <f t="shared" si="2"/>
        <v>0</v>
      </c>
      <c r="F89" s="1933">
        <f t="shared" si="6"/>
        <v>0</v>
      </c>
      <c r="G89" s="1793">
        <f t="shared" si="3"/>
        <v>0</v>
      </c>
    </row>
    <row r="90" spans="1:7" x14ac:dyDescent="0.25">
      <c r="A90" s="1653"/>
      <c r="B90" s="1667"/>
      <c r="C90" s="1654"/>
      <c r="D90" s="1844"/>
      <c r="E90" s="1540">
        <f t="shared" si="2"/>
        <v>0</v>
      </c>
      <c r="F90" s="1933">
        <f t="shared" si="6"/>
        <v>0</v>
      </c>
      <c r="G90" s="1793">
        <f t="shared" si="3"/>
        <v>0</v>
      </c>
    </row>
    <row r="91" spans="1:7" x14ac:dyDescent="0.25">
      <c r="A91" s="1653"/>
      <c r="B91" s="1667"/>
      <c r="C91" s="1654"/>
      <c r="D91" s="1844"/>
      <c r="E91" s="1540">
        <f t="shared" si="2"/>
        <v>0</v>
      </c>
      <c r="F91" s="1933">
        <f t="shared" si="6"/>
        <v>0</v>
      </c>
      <c r="G91" s="1793">
        <f t="shared" si="3"/>
        <v>0</v>
      </c>
    </row>
    <row r="92" spans="1:7" x14ac:dyDescent="0.25">
      <c r="A92" s="1653"/>
      <c r="B92" s="1667"/>
      <c r="C92" s="1654"/>
      <c r="D92" s="1844"/>
      <c r="E92" s="1540">
        <f t="shared" si="2"/>
        <v>0</v>
      </c>
      <c r="F92" s="1933">
        <f t="shared" si="6"/>
        <v>0</v>
      </c>
      <c r="G92" s="1793">
        <f t="shared" si="3"/>
        <v>0</v>
      </c>
    </row>
    <row r="93" spans="1:7" x14ac:dyDescent="0.25">
      <c r="A93" s="1653"/>
      <c r="B93" s="1667"/>
      <c r="C93" s="1654"/>
      <c r="D93" s="1844"/>
      <c r="E93" s="1540">
        <f t="shared" ref="E93" si="7">IF(D93&lt;=25000,D93,IF(D93&gt;25000,25000,0))</f>
        <v>0</v>
      </c>
      <c r="F93" s="1933">
        <f t="shared" si="6"/>
        <v>0</v>
      </c>
      <c r="G93" s="1793">
        <f t="shared" ref="G93" si="8">IF(F93=0,0,D93-F93)</f>
        <v>0</v>
      </c>
    </row>
    <row r="94" spans="1:7" x14ac:dyDescent="0.25">
      <c r="A94" s="1653"/>
      <c r="B94" s="1667"/>
      <c r="C94" s="1654"/>
      <c r="D94" s="1844"/>
      <c r="E94" s="1540">
        <f t="shared" si="2"/>
        <v>0</v>
      </c>
      <c r="F94" s="1933">
        <f t="shared" si="6"/>
        <v>0</v>
      </c>
      <c r="G94" s="1793">
        <f t="shared" si="3"/>
        <v>0</v>
      </c>
    </row>
    <row r="95" spans="1:7" x14ac:dyDescent="0.25">
      <c r="A95" s="1653"/>
      <c r="B95" s="1667"/>
      <c r="C95" s="1654"/>
      <c r="D95" s="1844"/>
      <c r="E95" s="1540">
        <f t="shared" ref="E95:E98" si="9">IF(D95&lt;=25000,D95,IF(D95&gt;25000,25000,0))</f>
        <v>0</v>
      </c>
      <c r="F95" s="1933">
        <f t="shared" si="6"/>
        <v>0</v>
      </c>
      <c r="G95" s="1793">
        <f t="shared" ref="G95:G98" si="10">IF(F95=0,0,D95-F95)</f>
        <v>0</v>
      </c>
    </row>
    <row r="96" spans="1:7" x14ac:dyDescent="0.25">
      <c r="A96" s="1653"/>
      <c r="B96" s="1667"/>
      <c r="C96" s="1654"/>
      <c r="D96" s="1844"/>
      <c r="E96" s="1540">
        <f t="shared" si="9"/>
        <v>0</v>
      </c>
      <c r="F96" s="1933">
        <f t="shared" si="6"/>
        <v>0</v>
      </c>
      <c r="G96" s="1793">
        <f t="shared" si="10"/>
        <v>0</v>
      </c>
    </row>
    <row r="97" spans="1:7" x14ac:dyDescent="0.25">
      <c r="A97" s="1653"/>
      <c r="B97" s="1667"/>
      <c r="C97" s="1654"/>
      <c r="D97" s="1844"/>
      <c r="E97" s="1540">
        <f t="shared" si="9"/>
        <v>0</v>
      </c>
      <c r="F97" s="1933">
        <f t="shared" si="6"/>
        <v>0</v>
      </c>
      <c r="G97" s="1793">
        <f t="shared" si="10"/>
        <v>0</v>
      </c>
    </row>
    <row r="98" spans="1:7" x14ac:dyDescent="0.25">
      <c r="A98" s="1653"/>
      <c r="B98" s="1667"/>
      <c r="C98" s="1654"/>
      <c r="D98" s="1844"/>
      <c r="E98" s="1540">
        <f t="shared" si="9"/>
        <v>0</v>
      </c>
      <c r="F98" s="1933">
        <f t="shared" si="6"/>
        <v>0</v>
      </c>
      <c r="G98" s="1793">
        <f t="shared" si="10"/>
        <v>0</v>
      </c>
    </row>
    <row r="99" spans="1:7" x14ac:dyDescent="0.25">
      <c r="A99" s="1653"/>
      <c r="B99" s="1667"/>
      <c r="C99" s="1654"/>
      <c r="D99" s="1844"/>
      <c r="E99" s="1540">
        <f t="shared" ref="E99" si="11">IF(D99&lt;=25000,D99,IF(D99&gt;25000,25000,0))</f>
        <v>0</v>
      </c>
      <c r="F99" s="1933">
        <f t="shared" si="6"/>
        <v>0</v>
      </c>
      <c r="G99" s="1793">
        <f t="shared" ref="G99" si="12">IF(F99=0,0,D99-F99)</f>
        <v>0</v>
      </c>
    </row>
    <row r="100" spans="1:7" x14ac:dyDescent="0.25">
      <c r="A100" s="1653"/>
      <c r="B100" s="1667"/>
      <c r="C100" s="1654"/>
      <c r="D100" s="1844"/>
      <c r="E100" s="1540">
        <f t="shared" ref="E100:E112" si="13">IF(D100&lt;=25000,D100,IF(D100&gt;25000,25000,0))</f>
        <v>0</v>
      </c>
      <c r="F100" s="1933">
        <f t="shared" si="6"/>
        <v>0</v>
      </c>
      <c r="G100" s="1793">
        <f t="shared" ref="G100:G112" si="14">IF(F100=0,0,D100-F100)</f>
        <v>0</v>
      </c>
    </row>
    <row r="101" spans="1:7" x14ac:dyDescent="0.25">
      <c r="A101" s="1653"/>
      <c r="B101" s="1667"/>
      <c r="C101" s="1654"/>
      <c r="D101" s="1844"/>
      <c r="E101" s="1540">
        <f t="shared" si="13"/>
        <v>0</v>
      </c>
      <c r="F101" s="1933">
        <f t="shared" si="6"/>
        <v>0</v>
      </c>
      <c r="G101" s="1793">
        <f t="shared" si="14"/>
        <v>0</v>
      </c>
    </row>
    <row r="102" spans="1:7" x14ac:dyDescent="0.25">
      <c r="A102" s="1653"/>
      <c r="B102" s="1667"/>
      <c r="C102" s="1654"/>
      <c r="D102" s="1844"/>
      <c r="E102" s="1540">
        <f t="shared" si="13"/>
        <v>0</v>
      </c>
      <c r="F102" s="1933">
        <f t="shared" si="6"/>
        <v>0</v>
      </c>
      <c r="G102" s="1793">
        <f t="shared" si="14"/>
        <v>0</v>
      </c>
    </row>
    <row r="103" spans="1:7" x14ac:dyDescent="0.25">
      <c r="A103" s="1653"/>
      <c r="B103" s="1667"/>
      <c r="C103" s="1654"/>
      <c r="D103" s="1844"/>
      <c r="E103" s="1540">
        <f t="shared" si="13"/>
        <v>0</v>
      </c>
      <c r="F103" s="1933">
        <f t="shared" si="6"/>
        <v>0</v>
      </c>
      <c r="G103" s="1793">
        <f t="shared" si="14"/>
        <v>0</v>
      </c>
    </row>
    <row r="104" spans="1:7" x14ac:dyDescent="0.25">
      <c r="A104" s="1653"/>
      <c r="B104" s="1667"/>
      <c r="C104" s="1654"/>
      <c r="D104" s="1844"/>
      <c r="E104" s="1540">
        <f t="shared" si="13"/>
        <v>0</v>
      </c>
      <c r="F104" s="1933">
        <f t="shared" si="6"/>
        <v>0</v>
      </c>
      <c r="G104" s="1793">
        <f t="shared" si="14"/>
        <v>0</v>
      </c>
    </row>
    <row r="105" spans="1:7" x14ac:dyDescent="0.25">
      <c r="A105" s="1653"/>
      <c r="B105" s="1667"/>
      <c r="C105" s="1654"/>
      <c r="D105" s="1844"/>
      <c r="E105" s="1540">
        <f t="shared" si="13"/>
        <v>0</v>
      </c>
      <c r="F105" s="1933">
        <f t="shared" si="6"/>
        <v>0</v>
      </c>
      <c r="G105" s="1793">
        <f t="shared" si="14"/>
        <v>0</v>
      </c>
    </row>
    <row r="106" spans="1:7" x14ac:dyDescent="0.25">
      <c r="A106" s="1653"/>
      <c r="B106" s="1667"/>
      <c r="C106" s="1654"/>
      <c r="D106" s="1844"/>
      <c r="E106" s="1540">
        <f t="shared" si="13"/>
        <v>0</v>
      </c>
      <c r="F106" s="1933">
        <f t="shared" si="6"/>
        <v>0</v>
      </c>
      <c r="G106" s="1793">
        <f t="shared" si="14"/>
        <v>0</v>
      </c>
    </row>
    <row r="107" spans="1:7" x14ac:dyDescent="0.25">
      <c r="A107" s="1653"/>
      <c r="B107" s="1667"/>
      <c r="C107" s="1654"/>
      <c r="D107" s="1844"/>
      <c r="E107" s="1540">
        <f t="shared" si="13"/>
        <v>0</v>
      </c>
      <c r="F107" s="1933">
        <f t="shared" si="6"/>
        <v>0</v>
      </c>
      <c r="G107" s="1793">
        <f t="shared" si="14"/>
        <v>0</v>
      </c>
    </row>
    <row r="108" spans="1:7" x14ac:dyDescent="0.25">
      <c r="A108" s="1653"/>
      <c r="B108" s="1667"/>
      <c r="C108" s="1654"/>
      <c r="D108" s="1844"/>
      <c r="E108" s="1540">
        <f t="shared" si="13"/>
        <v>0</v>
      </c>
      <c r="F108" s="1933">
        <f t="shared" si="6"/>
        <v>0</v>
      </c>
      <c r="G108" s="1793">
        <f t="shared" si="14"/>
        <v>0</v>
      </c>
    </row>
    <row r="109" spans="1:7" x14ac:dyDescent="0.25">
      <c r="A109" s="1653"/>
      <c r="B109" s="1667"/>
      <c r="C109" s="1654"/>
      <c r="D109" s="1844"/>
      <c r="E109" s="1540">
        <f t="shared" si="13"/>
        <v>0</v>
      </c>
      <c r="F109" s="1933">
        <f t="shared" si="6"/>
        <v>0</v>
      </c>
      <c r="G109" s="1793">
        <f t="shared" si="14"/>
        <v>0</v>
      </c>
    </row>
    <row r="110" spans="1:7" x14ac:dyDescent="0.25">
      <c r="A110" s="1653"/>
      <c r="B110" s="1667"/>
      <c r="C110" s="1654"/>
      <c r="D110" s="1844"/>
      <c r="E110" s="1540">
        <f t="shared" si="13"/>
        <v>0</v>
      </c>
      <c r="F110" s="1933">
        <f t="shared" si="6"/>
        <v>0</v>
      </c>
      <c r="G110" s="1793">
        <f t="shared" si="14"/>
        <v>0</v>
      </c>
    </row>
    <row r="111" spans="1:7" x14ac:dyDescent="0.25">
      <c r="A111" s="1653"/>
      <c r="B111" s="1667"/>
      <c r="C111" s="1654"/>
      <c r="D111" s="1844"/>
      <c r="E111" s="1540">
        <f t="shared" si="13"/>
        <v>0</v>
      </c>
      <c r="F111" s="1933">
        <f t="shared" si="6"/>
        <v>0</v>
      </c>
      <c r="G111" s="1793">
        <f t="shared" si="14"/>
        <v>0</v>
      </c>
    </row>
    <row r="112" spans="1:7" x14ac:dyDescent="0.25">
      <c r="A112" s="1653"/>
      <c r="B112" s="1667"/>
      <c r="C112" s="1654"/>
      <c r="D112" s="1844"/>
      <c r="E112" s="1540">
        <f t="shared" si="13"/>
        <v>0</v>
      </c>
      <c r="F112" s="1933">
        <f t="shared" si="6"/>
        <v>0</v>
      </c>
      <c r="G112" s="1793">
        <f t="shared" si="14"/>
        <v>0</v>
      </c>
    </row>
    <row r="113" spans="1:7" x14ac:dyDescent="0.25">
      <c r="A113" s="1653"/>
      <c r="B113" s="1667"/>
      <c r="C113" s="1654"/>
      <c r="D113" s="1844"/>
      <c r="E113" s="1540">
        <f t="shared" ref="E113:E125" si="15">IF(D113&lt;=25000,D113,IF(D113&gt;25000,25000,0))</f>
        <v>0</v>
      </c>
      <c r="F113" s="1933">
        <f t="shared" si="6"/>
        <v>0</v>
      </c>
      <c r="G113" s="1793">
        <f t="shared" ref="G113:G125" si="16">IF(F113=0,0,D113-F113)</f>
        <v>0</v>
      </c>
    </row>
    <row r="114" spans="1:7" x14ac:dyDescent="0.25">
      <c r="A114" s="1653"/>
      <c r="B114" s="1667"/>
      <c r="C114" s="1654"/>
      <c r="D114" s="1844"/>
      <c r="E114" s="1540">
        <f t="shared" si="15"/>
        <v>0</v>
      </c>
      <c r="F114" s="1933">
        <f t="shared" si="6"/>
        <v>0</v>
      </c>
      <c r="G114" s="1793">
        <f t="shared" si="16"/>
        <v>0</v>
      </c>
    </row>
    <row r="115" spans="1:7" x14ac:dyDescent="0.25">
      <c r="A115" s="1653"/>
      <c r="B115" s="1667"/>
      <c r="C115" s="1654"/>
      <c r="D115" s="1844"/>
      <c r="E115" s="1540">
        <f t="shared" si="15"/>
        <v>0</v>
      </c>
      <c r="F115" s="1933">
        <f t="shared" si="6"/>
        <v>0</v>
      </c>
      <c r="G115" s="1793">
        <f t="shared" si="16"/>
        <v>0</v>
      </c>
    </row>
    <row r="116" spans="1:7" x14ac:dyDescent="0.25">
      <c r="A116" s="1653"/>
      <c r="B116" s="1667"/>
      <c r="C116" s="1654"/>
      <c r="D116" s="1844"/>
      <c r="E116" s="1540">
        <f t="shared" si="15"/>
        <v>0</v>
      </c>
      <c r="F116" s="1933">
        <f t="shared" si="6"/>
        <v>0</v>
      </c>
      <c r="G116" s="1793">
        <f t="shared" si="16"/>
        <v>0</v>
      </c>
    </row>
    <row r="117" spans="1:7" x14ac:dyDescent="0.25">
      <c r="A117" s="1653"/>
      <c r="B117" s="1667"/>
      <c r="C117" s="1654"/>
      <c r="D117" s="1844"/>
      <c r="E117" s="1540">
        <f t="shared" si="15"/>
        <v>0</v>
      </c>
      <c r="F117" s="1933">
        <f t="shared" si="6"/>
        <v>0</v>
      </c>
      <c r="G117" s="1793">
        <f t="shared" si="16"/>
        <v>0</v>
      </c>
    </row>
    <row r="118" spans="1:7" x14ac:dyDescent="0.25">
      <c r="A118" s="1653"/>
      <c r="B118" s="1667"/>
      <c r="C118" s="1654"/>
      <c r="D118" s="1844"/>
      <c r="E118" s="1540">
        <f t="shared" si="15"/>
        <v>0</v>
      </c>
      <c r="F118" s="1933">
        <f t="shared" si="6"/>
        <v>0</v>
      </c>
      <c r="G118" s="1793">
        <f t="shared" si="16"/>
        <v>0</v>
      </c>
    </row>
    <row r="119" spans="1:7" x14ac:dyDescent="0.25">
      <c r="A119" s="1653"/>
      <c r="B119" s="1667"/>
      <c r="C119" s="1654"/>
      <c r="D119" s="1844"/>
      <c r="E119" s="1540">
        <f t="shared" si="15"/>
        <v>0</v>
      </c>
      <c r="F119" s="1933">
        <f t="shared" si="6"/>
        <v>0</v>
      </c>
      <c r="G119" s="1793">
        <f t="shared" si="16"/>
        <v>0</v>
      </c>
    </row>
    <row r="120" spans="1:7" x14ac:dyDescent="0.25">
      <c r="A120" s="1653"/>
      <c r="B120" s="1667"/>
      <c r="C120" s="1654"/>
      <c r="D120" s="1844"/>
      <c r="E120" s="1540">
        <f t="shared" si="15"/>
        <v>0</v>
      </c>
      <c r="F120" s="1933">
        <f t="shared" si="6"/>
        <v>0</v>
      </c>
      <c r="G120" s="1793">
        <f t="shared" si="16"/>
        <v>0</v>
      </c>
    </row>
    <row r="121" spans="1:7" x14ac:dyDescent="0.25">
      <c r="A121" s="1653"/>
      <c r="B121" s="1667"/>
      <c r="C121" s="1654"/>
      <c r="D121" s="1844"/>
      <c r="E121" s="1540">
        <f t="shared" si="15"/>
        <v>0</v>
      </c>
      <c r="F121" s="1933">
        <f t="shared" si="6"/>
        <v>0</v>
      </c>
      <c r="G121" s="1793">
        <f t="shared" si="16"/>
        <v>0</v>
      </c>
    </row>
    <row r="122" spans="1:7" x14ac:dyDescent="0.25">
      <c r="A122" s="1653"/>
      <c r="B122" s="1667"/>
      <c r="C122" s="1654"/>
      <c r="D122" s="1844"/>
      <c r="E122" s="1540">
        <f t="shared" si="15"/>
        <v>0</v>
      </c>
      <c r="F122" s="1933">
        <f t="shared" si="6"/>
        <v>0</v>
      </c>
      <c r="G122" s="1793">
        <f t="shared" si="16"/>
        <v>0</v>
      </c>
    </row>
    <row r="123" spans="1:7" x14ac:dyDescent="0.25">
      <c r="A123" s="1653"/>
      <c r="B123" s="1667"/>
      <c r="C123" s="1654"/>
      <c r="D123" s="1844"/>
      <c r="E123" s="1540">
        <f t="shared" si="15"/>
        <v>0</v>
      </c>
      <c r="F123" s="1933">
        <f t="shared" si="6"/>
        <v>0</v>
      </c>
      <c r="G123" s="1793">
        <f t="shared" si="16"/>
        <v>0</v>
      </c>
    </row>
    <row r="124" spans="1:7" x14ac:dyDescent="0.25">
      <c r="A124" s="1653"/>
      <c r="B124" s="1667"/>
      <c r="C124" s="1654"/>
      <c r="D124" s="1844"/>
      <c r="E124" s="1540">
        <f t="shared" si="15"/>
        <v>0</v>
      </c>
      <c r="F124" s="1933">
        <f t="shared" si="6"/>
        <v>0</v>
      </c>
      <c r="G124" s="1793">
        <f t="shared" si="16"/>
        <v>0</v>
      </c>
    </row>
    <row r="125" spans="1:7" x14ac:dyDescent="0.25">
      <c r="A125" s="1653"/>
      <c r="B125" s="1667"/>
      <c r="C125" s="1654"/>
      <c r="D125" s="1844"/>
      <c r="E125" s="1540">
        <f t="shared" si="15"/>
        <v>0</v>
      </c>
      <c r="F125" s="1933">
        <f t="shared" si="6"/>
        <v>0</v>
      </c>
      <c r="G125" s="1793">
        <f t="shared" si="16"/>
        <v>0</v>
      </c>
    </row>
    <row r="126" spans="1:7" x14ac:dyDescent="0.25">
      <c r="A126" s="1653"/>
      <c r="B126" s="1667"/>
      <c r="C126" s="1654"/>
      <c r="D126" s="1844"/>
      <c r="E126" s="1540">
        <f t="shared" ref="E126:E134" si="17">IF(D126&lt;=25000,D126,IF(D126&gt;25000,25000,0))</f>
        <v>0</v>
      </c>
      <c r="F126" s="1933">
        <f t="shared" si="6"/>
        <v>0</v>
      </c>
      <c r="G126" s="1793">
        <f t="shared" ref="G126:G134" si="18">IF(F126=0,0,D126-F126)</f>
        <v>0</v>
      </c>
    </row>
    <row r="127" spans="1:7" x14ac:dyDescent="0.25">
      <c r="A127" s="1653"/>
      <c r="B127" s="1667"/>
      <c r="C127" s="1654"/>
      <c r="D127" s="1844"/>
      <c r="E127" s="1540">
        <f t="shared" si="17"/>
        <v>0</v>
      </c>
      <c r="F127" s="1933">
        <f t="shared" si="6"/>
        <v>0</v>
      </c>
      <c r="G127" s="1793">
        <f t="shared" si="18"/>
        <v>0</v>
      </c>
    </row>
    <row r="128" spans="1:7" x14ac:dyDescent="0.25">
      <c r="A128" s="1653"/>
      <c r="B128" s="1667"/>
      <c r="C128" s="1654"/>
      <c r="D128" s="1844"/>
      <c r="E128" s="1540">
        <f t="shared" si="17"/>
        <v>0</v>
      </c>
      <c r="F128" s="1933">
        <f t="shared" si="6"/>
        <v>0</v>
      </c>
      <c r="G128" s="1793">
        <f t="shared" si="18"/>
        <v>0</v>
      </c>
    </row>
    <row r="129" spans="1:7" x14ac:dyDescent="0.25">
      <c r="A129" s="1653"/>
      <c r="B129" s="1667"/>
      <c r="C129" s="1654"/>
      <c r="D129" s="1844"/>
      <c r="E129" s="1540">
        <f t="shared" si="17"/>
        <v>0</v>
      </c>
      <c r="F129" s="1933">
        <f t="shared" si="6"/>
        <v>0</v>
      </c>
      <c r="G129" s="1793">
        <f t="shared" si="18"/>
        <v>0</v>
      </c>
    </row>
    <row r="130" spans="1:7" x14ac:dyDescent="0.25">
      <c r="A130" s="1653"/>
      <c r="B130" s="1667"/>
      <c r="C130" s="1654"/>
      <c r="D130" s="1844"/>
      <c r="E130" s="1540">
        <f t="shared" si="17"/>
        <v>0</v>
      </c>
      <c r="F130" s="1933">
        <f t="shared" si="6"/>
        <v>0</v>
      </c>
      <c r="G130" s="1793">
        <f t="shared" si="18"/>
        <v>0</v>
      </c>
    </row>
    <row r="131" spans="1:7" x14ac:dyDescent="0.25">
      <c r="A131" s="1653"/>
      <c r="B131" s="1837"/>
      <c r="C131" s="1654"/>
      <c r="D131" s="1844"/>
      <c r="E131" s="1540">
        <f t="shared" si="17"/>
        <v>0</v>
      </c>
      <c r="F131" s="1933">
        <f t="shared" si="6"/>
        <v>0</v>
      </c>
      <c r="G131" s="1793">
        <f t="shared" si="18"/>
        <v>0</v>
      </c>
    </row>
    <row r="132" spans="1:7" x14ac:dyDescent="0.25">
      <c r="A132" s="1653"/>
      <c r="B132" s="1837"/>
      <c r="C132" s="1654"/>
      <c r="D132" s="1844"/>
      <c r="E132" s="1540">
        <f t="shared" si="17"/>
        <v>0</v>
      </c>
      <c r="F132" s="1933">
        <f t="shared" si="6"/>
        <v>0</v>
      </c>
      <c r="G132" s="1793">
        <f t="shared" si="18"/>
        <v>0</v>
      </c>
    </row>
    <row r="133" spans="1:7" x14ac:dyDescent="0.25">
      <c r="A133" s="1653"/>
      <c r="B133" s="1667"/>
      <c r="C133" s="1654"/>
      <c r="D133" s="1844"/>
      <c r="E133" s="1540">
        <f t="shared" si="17"/>
        <v>0</v>
      </c>
      <c r="F133" s="1933">
        <f t="shared" si="6"/>
        <v>0</v>
      </c>
      <c r="G133" s="1793">
        <f t="shared" si="18"/>
        <v>0</v>
      </c>
    </row>
    <row r="134" spans="1:7" x14ac:dyDescent="0.25">
      <c r="A134" s="1653"/>
      <c r="B134" s="1667"/>
      <c r="C134" s="1654"/>
      <c r="D134" s="1844"/>
      <c r="E134" s="1540">
        <f t="shared" si="17"/>
        <v>0</v>
      </c>
      <c r="F134" s="1933">
        <f t="shared" si="6"/>
        <v>0</v>
      </c>
      <c r="G134" s="1793">
        <f t="shared" si="18"/>
        <v>0</v>
      </c>
    </row>
    <row r="135" spans="1:7" x14ac:dyDescent="0.25">
      <c r="A135" s="1653"/>
      <c r="B135" s="1667"/>
      <c r="C135" s="1654"/>
      <c r="D135" s="1844"/>
      <c r="E135" s="1540">
        <f t="shared" ref="E135:E139" si="19">IF(D135&lt;=25000,D135,IF(D135&gt;25000,25000,0))</f>
        <v>0</v>
      </c>
      <c r="F135" s="1933">
        <f t="shared" si="6"/>
        <v>0</v>
      </c>
      <c r="G135" s="1793">
        <f t="shared" ref="G135:G139" si="20">IF(F135=0,0,D135-F135)</f>
        <v>0</v>
      </c>
    </row>
    <row r="136" spans="1:7" x14ac:dyDescent="0.25">
      <c r="A136" s="1653"/>
      <c r="B136" s="1667"/>
      <c r="C136" s="1654"/>
      <c r="D136" s="1844"/>
      <c r="E136" s="1540">
        <f t="shared" si="19"/>
        <v>0</v>
      </c>
      <c r="F136" s="1933">
        <f t="shared" si="6"/>
        <v>0</v>
      </c>
      <c r="G136" s="1793">
        <f t="shared" si="20"/>
        <v>0</v>
      </c>
    </row>
    <row r="137" spans="1:7" x14ac:dyDescent="0.25">
      <c r="A137" s="1653"/>
      <c r="B137" s="1667"/>
      <c r="C137" s="1654"/>
      <c r="D137" s="1844"/>
      <c r="E137" s="1540">
        <f t="shared" si="19"/>
        <v>0</v>
      </c>
      <c r="F137" s="1933">
        <f t="shared" si="6"/>
        <v>0</v>
      </c>
      <c r="G137" s="1793">
        <f t="shared" si="20"/>
        <v>0</v>
      </c>
    </row>
    <row r="138" spans="1:7" x14ac:dyDescent="0.25">
      <c r="A138" s="1653"/>
      <c r="B138" s="1667"/>
      <c r="C138" s="1654"/>
      <c r="D138" s="1844"/>
      <c r="E138" s="1540">
        <f t="shared" si="19"/>
        <v>0</v>
      </c>
      <c r="F138" s="1933">
        <f t="shared" si="6"/>
        <v>0</v>
      </c>
      <c r="G138" s="1793">
        <f t="shared" si="20"/>
        <v>0</v>
      </c>
    </row>
    <row r="139" spans="1:7" x14ac:dyDescent="0.25">
      <c r="A139" s="1653"/>
      <c r="B139" s="1667"/>
      <c r="C139" s="1654"/>
      <c r="D139" s="1844"/>
      <c r="E139" s="1540">
        <f t="shared" si="19"/>
        <v>0</v>
      </c>
      <c r="F139" s="1933">
        <f t="shared" si="6"/>
        <v>0</v>
      </c>
      <c r="G139" s="1793">
        <f t="shared" si="20"/>
        <v>0</v>
      </c>
    </row>
    <row r="140" spans="1:7" x14ac:dyDescent="0.25">
      <c r="A140" s="1653"/>
      <c r="B140" s="1666"/>
      <c r="C140" s="1654"/>
      <c r="D140" s="1844"/>
      <c r="E140" s="1540">
        <f t="shared" si="2"/>
        <v>0</v>
      </c>
      <c r="F140" s="1933">
        <f t="shared" si="6"/>
        <v>0</v>
      </c>
      <c r="G140" s="1793">
        <f t="shared" si="3"/>
        <v>0</v>
      </c>
    </row>
    <row r="141" spans="1:7" x14ac:dyDescent="0.25">
      <c r="A141" s="1796" t="s">
        <v>156</v>
      </c>
      <c r="B141" s="1797"/>
      <c r="C141" s="1798"/>
      <c r="D141" s="1794">
        <f>SUM(D17:D140)</f>
        <v>0</v>
      </c>
      <c r="E141" s="1541">
        <f t="shared" si="0"/>
        <v>0</v>
      </c>
      <c r="F141" s="1934">
        <f>SUM(F17:F140)</f>
        <v>0</v>
      </c>
      <c r="G141" s="1795">
        <f>SUM(G17:G140)</f>
        <v>0</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A8" sqref="A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79" t="s">
        <v>1679</v>
      </c>
      <c r="B5" s="2280"/>
      <c r="C5" s="2280"/>
      <c r="D5" s="2280"/>
      <c r="E5" s="2280"/>
      <c r="F5" s="2280"/>
      <c r="G5" s="2281"/>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1931</v>
      </c>
      <c r="B10" s="971"/>
      <c r="C10" s="976"/>
      <c r="D10" s="972"/>
      <c r="E10" s="973">
        <v>43099</v>
      </c>
      <c r="F10" s="974"/>
      <c r="G10" s="975"/>
      <c r="H10" s="162"/>
      <c r="I10" s="162"/>
    </row>
    <row r="11" spans="1:9" s="668" customFormat="1" ht="22.5" customHeight="1" x14ac:dyDescent="0.2">
      <c r="A11" s="2284" t="s">
        <v>1975</v>
      </c>
      <c r="B11" s="2285"/>
      <c r="C11" s="2285"/>
      <c r="D11" s="2286"/>
      <c r="E11" s="977">
        <v>2945</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1750310</v>
      </c>
      <c r="F19" s="1799"/>
      <c r="G19" s="1801">
        <f>'Expenditures 15-22'!K33-SUM('Expenditures 15-22'!G33,'Expenditures 15-22'!I33)+'Expenditures 15-22'!D229</f>
        <v>1750310</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1938384</v>
      </c>
      <c r="F21" s="1802"/>
      <c r="G21" s="1805">
        <f>'Expenditures 15-22'!K42-SUM('Expenditures 15-22'!G42,'Expenditures 15-22'!I42)+'Expenditures 15-22'!K120-SUM('Expenditures 15-22'!G120,'Expenditures 15-22'!I120)+'Expenditures 15-22'!K180-SUM('Expenditures 15-22'!G180,'Expenditures 15-22'!I180)+'Expenditures 15-22'!D238</f>
        <v>1938384</v>
      </c>
      <c r="H21" s="987"/>
      <c r="I21" s="162"/>
    </row>
    <row r="22" spans="1:9" s="668" customFormat="1" ht="12" customHeight="1" x14ac:dyDescent="0.2">
      <c r="A22" s="994" t="s">
        <v>564</v>
      </c>
      <c r="B22" s="995"/>
      <c r="C22" s="993">
        <v>2200</v>
      </c>
      <c r="D22" s="1802"/>
      <c r="E22" s="1804">
        <f>'Expenditures 15-22'!K47-SUM('Expenditures 15-22'!G47,'Expenditures 15-22'!I47)+'Expenditures 15-22'!D243</f>
        <v>88795</v>
      </c>
      <c r="F22" s="1802"/>
      <c r="G22" s="1805">
        <f>'Expenditures 15-22'!K47-SUM('Expenditures 15-22'!G47,'Expenditures 15-22'!I47)+'Expenditures 15-22'!D243</f>
        <v>88795</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833311</v>
      </c>
      <c r="F23" s="1802"/>
      <c r="G23" s="1804">
        <f>'Expenditures 15-22'!K53-SUM('Expenditures 15-22'!G53,'Expenditures 15-22'!I53)+'Expenditures 15-22'!D257+'Expenditures 15-22'!K330-SUM('Expenditures 15-22'!G330,'Expenditures 15-22'!I330)</f>
        <v>833311</v>
      </c>
      <c r="H23" s="987"/>
      <c r="I23" s="162"/>
    </row>
    <row r="24" spans="1:9" s="668" customFormat="1" ht="12" customHeight="1" x14ac:dyDescent="0.2">
      <c r="A24" s="994" t="s">
        <v>566</v>
      </c>
      <c r="B24" s="995"/>
      <c r="C24" s="993">
        <v>2400</v>
      </c>
      <c r="D24" s="1802"/>
      <c r="E24" s="1804">
        <f>'Expenditures 15-22'!K57-SUM('Expenditures 15-22'!G57,'Expenditures 15-22'!I57)+'Expenditures 15-22'!D261</f>
        <v>0</v>
      </c>
      <c r="F24" s="1802"/>
      <c r="G24" s="1805">
        <f>'Expenditures 15-22'!K57-SUM('Expenditures 15-22'!G57,'Expenditures 15-22'!I57)+'Expenditures 15-22'!D261</f>
        <v>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73652</v>
      </c>
      <c r="E27" s="1804">
        <f>E8</f>
        <v>0</v>
      </c>
      <c r="F27" s="1804">
        <f>'Expenditures 15-22'!K60-SUM('Expenditures 15-22'!G60,'Expenditures 15-22'!I60)+'Expenditures 15-22'!D264-E8</f>
        <v>73652</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328732</v>
      </c>
      <c r="F28" s="1806">
        <f>'Expenditures 15-22'!K61-SUM('Expenditures 15-22'!G61,'Expenditures 15-22'!I61)+'Expenditures 15-22'!K124-SUM('Expenditures 15-22'!G124,'Expenditures 15-22'!I124)+'Expenditures 15-22'!D266-E9</f>
        <v>328732</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15724</v>
      </c>
      <c r="F29" s="1802"/>
      <c r="G29" s="1805">
        <f>'Expenditures 15-22'!K62-SUM('Expenditures 15-22'!G62,'Expenditures 15-22'!I62)+'Expenditures 15-22'!K125-SUM('Expenditures 15-22'!G125,'Expenditures 15-22'!I125)+'Expenditures 15-22'!K182-SUM('Expenditures 15-22'!G182,'Expenditures 15-22'!I182)+'Expenditures 15-22'!D267</f>
        <v>15724</v>
      </c>
      <c r="H29" s="985"/>
    </row>
    <row r="30" spans="1:9" ht="12" customHeight="1" x14ac:dyDescent="0.2">
      <c r="A30" s="994" t="s">
        <v>100</v>
      </c>
      <c r="B30" s="997"/>
      <c r="C30" s="993">
        <v>2560</v>
      </c>
      <c r="D30" s="1802"/>
      <c r="E30" s="1804">
        <f>'Expenditures 15-22'!K63-SUM('Expenditures 15-22'!G63,'Expenditures 15-22'!I63)+'Expenditures 15-22'!D268-E10</f>
        <v>55259</v>
      </c>
      <c r="F30" s="1802"/>
      <c r="G30" s="1804">
        <f>'Expenditures 15-22'!K63-SUM('Expenditures 15-22'!G63,'Expenditures 15-22'!I63)+'Expenditures 15-22'!D268-E10</f>
        <v>55259</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13695</v>
      </c>
      <c r="E36" s="1804">
        <f>E13</f>
        <v>0</v>
      </c>
      <c r="F36" s="1804">
        <f>'Expenditures 15-22'!K70-SUM('Expenditures 15-22'!G70,'Expenditures 15-22'!I70)+'Expenditures 15-22'!D275-E13</f>
        <v>13695</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1821</v>
      </c>
      <c r="B40" s="991"/>
      <c r="C40" s="993"/>
      <c r="D40" s="1802"/>
      <c r="E40" s="1806">
        <f>-'Contracts Paid in CY 29'!G141</f>
        <v>0</v>
      </c>
      <c r="F40" s="1802"/>
      <c r="G40" s="1806">
        <f>-'Contracts Paid in CY 29'!G141</f>
        <v>0</v>
      </c>
    </row>
    <row r="41" spans="1:7" ht="12" customHeight="1" x14ac:dyDescent="0.2">
      <c r="A41" s="998" t="s">
        <v>156</v>
      </c>
      <c r="B41" s="999"/>
      <c r="C41" s="1000"/>
      <c r="D41" s="1806">
        <f>SUM(D19:D39)</f>
        <v>87347</v>
      </c>
      <c r="E41" s="1806">
        <f>SUM(E19:E40)</f>
        <v>5010515</v>
      </c>
      <c r="F41" s="1806">
        <f>SUM(F19:F39)</f>
        <v>416079</v>
      </c>
      <c r="G41" s="1806">
        <f>SUM(G19:G40)</f>
        <v>4681783</v>
      </c>
    </row>
    <row r="42" spans="1:7" x14ac:dyDescent="0.2">
      <c r="A42" s="987"/>
      <c r="B42" s="162"/>
      <c r="C42" s="1001"/>
      <c r="D42" s="2282" t="s">
        <v>522</v>
      </c>
      <c r="E42" s="2283"/>
      <c r="F42" s="1002" t="s">
        <v>523</v>
      </c>
      <c r="G42" s="1003"/>
    </row>
    <row r="43" spans="1:7" ht="12" customHeight="1" x14ac:dyDescent="0.2">
      <c r="A43" s="987"/>
      <c r="B43" s="162"/>
      <c r="C43" s="1001"/>
      <c r="D43" s="1807" t="s">
        <v>473</v>
      </c>
      <c r="E43" s="1808">
        <f>D41</f>
        <v>87347</v>
      </c>
      <c r="F43" s="1807" t="s">
        <v>473</v>
      </c>
      <c r="G43" s="1808">
        <f>F41</f>
        <v>416079</v>
      </c>
    </row>
    <row r="44" spans="1:7" ht="12" customHeight="1" x14ac:dyDescent="0.2">
      <c r="A44" s="987"/>
      <c r="B44" s="162"/>
      <c r="C44" s="1001"/>
      <c r="D44" s="1807" t="s">
        <v>474</v>
      </c>
      <c r="E44" s="1808">
        <f>E41</f>
        <v>5010515</v>
      </c>
      <c r="F44" s="1807" t="s">
        <v>474</v>
      </c>
      <c r="G44" s="1808">
        <f>G41</f>
        <v>4681783</v>
      </c>
    </row>
    <row r="45" spans="1:7" ht="12" customHeight="1" x14ac:dyDescent="0.2">
      <c r="A45" s="987"/>
      <c r="B45" s="162"/>
      <c r="C45" s="162"/>
      <c r="D45" s="1809" t="s">
        <v>1006</v>
      </c>
      <c r="E45" s="1810">
        <f>(E43/E44)</f>
        <v>1.7432738949988175E-2</v>
      </c>
      <c r="F45" s="1809" t="s">
        <v>1006</v>
      </c>
      <c r="G45" s="1810">
        <f>(G43/G44)</f>
        <v>8.8871910552026867E-2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8" sqref="A8"/>
      <selection pane="bottomLeft" activeCell="A8" sqref="A8"/>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1" t="s">
        <v>1379</v>
      </c>
      <c r="B1" s="2301"/>
      <c r="C1" s="2301"/>
      <c r="D1" s="2301"/>
      <c r="E1" s="2301"/>
      <c r="F1" s="2301"/>
    </row>
    <row r="2" spans="1:10" x14ac:dyDescent="0.2">
      <c r="A2" s="1887" t="s">
        <v>1910</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2" t="s">
        <v>1546</v>
      </c>
      <c r="B5" s="2303"/>
      <c r="C5" s="2304"/>
      <c r="D5" s="2304"/>
      <c r="E5" s="2304"/>
      <c r="F5" s="2304"/>
    </row>
    <row r="6" spans="1:10" ht="12" customHeight="1" x14ac:dyDescent="0.25">
      <c r="A6" s="1850"/>
      <c r="B6" s="1851"/>
      <c r="C6" s="2305" t="str">
        <f>COVER!A17</f>
        <v>Perandoe Spec Educ District</v>
      </c>
      <c r="D6" s="2305"/>
      <c r="E6" s="2305"/>
      <c r="F6" s="1852"/>
    </row>
    <row r="7" spans="1:10" ht="11.25" customHeight="1" thickBot="1" x14ac:dyDescent="0.3">
      <c r="A7" s="1850"/>
      <c r="B7" s="1851"/>
      <c r="C7" s="2306">
        <f>COVER!A13</f>
        <v>45079132061</v>
      </c>
      <c r="D7" s="2306"/>
      <c r="E7" s="2306"/>
      <c r="F7" s="1852"/>
    </row>
    <row r="8" spans="1:10" ht="25.5" customHeight="1" thickBot="1" x14ac:dyDescent="0.25">
      <c r="A8" s="1893" t="s">
        <v>1906</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t="s">
        <v>2071</v>
      </c>
      <c r="D14" s="1865" t="s">
        <v>2071</v>
      </c>
      <c r="E14" s="1868"/>
      <c r="F14" s="1867" t="s">
        <v>2075</v>
      </c>
      <c r="H14" s="1878">
        <f t="shared" si="0"/>
        <v>5</v>
      </c>
      <c r="I14" s="1878">
        <f t="shared" si="1"/>
        <v>5</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t="s">
        <v>2071</v>
      </c>
      <c r="D19" s="1865" t="s">
        <v>2071</v>
      </c>
      <c r="E19" s="1868"/>
      <c r="F19" s="1867" t="s">
        <v>2076</v>
      </c>
      <c r="H19" s="1878">
        <f t="shared" si="0"/>
        <v>5</v>
      </c>
      <c r="I19" s="1878">
        <f t="shared" si="1"/>
        <v>5</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0</v>
      </c>
      <c r="K34" s="1878">
        <f>SUM(H34:J34)</f>
        <v>20</v>
      </c>
    </row>
    <row r="35" spans="1:11" ht="12" customHeight="1" x14ac:dyDescent="0.2">
      <c r="A35" s="1871" t="s">
        <v>1392</v>
      </c>
      <c r="B35" s="1872"/>
      <c r="C35" s="2307"/>
      <c r="D35" s="2307"/>
      <c r="E35" s="2307"/>
      <c r="F35" s="2308"/>
    </row>
    <row r="36" spans="1:11" ht="12" customHeight="1" x14ac:dyDescent="0.2">
      <c r="A36" s="2290"/>
      <c r="B36" s="2291"/>
      <c r="C36" s="2291"/>
      <c r="D36" s="2291"/>
      <c r="E36" s="2291"/>
      <c r="F36" s="2292"/>
    </row>
    <row r="37" spans="1:11" ht="12" customHeight="1" x14ac:dyDescent="0.2">
      <c r="A37" s="2290"/>
      <c r="B37" s="2291"/>
      <c r="C37" s="2291"/>
      <c r="D37" s="2291"/>
      <c r="E37" s="2291"/>
      <c r="F37" s="2292"/>
    </row>
    <row r="38" spans="1:11" ht="12" customHeight="1" x14ac:dyDescent="0.2">
      <c r="A38" s="2293"/>
      <c r="B38" s="2294"/>
      <c r="C38" s="2294"/>
      <c r="D38" s="2294"/>
      <c r="E38" s="2294"/>
      <c r="F38" s="2295"/>
    </row>
    <row r="39" spans="1:11" ht="4.5" hidden="1" customHeight="1" x14ac:dyDescent="0.2">
      <c r="A39" s="1873"/>
      <c r="B39" s="1873"/>
      <c r="C39" s="1873"/>
      <c r="D39" s="1873"/>
      <c r="E39" s="1873"/>
      <c r="F39" s="1873"/>
    </row>
    <row r="40" spans="1:11" s="1870" customFormat="1" ht="12" customHeight="1" x14ac:dyDescent="0.25">
      <c r="A40" s="1874" t="s">
        <v>1391</v>
      </c>
      <c r="B40" s="1875"/>
      <c r="C40" s="2296"/>
      <c r="D40" s="2296"/>
      <c r="E40" s="2296"/>
      <c r="F40" s="2297"/>
      <c r="H40" s="1879"/>
      <c r="I40" s="1879"/>
      <c r="J40" s="1879"/>
      <c r="K40" s="1879"/>
    </row>
    <row r="41" spans="1:11" s="1870" customFormat="1" ht="12" customHeight="1" x14ac:dyDescent="0.25">
      <c r="A41" s="2298"/>
      <c r="B41" s="2299"/>
      <c r="C41" s="2299"/>
      <c r="D41" s="2299"/>
      <c r="E41" s="2299"/>
      <c r="F41" s="2300"/>
      <c r="H41" s="1879"/>
      <c r="I41" s="1879"/>
      <c r="J41" s="1879"/>
      <c r="K41" s="1879"/>
    </row>
    <row r="42" spans="1:11" s="1870" customFormat="1" ht="12" customHeight="1" x14ac:dyDescent="0.25">
      <c r="A42" s="2298"/>
      <c r="B42" s="2299"/>
      <c r="C42" s="2299"/>
      <c r="D42" s="2299"/>
      <c r="E42" s="2299"/>
      <c r="F42" s="2300"/>
      <c r="H42" s="1879"/>
      <c r="I42" s="1879"/>
      <c r="J42" s="1879"/>
      <c r="K42" s="1879"/>
    </row>
    <row r="43" spans="1:11" s="1870" customFormat="1" ht="15" x14ac:dyDescent="0.25">
      <c r="A43" s="2287"/>
      <c r="B43" s="2288"/>
      <c r="C43" s="2288"/>
      <c r="D43" s="2288"/>
      <c r="E43" s="2288"/>
      <c r="F43" s="2289"/>
      <c r="H43" s="1879"/>
      <c r="I43" s="1879"/>
      <c r="J43" s="1879"/>
      <c r="K43" s="1879"/>
    </row>
    <row r="44" spans="1:11" s="1870" customFormat="1" ht="12" hidden="1" customHeight="1" x14ac:dyDescent="0.25">
      <c r="A44" s="2287"/>
      <c r="B44" s="2288"/>
      <c r="C44" s="2288"/>
      <c r="D44" s="2288"/>
      <c r="E44" s="2288"/>
      <c r="F44" s="2289"/>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8"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A8" sqref="A8"/>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4" t="str">
        <f>COVER!A17</f>
        <v>Perandoe Spec Educ District</v>
      </c>
      <c r="J6" s="2315"/>
      <c r="Q6" s="1664"/>
    </row>
    <row r="7" spans="1:17" x14ac:dyDescent="0.2">
      <c r="A7" s="2316" t="s">
        <v>869</v>
      </c>
      <c r="B7" s="2317"/>
      <c r="C7" s="2317"/>
      <c r="D7" s="2317"/>
      <c r="E7" s="2318"/>
      <c r="F7" s="1017"/>
      <c r="G7" s="1009"/>
      <c r="H7" s="1016" t="s">
        <v>372</v>
      </c>
      <c r="I7" s="2319">
        <f>COVER!A13</f>
        <v>45079132061</v>
      </c>
      <c r="J7" s="2319"/>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0" t="s">
        <v>481</v>
      </c>
      <c r="B11" s="2321"/>
      <c r="C11" s="2322"/>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840734</v>
      </c>
      <c r="F12" s="1039"/>
      <c r="G12" s="1811">
        <f t="shared" ref="G12:G18" si="0">SUM(E12:F12)</f>
        <v>840734</v>
      </c>
      <c r="H12" s="1040"/>
      <c r="I12" s="1039"/>
      <c r="J12" s="1811">
        <f t="shared" ref="J12:J18" si="1">SUM(H12:I12)</f>
        <v>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3" t="s">
        <v>7</v>
      </c>
      <c r="C18" s="2324"/>
      <c r="D18" s="2325"/>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840734</v>
      </c>
      <c r="F19" s="1813">
        <f t="shared" si="2"/>
        <v>0</v>
      </c>
      <c r="G19" s="1813">
        <f t="shared" si="2"/>
        <v>840734</v>
      </c>
      <c r="H19" s="1813">
        <f t="shared" si="2"/>
        <v>0</v>
      </c>
      <c r="I19" s="1813">
        <f t="shared" si="2"/>
        <v>0</v>
      </c>
      <c r="J19" s="1813">
        <f t="shared" si="2"/>
        <v>0</v>
      </c>
    </row>
    <row r="20" spans="1:10" ht="13.5" thickTop="1" x14ac:dyDescent="0.2">
      <c r="A20" s="1035">
        <v>9</v>
      </c>
      <c r="B20" s="2326" t="s">
        <v>1979</v>
      </c>
      <c r="C20" s="2326"/>
      <c r="D20" s="2327"/>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2"/>
      <c r="D26" s="2332"/>
      <c r="E26" s="1050"/>
      <c r="F26" s="2331"/>
      <c r="G26" s="2331"/>
    </row>
    <row r="27" spans="1:10" x14ac:dyDescent="0.2">
      <c r="B27" s="1047"/>
      <c r="C27" s="1051" t="s">
        <v>1033</v>
      </c>
      <c r="D27" s="1052"/>
      <c r="E27" s="1053"/>
      <c r="F27" s="2328" t="s">
        <v>1509</v>
      </c>
      <c r="G27" s="2328"/>
    </row>
    <row r="28" spans="1:10" ht="28.5" customHeight="1" x14ac:dyDescent="0.2">
      <c r="B28" s="1047"/>
      <c r="C28" s="2330"/>
      <c r="D28" s="2330"/>
      <c r="E28" s="1054"/>
      <c r="F28" s="2330"/>
      <c r="G28" s="2330"/>
    </row>
    <row r="29" spans="1:10" x14ac:dyDescent="0.2">
      <c r="B29" s="1047"/>
      <c r="C29" s="1055" t="s">
        <v>1561</v>
      </c>
      <c r="E29" s="1056"/>
      <c r="F29" s="2329" t="s">
        <v>1510</v>
      </c>
      <c r="G29" s="2329"/>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1" t="s">
        <v>132</v>
      </c>
      <c r="D33" s="2312"/>
      <c r="E33" s="2312"/>
      <c r="F33" s="2312"/>
      <c r="G33" s="2312"/>
      <c r="H33" s="2312"/>
      <c r="I33" s="2312"/>
    </row>
    <row r="34" spans="1:10" ht="10.35" customHeight="1" x14ac:dyDescent="0.2">
      <c r="C34" s="2312"/>
      <c r="D34" s="2312"/>
      <c r="E34" s="2312"/>
      <c r="F34" s="2312"/>
      <c r="G34" s="2312"/>
      <c r="H34" s="2312"/>
      <c r="I34" s="2312"/>
    </row>
    <row r="35" spans="1:10" ht="7.5" customHeight="1" x14ac:dyDescent="0.2">
      <c r="C35" s="1062"/>
    </row>
    <row r="36" spans="1:10" ht="13.5" customHeight="1" x14ac:dyDescent="0.2">
      <c r="B36" s="1061"/>
      <c r="C36" s="2313" t="s">
        <v>1981</v>
      </c>
      <c r="D36" s="2312"/>
      <c r="E36" s="2312"/>
      <c r="F36" s="2312"/>
      <c r="G36" s="2312"/>
      <c r="H36" s="2312"/>
      <c r="I36" s="2312"/>
      <c r="J36" s="1063"/>
    </row>
    <row r="37" spans="1:10" ht="22.5" customHeight="1" x14ac:dyDescent="0.2">
      <c r="C37" s="2312"/>
      <c r="D37" s="2312"/>
      <c r="E37" s="2312"/>
      <c r="F37" s="2312"/>
      <c r="G37" s="2312"/>
      <c r="H37" s="2312"/>
      <c r="I37" s="2312"/>
      <c r="J37" s="1063"/>
    </row>
    <row r="38" spans="1:10" ht="7.5" customHeight="1" x14ac:dyDescent="0.2">
      <c r="C38" s="1062"/>
      <c r="D38" s="1064"/>
      <c r="E38" s="1065"/>
      <c r="F38" s="1066"/>
      <c r="G38" s="1065"/>
    </row>
    <row r="39" spans="1:10" ht="13.5" customHeight="1" x14ac:dyDescent="0.2">
      <c r="B39" s="1061"/>
      <c r="C39" s="2309" t="s">
        <v>882</v>
      </c>
      <c r="D39" s="2310"/>
      <c r="E39" s="2310"/>
      <c r="F39" s="2310"/>
      <c r="G39" s="2310"/>
      <c r="H39" s="2310"/>
      <c r="I39" s="2310"/>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A8" sqref="A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2077</v>
      </c>
    </row>
    <row r="6" spans="1:2" x14ac:dyDescent="0.2">
      <c r="A6" s="1068">
        <v>2</v>
      </c>
      <c r="B6" s="329" t="s">
        <v>2078</v>
      </c>
    </row>
    <row r="7" spans="1:2" x14ac:dyDescent="0.2">
      <c r="A7" s="1068">
        <v>3</v>
      </c>
    </row>
    <row r="8" spans="1:2" x14ac:dyDescent="0.2">
      <c r="A8" s="1068">
        <v>4</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Perandoe Spec Educ District</v>
      </c>
    </row>
    <row r="65" spans="2:2" x14ac:dyDescent="0.2">
      <c r="B65" s="1070">
        <f>COVER!A13</f>
        <v>45079132061</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A8" sqref="A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1857</v>
      </c>
      <c r="C4" s="162" t="s">
        <v>1169</v>
      </c>
      <c r="D4" s="169" t="s">
        <v>10</v>
      </c>
      <c r="E4" s="170" t="s">
        <v>22</v>
      </c>
    </row>
    <row r="5" spans="1:5" x14ac:dyDescent="0.2">
      <c r="A5" s="168" t="s">
        <v>1859</v>
      </c>
      <c r="C5" s="162" t="s">
        <v>1169</v>
      </c>
      <c r="D5" s="169" t="s">
        <v>10</v>
      </c>
      <c r="E5" s="170" t="s">
        <v>22</v>
      </c>
    </row>
    <row r="6" spans="1:5" x14ac:dyDescent="0.2">
      <c r="A6" s="168" t="s">
        <v>1858</v>
      </c>
      <c r="C6" s="162" t="s">
        <v>1169</v>
      </c>
      <c r="D6" s="167" t="s">
        <v>11</v>
      </c>
      <c r="E6" s="170" t="s">
        <v>941</v>
      </c>
    </row>
    <row r="7" spans="1:5" x14ac:dyDescent="0.2">
      <c r="A7" s="168" t="s">
        <v>1860</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1861</v>
      </c>
      <c r="C11" s="162" t="s">
        <v>1169</v>
      </c>
      <c r="D11" s="169" t="s">
        <v>14</v>
      </c>
      <c r="E11" s="170" t="s">
        <v>1156</v>
      </c>
    </row>
    <row r="12" spans="1:5" x14ac:dyDescent="0.2">
      <c r="B12" s="169" t="s">
        <v>1862</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1863</v>
      </c>
      <c r="C15" s="162" t="s">
        <v>1169</v>
      </c>
      <c r="D15" s="169" t="s">
        <v>17</v>
      </c>
      <c r="E15" s="170" t="s">
        <v>636</v>
      </c>
    </row>
    <row r="16" spans="1:5" x14ac:dyDescent="0.2">
      <c r="A16" s="172"/>
      <c r="B16" s="162" t="s">
        <v>1864</v>
      </c>
      <c r="C16" s="162" t="s">
        <v>1169</v>
      </c>
      <c r="D16" s="169" t="s">
        <v>681</v>
      </c>
      <c r="E16" s="170" t="s">
        <v>1040</v>
      </c>
    </row>
    <row r="17" spans="1:5" x14ac:dyDescent="0.2">
      <c r="B17" s="167" t="s">
        <v>988</v>
      </c>
      <c r="C17" s="162" t="s">
        <v>1169</v>
      </c>
    </row>
    <row r="18" spans="1:5" x14ac:dyDescent="0.2">
      <c r="B18" s="167" t="s">
        <v>1870</v>
      </c>
      <c r="D18" s="169" t="s">
        <v>18</v>
      </c>
      <c r="E18" s="170" t="s">
        <v>1041</v>
      </c>
    </row>
    <row r="19" spans="1:5" x14ac:dyDescent="0.2">
      <c r="A19" s="168" t="s">
        <v>1099</v>
      </c>
      <c r="C19" s="162" t="s">
        <v>1169</v>
      </c>
      <c r="D19" s="169"/>
      <c r="E19" s="171"/>
    </row>
    <row r="20" spans="1:5" x14ac:dyDescent="0.2">
      <c r="B20" s="167" t="s">
        <v>1865</v>
      </c>
      <c r="C20" s="162" t="s">
        <v>1169</v>
      </c>
      <c r="D20" s="169" t="s">
        <v>19</v>
      </c>
      <c r="E20" s="170" t="s">
        <v>51</v>
      </c>
    </row>
    <row r="21" spans="1:5" x14ac:dyDescent="0.2">
      <c r="B21" s="167" t="s">
        <v>1866</v>
      </c>
      <c r="C21" s="162" t="s">
        <v>1169</v>
      </c>
      <c r="D21" s="169" t="s">
        <v>20</v>
      </c>
      <c r="E21" s="170" t="s">
        <v>1610</v>
      </c>
    </row>
    <row r="22" spans="1:5" x14ac:dyDescent="0.2">
      <c r="A22" s="168"/>
      <c r="B22" s="162" t="s">
        <v>1854</v>
      </c>
      <c r="C22" s="162" t="s">
        <v>1169</v>
      </c>
      <c r="D22" s="167" t="s">
        <v>1856</v>
      </c>
      <c r="E22" s="1836" t="s">
        <v>1611</v>
      </c>
    </row>
    <row r="23" spans="1:5" x14ac:dyDescent="0.2">
      <c r="A23" s="168"/>
      <c r="B23" s="162" t="s">
        <v>1855</v>
      </c>
      <c r="D23" s="167" t="s">
        <v>637</v>
      </c>
      <c r="E23" s="1836" t="s">
        <v>959</v>
      </c>
    </row>
    <row r="24" spans="1:5" x14ac:dyDescent="0.2">
      <c r="A24" s="168" t="s">
        <v>1609</v>
      </c>
      <c r="C24" s="162" t="s">
        <v>1169</v>
      </c>
      <c r="D24" s="167" t="s">
        <v>1393</v>
      </c>
      <c r="E24" s="170" t="s">
        <v>960</v>
      </c>
    </row>
    <row r="25" spans="1:5" x14ac:dyDescent="0.2">
      <c r="A25" s="168" t="s">
        <v>1867</v>
      </c>
      <c r="C25" s="162" t="s">
        <v>1169</v>
      </c>
      <c r="D25" s="169" t="s">
        <v>21</v>
      </c>
      <c r="E25" s="170" t="s">
        <v>1042</v>
      </c>
    </row>
    <row r="26" spans="1:5" x14ac:dyDescent="0.2">
      <c r="A26" s="168" t="s">
        <v>1868</v>
      </c>
      <c r="C26" s="162" t="s">
        <v>1169</v>
      </c>
      <c r="D26" s="169" t="s">
        <v>563</v>
      </c>
      <c r="E26" s="170" t="s">
        <v>1043</v>
      </c>
    </row>
    <row r="27" spans="1:5" x14ac:dyDescent="0.2">
      <c r="A27" s="168" t="s">
        <v>1869</v>
      </c>
      <c r="C27" s="162" t="s">
        <v>1169</v>
      </c>
      <c r="D27" s="169" t="s">
        <v>557</v>
      </c>
      <c r="E27" s="170" t="s">
        <v>683</v>
      </c>
    </row>
    <row r="28" spans="1:5" x14ac:dyDescent="0.2">
      <c r="A28" s="168" t="s">
        <v>1871</v>
      </c>
      <c r="D28" s="169" t="s">
        <v>684</v>
      </c>
      <c r="E28" s="170" t="s">
        <v>1366</v>
      </c>
    </row>
    <row r="29" spans="1:5" x14ac:dyDescent="0.2">
      <c r="A29" s="168" t="s">
        <v>1872</v>
      </c>
      <c r="D29" s="169" t="s">
        <v>1394</v>
      </c>
      <c r="E29" s="170" t="s">
        <v>1375</v>
      </c>
    </row>
    <row r="30" spans="1:5" x14ac:dyDescent="0.2">
      <c r="A30" s="173" t="s">
        <v>1873</v>
      </c>
      <c r="C30" s="162" t="s">
        <v>1169</v>
      </c>
      <c r="D30" s="169" t="s">
        <v>40</v>
      </c>
      <c r="E30" s="170" t="s">
        <v>982</v>
      </c>
    </row>
    <row r="31" spans="1:5" x14ac:dyDescent="0.2">
      <c r="A31" s="168" t="s">
        <v>1521</v>
      </c>
      <c r="C31" s="162" t="s">
        <v>1169</v>
      </c>
      <c r="D31" s="167"/>
      <c r="E31" s="171"/>
    </row>
    <row r="32" spans="1:5" x14ac:dyDescent="0.2">
      <c r="B32" s="167" t="s">
        <v>1874</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0" t="s">
        <v>1065</v>
      </c>
      <c r="B35" s="2050"/>
      <c r="C35" s="2050"/>
      <c r="D35" s="2050"/>
      <c r="E35" s="205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7" t="s">
        <v>691</v>
      </c>
      <c r="B40" s="2047"/>
      <c r="C40" s="2047"/>
      <c r="D40" s="2047"/>
      <c r="E40" s="2047"/>
    </row>
    <row r="41" spans="1:5" x14ac:dyDescent="0.2">
      <c r="A41" s="2048" t="s">
        <v>1608</v>
      </c>
      <c r="B41" s="2048"/>
      <c r="C41" s="2048"/>
      <c r="D41" s="2048"/>
      <c r="E41" s="2048"/>
    </row>
    <row r="42" spans="1:5" ht="12.75" customHeight="1" x14ac:dyDescent="0.2">
      <c r="A42" s="2049" t="s">
        <v>1022</v>
      </c>
      <c r="B42" s="2049"/>
      <c r="C42" s="2049"/>
      <c r="D42" s="2049"/>
      <c r="E42" s="2049"/>
    </row>
    <row r="43" spans="1:5" ht="6.75" customHeight="1" x14ac:dyDescent="0.2">
      <c r="A43" s="167"/>
      <c r="B43" s="176"/>
    </row>
    <row r="44" spans="1:5" x14ac:dyDescent="0.2">
      <c r="A44" s="185" t="s">
        <v>983</v>
      </c>
      <c r="B44" s="186" t="s">
        <v>1900</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1769</v>
      </c>
    </row>
    <row r="52" spans="1:3" x14ac:dyDescent="0.2">
      <c r="A52" s="190"/>
      <c r="B52" s="188" t="s">
        <v>1789</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1770</v>
      </c>
    </row>
    <row r="57" spans="1:3" x14ac:dyDescent="0.2">
      <c r="A57" s="193"/>
      <c r="B57" s="190" t="s">
        <v>1772</v>
      </c>
    </row>
    <row r="58" spans="1:3" x14ac:dyDescent="0.2">
      <c r="A58" s="194"/>
      <c r="B58" s="190" t="s">
        <v>1773</v>
      </c>
    </row>
    <row r="59" spans="1:3" x14ac:dyDescent="0.2">
      <c r="A59" s="195"/>
      <c r="B59" s="1485" t="s">
        <v>1774</v>
      </c>
    </row>
    <row r="60" spans="1:3" x14ac:dyDescent="0.2">
      <c r="A60" s="196"/>
      <c r="B60" s="1485" t="s">
        <v>1775</v>
      </c>
    </row>
    <row r="61" spans="1:3" ht="6" customHeight="1" x14ac:dyDescent="0.2">
      <c r="A61" s="197"/>
      <c r="B61" s="189"/>
    </row>
    <row r="62" spans="1:3" x14ac:dyDescent="0.2">
      <c r="A62" s="169" t="s">
        <v>1616</v>
      </c>
      <c r="B62" s="198" t="s">
        <v>1771</v>
      </c>
    </row>
    <row r="63" spans="1:3" x14ac:dyDescent="0.2">
      <c r="A63" s="188"/>
      <c r="B63" s="169" t="s">
        <v>1786</v>
      </c>
    </row>
    <row r="64" spans="1:3" x14ac:dyDescent="0.2">
      <c r="A64" s="195"/>
      <c r="B64" s="1487" t="s">
        <v>1776</v>
      </c>
    </row>
    <row r="65" spans="1:9" x14ac:dyDescent="0.2">
      <c r="A65" s="188"/>
      <c r="B65" s="169" t="s">
        <v>1787</v>
      </c>
    </row>
    <row r="66" spans="1:9" x14ac:dyDescent="0.2">
      <c r="A66" s="190"/>
      <c r="B66" s="190" t="s">
        <v>1777</v>
      </c>
    </row>
    <row r="67" spans="1:9" ht="12" customHeight="1" x14ac:dyDescent="0.2">
      <c r="A67" s="188"/>
      <c r="B67" s="169" t="s">
        <v>1788</v>
      </c>
    </row>
    <row r="68" spans="1:9" x14ac:dyDescent="0.2">
      <c r="A68" s="189"/>
      <c r="B68" s="190" t="s">
        <v>1778</v>
      </c>
    </row>
    <row r="69" spans="1:9" x14ac:dyDescent="0.2">
      <c r="A69" s="190"/>
      <c r="B69" s="188" t="s">
        <v>1779</v>
      </c>
    </row>
    <row r="70" spans="1:9" ht="13.5" customHeight="1" x14ac:dyDescent="0.2">
      <c r="A70" s="190"/>
      <c r="B70" s="188" t="s">
        <v>1780</v>
      </c>
    </row>
    <row r="71" spans="1:9" ht="12" customHeight="1" x14ac:dyDescent="0.2">
      <c r="A71" s="192"/>
      <c r="B71" s="1486" t="s">
        <v>1619</v>
      </c>
    </row>
    <row r="72" spans="1:9" ht="9" customHeight="1" x14ac:dyDescent="0.2">
      <c r="A72" s="192"/>
      <c r="B72" s="199"/>
    </row>
    <row r="73" spans="1:9" x14ac:dyDescent="0.2">
      <c r="A73" s="189" t="s">
        <v>1620</v>
      </c>
      <c r="B73" s="169" t="s">
        <v>1782</v>
      </c>
    </row>
    <row r="74" spans="1:9" x14ac:dyDescent="0.2">
      <c r="A74" s="189"/>
      <c r="B74" s="169" t="s">
        <v>1781</v>
      </c>
    </row>
    <row r="75" spans="1:9" ht="8.25" customHeight="1" x14ac:dyDescent="0.2">
      <c r="A75" s="189"/>
      <c r="B75" s="189"/>
    </row>
    <row r="76" spans="1:9" ht="12.2" customHeight="1" x14ac:dyDescent="0.2">
      <c r="A76" s="189" t="s">
        <v>1621</v>
      </c>
      <c r="B76" s="198" t="s">
        <v>1783</v>
      </c>
    </row>
    <row r="77" spans="1:9" ht="12.2" customHeight="1" x14ac:dyDescent="0.2">
      <c r="A77" s="190"/>
      <c r="B77" s="169" t="s">
        <v>1622</v>
      </c>
      <c r="C77" s="179"/>
      <c r="D77" s="180"/>
      <c r="E77" s="181"/>
      <c r="F77" s="181"/>
      <c r="G77" s="181"/>
      <c r="H77" s="181"/>
      <c r="I77" s="181"/>
    </row>
    <row r="78" spans="1:9" ht="11.25" customHeight="1" x14ac:dyDescent="0.2">
      <c r="A78" s="190"/>
      <c r="B78" s="190" t="s">
        <v>1785</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1784</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A8" sqref="A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A8" sqref="A8"/>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3" t="s">
        <v>1685</v>
      </c>
      <c r="B18" s="233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50177" r:id="rId4">
          <objectPr defaultSize="0" autoPict="0" r:id="rId5">
            <anchor moveWithCells="1">
              <from>
                <xdr:col>1</xdr:col>
                <xdr:colOff>466725</xdr:colOff>
                <xdr:row>4</xdr:row>
                <xdr:rowOff>28575</xdr:rowOff>
              </from>
              <to>
                <xdr:col>1</xdr:col>
                <xdr:colOff>1333500</xdr:colOff>
                <xdr:row>8</xdr:row>
                <xdr:rowOff>85725</xdr:rowOff>
              </to>
            </anchor>
          </objectPr>
        </oleObject>
      </mc:Choice>
      <mc:Fallback>
        <oleObject progId="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8" sqref="A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4" t="s">
        <v>1690</v>
      </c>
      <c r="B1" s="2335"/>
      <c r="C1" s="2335"/>
      <c r="D1" s="2335"/>
      <c r="E1" s="2335"/>
      <c r="F1" s="2336"/>
    </row>
    <row r="2" spans="1:8" ht="45" customHeight="1" x14ac:dyDescent="0.2">
      <c r="A2" s="2344" t="s">
        <v>1985</v>
      </c>
      <c r="B2" s="2345"/>
      <c r="C2" s="2345"/>
      <c r="D2" s="2345"/>
      <c r="E2" s="2345"/>
      <c r="F2" s="2346"/>
      <c r="G2" s="1074"/>
      <c r="H2" s="1074"/>
    </row>
    <row r="3" spans="1:8" ht="57" customHeight="1" x14ac:dyDescent="0.2">
      <c r="A3" s="2347" t="s">
        <v>1686</v>
      </c>
      <c r="B3" s="2348"/>
      <c r="C3" s="2348"/>
      <c r="D3" s="2348"/>
      <c r="E3" s="2348"/>
      <c r="F3" s="2349"/>
      <c r="G3" s="1074"/>
      <c r="H3" s="1074"/>
    </row>
    <row r="4" spans="1:8" ht="14.25" customHeight="1" x14ac:dyDescent="0.2">
      <c r="A4" s="2353" t="s">
        <v>1986</v>
      </c>
      <c r="B4" s="2354"/>
      <c r="C4" s="2354"/>
      <c r="D4" s="2354"/>
      <c r="E4" s="2354"/>
      <c r="F4" s="2355"/>
      <c r="G4" s="1074"/>
      <c r="H4" s="1074"/>
    </row>
    <row r="5" spans="1:8" ht="14.25" customHeight="1" x14ac:dyDescent="0.2">
      <c r="A5" s="2356" t="s">
        <v>1982</v>
      </c>
      <c r="B5" s="2357"/>
      <c r="C5" s="2357"/>
      <c r="D5" s="2357"/>
      <c r="E5" s="2357"/>
      <c r="F5" s="2358"/>
      <c r="G5" s="1074"/>
      <c r="H5" s="1074"/>
    </row>
    <row r="6" spans="1:8" s="1075" customFormat="1" ht="41.25" customHeight="1" x14ac:dyDescent="0.2">
      <c r="A6" s="2350" t="s">
        <v>1691</v>
      </c>
      <c r="B6" s="2351"/>
      <c r="C6" s="2351"/>
      <c r="D6" s="2351"/>
      <c r="E6" s="2351"/>
      <c r="F6" s="2352"/>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6585425</v>
      </c>
      <c r="C8" s="1815">
        <f>'Acct Summary 7-8'!D8</f>
        <v>0</v>
      </c>
      <c r="D8" s="1815">
        <f>'Acct Summary 7-8'!F8</f>
        <v>0</v>
      </c>
      <c r="E8" s="1815">
        <f>'Acct Summary 7-8'!I8</f>
        <v>0</v>
      </c>
      <c r="F8" s="1815">
        <f>SUM(B8:E8)</f>
        <v>6585425</v>
      </c>
    </row>
    <row r="9" spans="1:8" s="1079" customFormat="1" ht="14.25" customHeight="1" thickBot="1" x14ac:dyDescent="0.25">
      <c r="A9" s="1078" t="s">
        <v>1369</v>
      </c>
      <c r="B9" s="1816">
        <f>'Acct Summary 7-8'!C17</f>
        <v>6707803</v>
      </c>
      <c r="C9" s="1816">
        <f>'Acct Summary 7-8'!D17</f>
        <v>0</v>
      </c>
      <c r="D9" s="1816">
        <f>'Acct Summary 7-8'!F17</f>
        <v>0</v>
      </c>
      <c r="E9" s="1815"/>
      <c r="F9" s="1815">
        <f>SUM(B9:E9)</f>
        <v>6707803</v>
      </c>
    </row>
    <row r="10" spans="1:8" s="1079" customFormat="1" ht="14.25" thickTop="1" thickBot="1" x14ac:dyDescent="0.25">
      <c r="A10" s="1080" t="s">
        <v>1370</v>
      </c>
      <c r="B10" s="1817">
        <f>(B8-B9)</f>
        <v>-122378</v>
      </c>
      <c r="C10" s="1817">
        <f>(C8-C9)</f>
        <v>0</v>
      </c>
      <c r="D10" s="1817">
        <f>(D8-D9)</f>
        <v>0</v>
      </c>
      <c r="E10" s="1816">
        <f>(E8-E9)</f>
        <v>0</v>
      </c>
      <c r="F10" s="1818">
        <f>SUM(F8-F9)</f>
        <v>-122378</v>
      </c>
    </row>
    <row r="11" spans="1:8" s="1079" customFormat="1" ht="14.25" thickTop="1" thickBot="1" x14ac:dyDescent="0.25">
      <c r="A11" s="1081" t="s">
        <v>1983</v>
      </c>
      <c r="B11" s="1819">
        <f>'Acct Summary 7-8'!C81</f>
        <v>2369833</v>
      </c>
      <c r="C11" s="1819">
        <f>'Acct Summary 7-8'!D81</f>
        <v>0</v>
      </c>
      <c r="D11" s="1819">
        <f>'Acct Summary 7-8'!F81</f>
        <v>0</v>
      </c>
      <c r="E11" s="1819">
        <f>'Acct Summary 7-8'!I81</f>
        <v>0</v>
      </c>
      <c r="F11" s="1820">
        <f>SUM(B11:E11)</f>
        <v>2369833</v>
      </c>
    </row>
    <row r="12" spans="1:8" ht="16.5" customHeight="1" thickTop="1" x14ac:dyDescent="0.2">
      <c r="A12" s="1082"/>
      <c r="B12" s="1083"/>
      <c r="C12" s="2338" t="str">
        <f>IF(AND(F10&lt;0,F11&gt;=0,ABS(F10*3)&gt;ABS(F11)),A16,IF(AND(F10&lt;0,F11&gt;0,ABS(F10*3)&lt;=ABS(F11)),A17,IF(AND(F10&lt;0,F11&lt;0),A16,IF(F11=0,A19,A18))))</f>
        <v>Unbalanced -  however, a deficit reduction plan is not required at this time.</v>
      </c>
      <c r="D12" s="2339"/>
      <c r="E12" s="2339"/>
      <c r="F12" s="2340"/>
    </row>
    <row r="13" spans="1:8" ht="19.5" customHeight="1" x14ac:dyDescent="0.2">
      <c r="A13" s="1084"/>
      <c r="B13" s="1085"/>
      <c r="C13" s="2338"/>
      <c r="D13" s="2339"/>
      <c r="E13" s="2339"/>
      <c r="F13" s="2340"/>
      <c r="H13" s="1074"/>
    </row>
    <row r="14" spans="1:8" ht="19.5" customHeight="1" x14ac:dyDescent="0.2">
      <c r="A14" s="1084"/>
      <c r="B14" s="1085"/>
      <c r="C14" s="2338"/>
      <c r="D14" s="2339"/>
      <c r="E14" s="2339"/>
      <c r="F14" s="2340"/>
      <c r="H14" s="1074"/>
    </row>
    <row r="15" spans="1:8" ht="17.25" customHeight="1" x14ac:dyDescent="0.2">
      <c r="A15" s="1084"/>
      <c r="B15" s="1085"/>
      <c r="C15" s="2341"/>
      <c r="D15" s="2342"/>
      <c r="E15" s="2342"/>
      <c r="F15" s="2343"/>
      <c r="H15" s="1074"/>
    </row>
    <row r="16" spans="1:8" s="310" customFormat="1" ht="51.75" hidden="1" customHeight="1" x14ac:dyDescent="0.2">
      <c r="A16" s="2337" t="s">
        <v>1687</v>
      </c>
      <c r="B16" s="2337"/>
      <c r="C16" s="2337"/>
      <c r="D16" s="2337"/>
      <c r="E16" s="2337"/>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A8" sqref="A8"/>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59" t="s">
        <v>665</v>
      </c>
      <c r="B3" s="2360"/>
      <c r="C3" s="2360"/>
      <c r="D3" s="2361"/>
    </row>
    <row r="4" spans="1:4" x14ac:dyDescent="0.2">
      <c r="A4" s="1152" t="s">
        <v>1692</v>
      </c>
      <c r="B4" s="1153"/>
      <c r="C4" s="1154"/>
      <c r="D4" s="1155"/>
    </row>
    <row r="5" spans="1:4" ht="21" customHeight="1" x14ac:dyDescent="0.2">
      <c r="A5" s="1148"/>
      <c r="B5" s="1149">
        <v>1</v>
      </c>
      <c r="C5" s="1150" t="s">
        <v>1833</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0" t="s">
        <v>1504</v>
      </c>
      <c r="D7" s="2371"/>
    </row>
    <row r="8" spans="1:4" s="668" customFormat="1" ht="12.75" x14ac:dyDescent="0.2">
      <c r="A8" s="1138"/>
      <c r="B8" s="1093"/>
      <c r="C8" s="1096" t="s">
        <v>1503</v>
      </c>
      <c r="D8" s="1097"/>
    </row>
    <row r="9" spans="1:4" s="668" customFormat="1" ht="14.25" customHeight="1" x14ac:dyDescent="0.2">
      <c r="A9" s="1138"/>
      <c r="B9" s="1093">
        <f>B7+1</f>
        <v>4</v>
      </c>
      <c r="C9" s="1094" t="s">
        <v>1911</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2" t="s">
        <v>1008</v>
      </c>
      <c r="B15" s="2363"/>
      <c r="C15" s="2363"/>
      <c r="D15" s="2364"/>
    </row>
    <row r="16" spans="1:4" s="668" customFormat="1" ht="24" customHeight="1" x14ac:dyDescent="0.2">
      <c r="A16" s="2365" t="s">
        <v>663</v>
      </c>
      <c r="B16" s="2366"/>
      <c r="C16" s="2366"/>
      <c r="D16" s="2367"/>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4" t="s">
        <v>314</v>
      </c>
      <c r="D21" s="2375"/>
    </row>
    <row r="22" spans="1:10" ht="12.75" x14ac:dyDescent="0.2">
      <c r="A22" s="1139"/>
      <c r="B22" s="1140">
        <v>2</v>
      </c>
      <c r="C22" s="2372" t="s">
        <v>1524</v>
      </c>
      <c r="D22" s="2373"/>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not required.</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6" t="s">
        <v>536</v>
      </c>
      <c r="D43" s="2377"/>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8" t="s">
        <v>784</v>
      </c>
      <c r="D56" s="2369"/>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1912</v>
      </c>
      <c r="D66" s="1125"/>
    </row>
    <row r="67" spans="1:4" x14ac:dyDescent="0.2">
      <c r="A67" s="1119"/>
      <c r="B67" s="1140"/>
      <c r="C67" s="1147" t="s">
        <v>1021</v>
      </c>
      <c r="D67" s="1125"/>
    </row>
    <row r="68" spans="1:4" x14ac:dyDescent="0.2">
      <c r="A68" s="1100"/>
      <c r="B68" s="1110"/>
      <c r="C68" s="1102" t="s">
        <v>1913</v>
      </c>
      <c r="D68" s="1124" t="str">
        <f>IF('Short-Term Long-Term Debt 24'!F49=SUM(,'Acct Summary 7-8'!C33:K33),"OK","ERROR!")</f>
        <v>OK</v>
      </c>
    </row>
    <row r="69" spans="1:4" x14ac:dyDescent="0.2">
      <c r="A69" s="1100"/>
      <c r="B69" s="1110"/>
      <c r="C69" s="1102" t="s">
        <v>1914</v>
      </c>
      <c r="D69" s="1124" t="str">
        <f>IF('Expenditures 15-22'!H170&lt;&gt;'Short-Term Long-Term Debt 24'!H49,"ERROR!","OK")</f>
        <v>OK</v>
      </c>
    </row>
    <row r="70" spans="1:4" x14ac:dyDescent="0.2">
      <c r="A70" s="1098"/>
      <c r="B70" s="1120">
        <f>B66+1</f>
        <v>9</v>
      </c>
      <c r="C70" s="2368" t="s">
        <v>1696</v>
      </c>
      <c r="D70" s="2369"/>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1915</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1916</v>
      </c>
      <c r="D78" s="1124" t="str">
        <f>IF(ISNUMBER('Acct Summary 7-8'!C9),"OK","ENTRY IS REQUIRED!")</f>
        <v>OK</v>
      </c>
    </row>
    <row r="79" spans="1:4" x14ac:dyDescent="0.2">
      <c r="A79" s="1119"/>
      <c r="B79" s="1120">
        <f>B74+1+1</f>
        <v>12</v>
      </c>
      <c r="C79" s="1130" t="s">
        <v>1901</v>
      </c>
      <c r="D79" s="1131" t="str">
        <f>IF(OR(COVER!$B$6="X",'PCTC-OEPP 27-28'!F78&gt;0),"OK","PLEASE ENTER 9 MO ADA.")</f>
        <v>OK</v>
      </c>
    </row>
    <row r="80" spans="1:4" x14ac:dyDescent="0.2">
      <c r="A80" s="1098"/>
      <c r="B80" s="1120">
        <v>13</v>
      </c>
      <c r="C80" s="1130" t="s">
        <v>1917</v>
      </c>
      <c r="D80" s="1131" t="str">
        <f>IF('Contracts Paid in CY 29'!D141&gt;0,"OK","PLEASE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45079132061</v>
      </c>
    </row>
    <row r="3" spans="1:2" x14ac:dyDescent="0.2">
      <c r="A3" t="s">
        <v>956</v>
      </c>
      <c r="B3" s="138" t="str">
        <f>COVER!A15</f>
        <v>Randolph</v>
      </c>
    </row>
    <row r="4" spans="1:2" x14ac:dyDescent="0.2">
      <c r="A4" t="s">
        <v>1007</v>
      </c>
      <c r="B4" s="138" t="str">
        <f>COVER!A17</f>
        <v>Perandoe Spec Educ District</v>
      </c>
    </row>
    <row r="5" spans="1:2" x14ac:dyDescent="0.2">
      <c r="A5" t="s">
        <v>704</v>
      </c>
      <c r="B5" s="138">
        <f>COVER!A38</f>
        <v>0</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066-005248</v>
      </c>
    </row>
    <row r="16" spans="1:2" x14ac:dyDescent="0.2">
      <c r="A16" t="s">
        <v>422</v>
      </c>
      <c r="B16" s="138" t="str">
        <f>COVER!T13</f>
        <v>Moore &amp; Simonin, PC</v>
      </c>
    </row>
    <row r="17" spans="1:2" x14ac:dyDescent="0.2">
      <c r="A17" t="s">
        <v>884</v>
      </c>
      <c r="B17" s="138" t="str">
        <f>COVER!T15</f>
        <v>Robert E. Moore, CPA</v>
      </c>
    </row>
    <row r="18" spans="1:2" x14ac:dyDescent="0.2">
      <c r="A18" t="s">
        <v>1150</v>
      </c>
      <c r="B18" s="138" t="str">
        <f>COVER!T17</f>
        <v>3636 North Belt West</v>
      </c>
    </row>
    <row r="19" spans="1:2" x14ac:dyDescent="0.2">
      <c r="A19" t="s">
        <v>886</v>
      </c>
      <c r="B19" s="138" t="str">
        <f>COVER!T25</f>
        <v>mooresimonin@mrsaccountants.com</v>
      </c>
    </row>
    <row r="20" spans="1:2" x14ac:dyDescent="0.2">
      <c r="A20" t="s">
        <v>887</v>
      </c>
      <c r="B20" s="138" t="str">
        <f>COVER!T19</f>
        <v>Belleville</v>
      </c>
    </row>
    <row r="21" spans="1:2" x14ac:dyDescent="0.2">
      <c r="A21" t="s">
        <v>479</v>
      </c>
      <c r="B21" s="138" t="str">
        <f>COVER!X19</f>
        <v>IL</v>
      </c>
    </row>
    <row r="22" spans="1:2" x14ac:dyDescent="0.2">
      <c r="A22" t="s">
        <v>888</v>
      </c>
      <c r="B22" s="138">
        <f>COVER!Z19</f>
        <v>62226</v>
      </c>
    </row>
    <row r="23" spans="1:2" x14ac:dyDescent="0.2">
      <c r="A23" t="s">
        <v>1152</v>
      </c>
      <c r="B23" s="138" t="str">
        <f>COVER!T21</f>
        <v>618-233-5049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2369833</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2369833</v>
      </c>
      <c r="D92" s="2" t="str">
        <f t="shared" si="0"/>
        <v>Error?</v>
      </c>
    </row>
    <row r="93" spans="1:4" x14ac:dyDescent="0.2">
      <c r="A93" s="5">
        <v>32</v>
      </c>
      <c r="B93" s="138">
        <f>'Assets-Liab 5-6'!C41</f>
        <v>2369833</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51015</v>
      </c>
      <c r="D273" s="2" t="str">
        <f t="shared" si="3"/>
        <v>Error?</v>
      </c>
    </row>
    <row r="274" spans="1:4" x14ac:dyDescent="0.2">
      <c r="A274" s="5">
        <v>213</v>
      </c>
      <c r="B274" s="138">
        <f>'Assets-Liab 5-6'!M17</f>
        <v>586713</v>
      </c>
      <c r="D274" s="2" t="str">
        <f t="shared" si="3"/>
        <v>Error?</v>
      </c>
    </row>
    <row r="275" spans="1:4" x14ac:dyDescent="0.2">
      <c r="A275" s="5">
        <v>214</v>
      </c>
      <c r="B275" s="138">
        <f>'Assets-Liab 5-6'!M18</f>
        <v>0</v>
      </c>
      <c r="D275" s="2" t="str">
        <f t="shared" si="3"/>
        <v>Error?</v>
      </c>
    </row>
    <row r="276" spans="1:4" x14ac:dyDescent="0.2">
      <c r="A276" s="5">
        <v>215</v>
      </c>
      <c r="B276" s="138">
        <f>'Assets-Liab 5-6'!M19</f>
        <v>458633</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1096361</v>
      </c>
      <c r="C279" s="2" t="s">
        <v>573</v>
      </c>
      <c r="D279" s="2" t="str">
        <f t="shared" si="3"/>
        <v>Error?</v>
      </c>
    </row>
    <row r="280" spans="1:4" x14ac:dyDescent="0.2">
      <c r="A280" s="5">
        <v>219</v>
      </c>
      <c r="B280" s="138">
        <f>'Assets-Liab 5-6'!M40</f>
        <v>1096361</v>
      </c>
      <c r="D280" s="2" t="str">
        <f t="shared" si="3"/>
        <v>Error?</v>
      </c>
    </row>
    <row r="281" spans="1:4" x14ac:dyDescent="0.2">
      <c r="A281" s="5">
        <v>220</v>
      </c>
      <c r="B281" s="138">
        <f>'Assets-Liab 5-6'!M41</f>
        <v>1096361</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1288267</v>
      </c>
      <c r="C720" s="2" t="s">
        <v>573</v>
      </c>
      <c r="D720" s="2" t="str">
        <f t="shared" si="10"/>
        <v>Error?</v>
      </c>
    </row>
    <row r="721" spans="1:4" x14ac:dyDescent="0.2">
      <c r="A721" s="5">
        <v>660</v>
      </c>
      <c r="B721" s="138">
        <f>'Expenditures 15-22'!C36</f>
        <v>690173</v>
      </c>
      <c r="D721" s="2" t="str">
        <f t="shared" si="10"/>
        <v>Error?</v>
      </c>
    </row>
    <row r="722" spans="1:4" x14ac:dyDescent="0.2">
      <c r="A722" s="5">
        <v>661</v>
      </c>
      <c r="B722" s="138">
        <f>'Expenditures 15-22'!C37</f>
        <v>0</v>
      </c>
      <c r="D722" s="2" t="str">
        <f t="shared" si="10"/>
        <v>Error?</v>
      </c>
    </row>
    <row r="723" spans="1:4" x14ac:dyDescent="0.2">
      <c r="A723" s="5">
        <v>662</v>
      </c>
      <c r="B723" s="138">
        <f>'Expenditures 15-22'!C38</f>
        <v>246593</v>
      </c>
      <c r="D723" s="2" t="str">
        <f t="shared" si="10"/>
        <v>Error?</v>
      </c>
    </row>
    <row r="724" spans="1:4" x14ac:dyDescent="0.2">
      <c r="A724" s="5">
        <v>663</v>
      </c>
      <c r="B724" s="138">
        <f>'Expenditures 15-22'!C39</f>
        <v>461295</v>
      </c>
      <c r="D724" s="2" t="str">
        <f t="shared" si="10"/>
        <v>Error?</v>
      </c>
    </row>
    <row r="725" spans="1:4" x14ac:dyDescent="0.2">
      <c r="A725" s="5">
        <v>664</v>
      </c>
      <c r="B725" s="138">
        <f>'Expenditures 15-22'!C40</f>
        <v>73204</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1471265</v>
      </c>
      <c r="C727" s="2" t="s">
        <v>573</v>
      </c>
      <c r="D727" s="2" t="str">
        <f t="shared" si="10"/>
        <v>Error?</v>
      </c>
    </row>
    <row r="728" spans="1:4" x14ac:dyDescent="0.2">
      <c r="A728" s="5">
        <v>667</v>
      </c>
      <c r="B728" s="138">
        <f>'Expenditures 15-22'!C44</f>
        <v>27951</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27951</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456712</v>
      </c>
      <c r="D733" s="2" t="str">
        <f t="shared" si="10"/>
        <v>Error?</v>
      </c>
    </row>
    <row r="734" spans="1:4" x14ac:dyDescent="0.2">
      <c r="A734" s="5">
        <v>673</v>
      </c>
      <c r="B734" s="138">
        <f>'Expenditures 15-22'!C53</f>
        <v>456712</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57783</v>
      </c>
      <c r="D739" s="2" t="str">
        <f t="shared" si="10"/>
        <v>Error?</v>
      </c>
    </row>
    <row r="740" spans="1:4" x14ac:dyDescent="0.2">
      <c r="A740" s="5">
        <v>679</v>
      </c>
      <c r="B740" s="138">
        <f>'Expenditures 15-22'!C61</f>
        <v>50240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38342</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146365</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2102293</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3390560</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430912</v>
      </c>
      <c r="C778" s="2" t="s">
        <v>573</v>
      </c>
      <c r="D778" s="2" t="str">
        <f t="shared" si="11"/>
        <v>Error?</v>
      </c>
    </row>
    <row r="779" spans="1:4" x14ac:dyDescent="0.2">
      <c r="A779" s="5">
        <v>718</v>
      </c>
      <c r="B779" s="138">
        <f>'Expenditures 15-22'!D36</f>
        <v>193825</v>
      </c>
      <c r="D779" s="2" t="str">
        <f t="shared" si="11"/>
        <v>Error?</v>
      </c>
    </row>
    <row r="780" spans="1:4" x14ac:dyDescent="0.2">
      <c r="A780" s="5">
        <v>719</v>
      </c>
      <c r="B780" s="138">
        <f>'Expenditures 15-22'!D37</f>
        <v>0</v>
      </c>
      <c r="D780" s="2" t="str">
        <f t="shared" si="11"/>
        <v>Error?</v>
      </c>
    </row>
    <row r="781" spans="1:4" x14ac:dyDescent="0.2">
      <c r="A781" s="5">
        <v>720</v>
      </c>
      <c r="B781" s="138">
        <f>'Expenditures 15-22'!D38</f>
        <v>73040</v>
      </c>
      <c r="D781" s="2" t="str">
        <f t="shared" si="11"/>
        <v>Error?</v>
      </c>
    </row>
    <row r="782" spans="1:4" x14ac:dyDescent="0.2">
      <c r="A782" s="5">
        <v>721</v>
      </c>
      <c r="B782" s="138">
        <f>'Expenditures 15-22'!D39</f>
        <v>131034</v>
      </c>
      <c r="D782" s="2" t="str">
        <f t="shared" si="11"/>
        <v>Error?</v>
      </c>
    </row>
    <row r="783" spans="1:4" x14ac:dyDescent="0.2">
      <c r="A783" s="5">
        <v>722</v>
      </c>
      <c r="B783" s="138">
        <f>'Expenditures 15-22'!D40</f>
        <v>25317</v>
      </c>
      <c r="D783" s="2" t="str">
        <f t="shared" si="11"/>
        <v>Error?</v>
      </c>
    </row>
    <row r="784" spans="1:4" x14ac:dyDescent="0.2">
      <c r="A784" s="5">
        <v>723</v>
      </c>
      <c r="B784" s="138">
        <f>'Expenditures 15-22'!D41</f>
        <v>0</v>
      </c>
      <c r="D784" s="2" t="str">
        <f t="shared" si="11"/>
        <v>Error?</v>
      </c>
    </row>
    <row r="785" spans="1:4" x14ac:dyDescent="0.2">
      <c r="A785" s="5">
        <v>724</v>
      </c>
      <c r="B785" s="138">
        <f>'Expenditures 15-22'!D42</f>
        <v>423216</v>
      </c>
      <c r="C785" s="2" t="s">
        <v>573</v>
      </c>
      <c r="D785" s="2" t="str">
        <f t="shared" si="11"/>
        <v>Error?</v>
      </c>
    </row>
    <row r="786" spans="1:4" x14ac:dyDescent="0.2">
      <c r="A786" s="5">
        <v>725</v>
      </c>
      <c r="B786" s="138">
        <f>'Expenditures 15-22'!D44</f>
        <v>14001</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14001</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120915</v>
      </c>
      <c r="D791" s="2" t="str">
        <f t="shared" si="11"/>
        <v>Error?</v>
      </c>
    </row>
    <row r="792" spans="1:4" x14ac:dyDescent="0.2">
      <c r="A792" s="5">
        <v>731</v>
      </c>
      <c r="B792" s="138">
        <f>'Expenditures 15-22'!D53</f>
        <v>120915</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15869</v>
      </c>
      <c r="D797" s="2" t="str">
        <f t="shared" si="11"/>
        <v>Error?</v>
      </c>
    </row>
    <row r="798" spans="1:4" x14ac:dyDescent="0.2">
      <c r="A798" s="5">
        <v>737</v>
      </c>
      <c r="B798" s="138">
        <f>'Expenditures 15-22'!D61</f>
        <v>16589</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16917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49375</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607507</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1038419</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19120</v>
      </c>
      <c r="C836" s="2" t="s">
        <v>573</v>
      </c>
      <c r="D836" s="2" t="str">
        <f t="shared" si="12"/>
        <v>Error?</v>
      </c>
    </row>
    <row r="837" spans="1:4" x14ac:dyDescent="0.2">
      <c r="A837" s="5">
        <v>776</v>
      </c>
      <c r="B837" s="138">
        <f>'Expenditures 15-22'!E36</f>
        <v>4003</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10358</v>
      </c>
      <c r="D839" s="2" t="str">
        <f t="shared" si="12"/>
        <v>Error?</v>
      </c>
    </row>
    <row r="840" spans="1:4" x14ac:dyDescent="0.2">
      <c r="A840" s="5">
        <v>779</v>
      </c>
      <c r="B840" s="138">
        <f>'Expenditures 15-22'!E39</f>
        <v>5734</v>
      </c>
      <c r="D840" s="2" t="str">
        <f t="shared" si="12"/>
        <v>Error?</v>
      </c>
    </row>
    <row r="841" spans="1:4" x14ac:dyDescent="0.2">
      <c r="A841" s="5">
        <v>780</v>
      </c>
      <c r="B841" s="138">
        <f>'Expenditures 15-22'!E40</f>
        <v>5909</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26004</v>
      </c>
      <c r="C843" s="2" t="s">
        <v>573</v>
      </c>
      <c r="D843" s="2" t="str">
        <f t="shared" si="12"/>
        <v>Error?</v>
      </c>
    </row>
    <row r="844" spans="1:4" x14ac:dyDescent="0.2">
      <c r="A844" s="5">
        <v>783</v>
      </c>
      <c r="B844" s="138">
        <f>'Expenditures 15-22'!E44</f>
        <v>42298</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42298</v>
      </c>
      <c r="C847" s="2" t="s">
        <v>573</v>
      </c>
      <c r="D847" s="2" t="str">
        <f t="shared" si="12"/>
        <v>Error?</v>
      </c>
    </row>
    <row r="848" spans="1:4" x14ac:dyDescent="0.2">
      <c r="A848" s="5">
        <v>787</v>
      </c>
      <c r="B848" s="138">
        <f>'Expenditures 15-22'!E49</f>
        <v>0</v>
      </c>
      <c r="D848" s="2" t="str">
        <f t="shared" si="12"/>
        <v>Error?</v>
      </c>
    </row>
    <row r="849" spans="1:4" x14ac:dyDescent="0.2">
      <c r="A849" s="5">
        <v>788</v>
      </c>
      <c r="B849" s="138">
        <f>'Expenditures 15-22'!E50</f>
        <v>186924</v>
      </c>
      <c r="D849" s="2" t="str">
        <f t="shared" si="12"/>
        <v>Error?</v>
      </c>
    </row>
    <row r="850" spans="1:4" x14ac:dyDescent="0.2">
      <c r="A850" s="5">
        <v>789</v>
      </c>
      <c r="B850" s="138">
        <f>'Expenditures 15-22'!E53</f>
        <v>186924</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228483</v>
      </c>
      <c r="D856" s="2" t="str">
        <f t="shared" si="12"/>
        <v>Error?</v>
      </c>
    </row>
    <row r="857" spans="1:4" x14ac:dyDescent="0.2">
      <c r="A857" s="5">
        <v>796</v>
      </c>
      <c r="B857" s="138">
        <f>'Expenditures 15-22'!E62</f>
        <v>13813</v>
      </c>
      <c r="D857" s="2" t="str">
        <f t="shared" si="12"/>
        <v>Error?</v>
      </c>
    </row>
    <row r="858" spans="1:4" x14ac:dyDescent="0.2">
      <c r="A858" s="5">
        <v>797</v>
      </c>
      <c r="B858" s="138">
        <f>'Expenditures 15-22'!E63</f>
        <v>8513</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250809</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13695</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13695</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519730</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589253</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12011</v>
      </c>
      <c r="C894" s="2" t="s">
        <v>573</v>
      </c>
      <c r="D894" s="2" t="str">
        <f t="shared" si="12"/>
        <v>Error?</v>
      </c>
    </row>
    <row r="895" spans="1:4" x14ac:dyDescent="0.2">
      <c r="A895" s="5">
        <v>834</v>
      </c>
      <c r="B895" s="138">
        <f>'Expenditures 15-22'!F36</f>
        <v>4420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3523</v>
      </c>
      <c r="D897" s="2" t="str">
        <f t="shared" si="13"/>
        <v>Error?</v>
      </c>
    </row>
    <row r="898" spans="1:4" x14ac:dyDescent="0.2">
      <c r="A898" s="5">
        <v>837</v>
      </c>
      <c r="B898" s="138">
        <f>'Expenditures 15-22'!F39</f>
        <v>8270</v>
      </c>
      <c r="D898" s="2" t="str">
        <f t="shared" si="13"/>
        <v>Error?</v>
      </c>
    </row>
    <row r="899" spans="1:4" x14ac:dyDescent="0.2">
      <c r="A899" s="5">
        <v>838</v>
      </c>
      <c r="B899" s="138">
        <f>'Expenditures 15-22'!F40</f>
        <v>1686</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17899</v>
      </c>
      <c r="C901" s="2" t="s">
        <v>573</v>
      </c>
      <c r="D901" s="2" t="str">
        <f t="shared" si="13"/>
        <v>Error?</v>
      </c>
    </row>
    <row r="902" spans="1:4" x14ac:dyDescent="0.2">
      <c r="A902" s="5">
        <v>841</v>
      </c>
      <c r="B902" s="138">
        <f>'Expenditures 15-22'!F44</f>
        <v>4545</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4545</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68760</v>
      </c>
      <c r="D907" s="2" t="str">
        <f t="shared" si="13"/>
        <v>Error?</v>
      </c>
    </row>
    <row r="908" spans="1:4" x14ac:dyDescent="0.2">
      <c r="A908" s="5">
        <v>847</v>
      </c>
      <c r="B908" s="138">
        <f>'Expenditures 15-22'!F53</f>
        <v>68760</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33420</v>
      </c>
      <c r="D914" s="2" t="str">
        <f t="shared" si="13"/>
        <v>Error?</v>
      </c>
    </row>
    <row r="915" spans="1:4" x14ac:dyDescent="0.2">
      <c r="A915" s="5">
        <v>854</v>
      </c>
      <c r="B915" s="138">
        <f>'Expenditures 15-22'!F62</f>
        <v>1911</v>
      </c>
      <c r="D915" s="2" t="str">
        <f t="shared" si="13"/>
        <v>Error?</v>
      </c>
    </row>
    <row r="916" spans="1:4" x14ac:dyDescent="0.2">
      <c r="A916" s="5">
        <v>855</v>
      </c>
      <c r="B916" s="138">
        <f>'Expenditures 15-22'!F63</f>
        <v>34586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69917</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161121</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173132</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7423</v>
      </c>
      <c r="D965" s="2" t="str">
        <f t="shared" si="14"/>
        <v>Error?</v>
      </c>
    </row>
    <row r="966" spans="1:4" x14ac:dyDescent="0.2">
      <c r="A966" s="5">
        <v>905</v>
      </c>
      <c r="B966" s="138">
        <f>'Expenditures 15-22'!G53</f>
        <v>7423</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25865</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25865</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33288</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33288</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1478359</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1478359</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1750310</v>
      </c>
      <c r="C1108" s="2" t="s">
        <v>573</v>
      </c>
      <c r="D1108" s="2" t="str">
        <f t="shared" si="16"/>
        <v>Error?</v>
      </c>
    </row>
    <row r="1109" spans="1:4" x14ac:dyDescent="0.2">
      <c r="A1109" s="5">
        <v>1048</v>
      </c>
      <c r="B1109" s="138">
        <f>'Expenditures 15-22'!K36</f>
        <v>892421</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333514</v>
      </c>
      <c r="C1111" s="2" t="s">
        <v>573</v>
      </c>
      <c r="D1111" s="2" t="str">
        <f t="shared" si="16"/>
        <v>Error?</v>
      </c>
    </row>
    <row r="1112" spans="1:4" x14ac:dyDescent="0.2">
      <c r="A1112" s="5">
        <v>1051</v>
      </c>
      <c r="B1112" s="138">
        <f>'Expenditures 15-22'!K39</f>
        <v>606333</v>
      </c>
      <c r="C1112" s="2" t="s">
        <v>573</v>
      </c>
      <c r="D1112" s="2" t="str">
        <f t="shared" si="16"/>
        <v>Error?</v>
      </c>
    </row>
    <row r="1113" spans="1:4" x14ac:dyDescent="0.2">
      <c r="A1113" s="5">
        <v>1052</v>
      </c>
      <c r="B1113" s="138">
        <f>'Expenditures 15-22'!K40</f>
        <v>110908</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1943176</v>
      </c>
      <c r="C1115" s="2" t="s">
        <v>573</v>
      </c>
      <c r="D1115" s="2" t="str">
        <f t="shared" si="16"/>
        <v>Error?</v>
      </c>
    </row>
    <row r="1116" spans="1:4" x14ac:dyDescent="0.2">
      <c r="A1116" s="5">
        <v>1055</v>
      </c>
      <c r="B1116" s="138">
        <f>'Expenditures 15-22'!K44</f>
        <v>88795</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88795</v>
      </c>
      <c r="C1119" s="2" t="s">
        <v>573</v>
      </c>
      <c r="D1119" s="2" t="str">
        <f t="shared" si="16"/>
        <v>Error?</v>
      </c>
    </row>
    <row r="1120" spans="1:4" x14ac:dyDescent="0.2">
      <c r="A1120" s="5">
        <v>1059</v>
      </c>
      <c r="B1120" s="138">
        <f>'Expenditures 15-22'!K49</f>
        <v>0</v>
      </c>
      <c r="C1120" s="2" t="s">
        <v>573</v>
      </c>
      <c r="D1120" s="2" t="str">
        <f t="shared" si="16"/>
        <v>Error?</v>
      </c>
    </row>
    <row r="1121" spans="1:4" x14ac:dyDescent="0.2">
      <c r="A1121" s="5">
        <v>1060</v>
      </c>
      <c r="B1121" s="138">
        <f>'Expenditures 15-22'!K50</f>
        <v>840734</v>
      </c>
      <c r="C1121" s="2" t="s">
        <v>573</v>
      </c>
      <c r="D1121" s="2" t="str">
        <f t="shared" si="16"/>
        <v>Error?</v>
      </c>
    </row>
    <row r="1122" spans="1:4" x14ac:dyDescent="0.2">
      <c r="A1122" s="5">
        <v>1061</v>
      </c>
      <c r="B1122" s="138">
        <f>'Expenditures 15-22'!K53</f>
        <v>840734</v>
      </c>
      <c r="C1122" s="2" t="s">
        <v>573</v>
      </c>
      <c r="D1122" s="2" t="str">
        <f t="shared" si="16"/>
        <v>Error?</v>
      </c>
    </row>
    <row r="1123" spans="1:4" x14ac:dyDescent="0.2">
      <c r="A1123" s="5">
        <v>1062</v>
      </c>
      <c r="B1123" s="138">
        <f>'Expenditures 15-22'!K55</f>
        <v>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73652</v>
      </c>
      <c r="C1127" s="2" t="s">
        <v>573</v>
      </c>
      <c r="D1127" s="2" t="str">
        <f t="shared" si="16"/>
        <v>Error?</v>
      </c>
    </row>
    <row r="1128" spans="1:4" x14ac:dyDescent="0.2">
      <c r="A1128" s="5">
        <v>1067</v>
      </c>
      <c r="B1128" s="138">
        <f>'Expenditures 15-22'!K61</f>
        <v>328732</v>
      </c>
      <c r="C1128" s="2" t="s">
        <v>573</v>
      </c>
      <c r="D1128" s="2" t="str">
        <f t="shared" si="16"/>
        <v>Error?</v>
      </c>
    </row>
    <row r="1129" spans="1:4" x14ac:dyDescent="0.2">
      <c r="A1129" s="5">
        <v>1068</v>
      </c>
      <c r="B1129" s="138">
        <f>'Expenditures 15-22'!K62</f>
        <v>41589</v>
      </c>
      <c r="C1129" s="2" t="s">
        <v>573</v>
      </c>
      <c r="D1129" s="2" t="str">
        <f t="shared" si="16"/>
        <v>Error?</v>
      </c>
    </row>
    <row r="1130" spans="1:4" x14ac:dyDescent="0.2">
      <c r="A1130" s="5">
        <v>1069</v>
      </c>
      <c r="B1130" s="138">
        <f>'Expenditures 15-22'!K63</f>
        <v>98358</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542331</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13695</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13695</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3428731</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1528762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6707803</v>
      </c>
      <c r="C1152" s="2" t="s">
        <v>573</v>
      </c>
      <c r="D1152" s="2" t="str">
        <f t="shared" si="17"/>
        <v>Error?</v>
      </c>
    </row>
    <row r="1153" spans="1:4" x14ac:dyDescent="0.2">
      <c r="A1153" s="5">
        <v>1092</v>
      </c>
      <c r="B1153" s="138">
        <f>'Expenditures 15-22'!K115</f>
        <v>-122378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573</v>
      </c>
      <c r="D1241" s="2" t="str">
        <f t="shared" si="18"/>
        <v>Error?</v>
      </c>
    </row>
    <row r="1242" spans="1:4" x14ac:dyDescent="0.2">
      <c r="A1242" s="5">
        <v>1181</v>
      </c>
      <c r="B1242" s="138">
        <f>'Expenditures 15-22'!E151</f>
        <v>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573</v>
      </c>
      <c r="D1249" s="2" t="str">
        <f t="shared" si="18"/>
        <v>Error?</v>
      </c>
    </row>
    <row r="1250" spans="1:4" x14ac:dyDescent="0.2">
      <c r="A1250" s="5">
        <v>1189</v>
      </c>
      <c r="B1250" s="138">
        <f>'Expenditures 15-22'!F151</f>
        <v>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0</v>
      </c>
      <c r="C1288" s="2" t="s">
        <v>573</v>
      </c>
      <c r="D1288" s="2" t="str">
        <f t="shared" si="19"/>
        <v>Error?</v>
      </c>
    </row>
    <row r="1289" spans="1:4" x14ac:dyDescent="0.2">
      <c r="A1289" s="5">
        <v>1228</v>
      </c>
      <c r="B1289" s="138">
        <f>'Expenditures 15-22'!K152</f>
        <v>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2492211</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2369833</v>
      </c>
      <c r="C1630" s="2" t="s">
        <v>573</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51015</v>
      </c>
      <c r="D2008" s="2" t="str">
        <f t="shared" si="30"/>
        <v>Error?</v>
      </c>
    </row>
    <row r="2009" spans="1:4" x14ac:dyDescent="0.2">
      <c r="A2009" s="5">
        <v>1948</v>
      </c>
      <c r="B2009" s="138">
        <f>'Cap Outlay Deprec 26'!C8</f>
        <v>742128</v>
      </c>
      <c r="D2009" s="2" t="str">
        <f t="shared" si="30"/>
        <v>Error?</v>
      </c>
    </row>
    <row r="2010" spans="1:4" x14ac:dyDescent="0.2">
      <c r="A2010" s="5">
        <v>1949</v>
      </c>
      <c r="B2010" s="138">
        <f>'Cap Outlay Deprec 26'!C10</f>
        <v>41198</v>
      </c>
      <c r="D2010" s="2" t="str">
        <f t="shared" si="30"/>
        <v>Error?</v>
      </c>
    </row>
    <row r="2011" spans="1:4" x14ac:dyDescent="0.2">
      <c r="A2011" s="5">
        <v>1950</v>
      </c>
      <c r="B2011" s="138">
        <f>'Cap Outlay Deprec 26'!C12</f>
        <v>566291</v>
      </c>
      <c r="D2011" s="2" t="str">
        <f t="shared" si="30"/>
        <v>Error?</v>
      </c>
    </row>
    <row r="2012" spans="1:4" x14ac:dyDescent="0.2">
      <c r="A2012" s="5">
        <v>1951</v>
      </c>
      <c r="B2012" s="138">
        <f>'Cap Outlay Deprec 26'!C13</f>
        <v>24281</v>
      </c>
      <c r="D2012" s="2" t="str">
        <f t="shared" si="30"/>
        <v>Error?</v>
      </c>
    </row>
    <row r="2013" spans="1:4" x14ac:dyDescent="0.2">
      <c r="A2013" s="5">
        <v>1952</v>
      </c>
      <c r="B2013" s="138">
        <f>'Cap Outlay Deprec 26'!C16</f>
        <v>1436441</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25865</v>
      </c>
      <c r="D2018" s="2" t="str">
        <f t="shared" si="30"/>
        <v>Error?</v>
      </c>
    </row>
    <row r="2019" spans="1:4" x14ac:dyDescent="0.2">
      <c r="A2019" s="5">
        <v>1958</v>
      </c>
      <c r="B2019" s="138">
        <f>'Cap Outlay Deprec 26'!D16</f>
        <v>33288</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155415</v>
      </c>
      <c r="D2021" s="2" t="str">
        <f t="shared" si="30"/>
        <v>Error?</v>
      </c>
    </row>
    <row r="2022" spans="1:4" x14ac:dyDescent="0.2">
      <c r="A2022" s="5">
        <v>1961</v>
      </c>
      <c r="B2022" s="138">
        <f>'Cap Outlay Deprec 26'!E10</f>
        <v>41198</v>
      </c>
      <c r="D2022" s="2" t="str">
        <f t="shared" si="30"/>
        <v>Error?</v>
      </c>
    </row>
    <row r="2023" spans="1:4" x14ac:dyDescent="0.2">
      <c r="A2023" s="5">
        <v>1962</v>
      </c>
      <c r="B2023" s="138">
        <f>'Cap Outlay Deprec 26'!E12</f>
        <v>176755</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373368</v>
      </c>
      <c r="C2025" s="2" t="s">
        <v>573</v>
      </c>
      <c r="D2025" s="2" t="str">
        <f t="shared" si="30"/>
        <v>Error?</v>
      </c>
    </row>
    <row r="2026" spans="1:4" x14ac:dyDescent="0.2">
      <c r="A2026" s="5">
        <v>1965</v>
      </c>
      <c r="B2026" s="138">
        <f>'Cap Outlay Deprec 26'!F5</f>
        <v>51015</v>
      </c>
      <c r="C2026" s="2" t="s">
        <v>573</v>
      </c>
      <c r="D2026" s="2" t="str">
        <f t="shared" si="30"/>
        <v>Error?</v>
      </c>
    </row>
    <row r="2027" spans="1:4" x14ac:dyDescent="0.2">
      <c r="A2027" s="5">
        <v>1966</v>
      </c>
      <c r="B2027" s="138">
        <f>'Cap Outlay Deprec 26'!F8</f>
        <v>586713</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389536</v>
      </c>
      <c r="C2029" s="2" t="s">
        <v>573</v>
      </c>
      <c r="D2029" s="2" t="str">
        <f t="shared" si="30"/>
        <v>Error?</v>
      </c>
    </row>
    <row r="2030" spans="1:4" x14ac:dyDescent="0.2">
      <c r="A2030" s="5">
        <v>1969</v>
      </c>
      <c r="B2030" s="138">
        <f>'Cap Outlay Deprec 26'!F13</f>
        <v>50146</v>
      </c>
      <c r="C2030" s="2" t="s">
        <v>573</v>
      </c>
      <c r="D2030" s="2" t="str">
        <f t="shared" si="30"/>
        <v>Error?</v>
      </c>
    </row>
    <row r="2031" spans="1:4" x14ac:dyDescent="0.2">
      <c r="A2031" s="5">
        <v>1970</v>
      </c>
      <c r="B2031" s="138">
        <f>'Cap Outlay Deprec 26'!F16</f>
        <v>1096361</v>
      </c>
      <c r="C2031" s="2" t="s">
        <v>573</v>
      </c>
      <c r="D2031" s="2" t="str">
        <f t="shared" si="30"/>
        <v>Error?</v>
      </c>
    </row>
    <row r="2032" spans="1:4" x14ac:dyDescent="0.2">
      <c r="A2032" s="10">
        <v>1971</v>
      </c>
      <c r="D2032" s="2" t="str">
        <f t="shared" si="30"/>
        <v>OK</v>
      </c>
    </row>
    <row r="2033" spans="1:4" x14ac:dyDescent="0.2">
      <c r="A2033" s="5">
        <v>1972</v>
      </c>
      <c r="B2033" s="138">
        <f>'Cap Outlay Deprec 26'!H8</f>
        <v>230818</v>
      </c>
      <c r="D2033" s="2" t="str">
        <f t="shared" si="30"/>
        <v>Error?</v>
      </c>
    </row>
    <row r="2034" spans="1:4" x14ac:dyDescent="0.2">
      <c r="A2034" s="5">
        <v>1973</v>
      </c>
      <c r="B2034" s="138">
        <f>'Cap Outlay Deprec 26'!H10</f>
        <v>6180</v>
      </c>
      <c r="D2034" s="2" t="str">
        <f t="shared" si="30"/>
        <v>Error?</v>
      </c>
    </row>
    <row r="2035" spans="1:4" x14ac:dyDescent="0.2">
      <c r="A2035" s="5">
        <v>1974</v>
      </c>
      <c r="B2035" s="138">
        <f>'Cap Outlay Deprec 26'!H12</f>
        <v>473751</v>
      </c>
      <c r="D2035" s="2" t="str">
        <f t="shared" si="30"/>
        <v>Error?</v>
      </c>
    </row>
    <row r="2036" spans="1:4" x14ac:dyDescent="0.2">
      <c r="A2036" s="5">
        <v>1975</v>
      </c>
      <c r="B2036" s="138">
        <f>'Cap Outlay Deprec 26'!H13</f>
        <v>14568</v>
      </c>
      <c r="D2036" s="2" t="str">
        <f t="shared" si="30"/>
        <v>Error?</v>
      </c>
    </row>
    <row r="2037" spans="1:4" x14ac:dyDescent="0.2">
      <c r="A2037" s="5">
        <v>1976</v>
      </c>
      <c r="B2037" s="138">
        <f>'Cap Outlay Deprec 26'!H16</f>
        <v>727238</v>
      </c>
      <c r="C2037" s="2" t="s">
        <v>573</v>
      </c>
      <c r="D2037" s="2" t="str">
        <f t="shared" si="30"/>
        <v>Error?</v>
      </c>
    </row>
    <row r="2038" spans="1:4" x14ac:dyDescent="0.2">
      <c r="A2038" s="10">
        <v>1977</v>
      </c>
      <c r="D2038" s="2" t="str">
        <f t="shared" si="30"/>
        <v>OK</v>
      </c>
    </row>
    <row r="2039" spans="1:4" x14ac:dyDescent="0.2">
      <c r="A2039" s="5">
        <v>1978</v>
      </c>
      <c r="B2039" s="138">
        <f>'Cap Outlay Deprec 26'!I8</f>
        <v>16223</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24864</v>
      </c>
      <c r="D2041" s="2" t="str">
        <f t="shared" si="30"/>
        <v>Error?</v>
      </c>
    </row>
    <row r="2042" spans="1:4" x14ac:dyDescent="0.2">
      <c r="A2042" s="5">
        <v>1981</v>
      </c>
      <c r="B2042" s="138">
        <f>'Cap Outlay Deprec 26'!I13</f>
        <v>10029</v>
      </c>
      <c r="D2042" s="2" t="str">
        <f t="shared" si="30"/>
        <v>Error?</v>
      </c>
    </row>
    <row r="2043" spans="1:4" x14ac:dyDescent="0.2">
      <c r="A2043" s="5">
        <v>1982</v>
      </c>
      <c r="B2043" s="138">
        <f>'Cap Outlay Deprec 26'!I16</f>
        <v>57432</v>
      </c>
      <c r="C2043" s="2" t="s">
        <v>573</v>
      </c>
      <c r="D2043" s="2" t="str">
        <f t="shared" si="30"/>
        <v>Error?</v>
      </c>
    </row>
    <row r="2044" spans="1:4" x14ac:dyDescent="0.2">
      <c r="A2044" s="10">
        <v>1983</v>
      </c>
      <c r="D2044" s="2" t="str">
        <f t="shared" si="30"/>
        <v>OK</v>
      </c>
    </row>
    <row r="2045" spans="1:4" x14ac:dyDescent="0.2">
      <c r="A2045" s="5">
        <v>1984</v>
      </c>
      <c r="B2045" s="138">
        <f>'Cap Outlay Deprec 26'!J8</f>
        <v>14994</v>
      </c>
      <c r="D2045" s="2" t="str">
        <f t="shared" si="30"/>
        <v>Error?</v>
      </c>
    </row>
    <row r="2046" spans="1:4" x14ac:dyDescent="0.2">
      <c r="A2046" s="5">
        <v>1985</v>
      </c>
      <c r="B2046" s="138">
        <f>'Cap Outlay Deprec 26'!J10</f>
        <v>6180</v>
      </c>
      <c r="D2046" s="2" t="str">
        <f t="shared" si="30"/>
        <v>Error?</v>
      </c>
    </row>
    <row r="2047" spans="1:4" x14ac:dyDescent="0.2">
      <c r="A2047" s="5">
        <v>1986</v>
      </c>
      <c r="B2047" s="138">
        <f>'Cap Outlay Deprec 26'!J12</f>
        <v>176755</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197929</v>
      </c>
      <c r="C2049" s="2" t="s">
        <v>573</v>
      </c>
      <c r="D2049" s="2" t="str">
        <f t="shared" si="31"/>
        <v>Error?</v>
      </c>
    </row>
    <row r="2050" spans="1:4" x14ac:dyDescent="0.2">
      <c r="A2050" s="10">
        <v>1989</v>
      </c>
      <c r="D2050" s="2" t="str">
        <f t="shared" si="31"/>
        <v>OK</v>
      </c>
    </row>
    <row r="2051" spans="1:4" x14ac:dyDescent="0.2">
      <c r="A2051" s="5">
        <v>1990</v>
      </c>
      <c r="B2051" s="138">
        <f>'Cap Outlay Deprec 26'!K8</f>
        <v>232047</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321860</v>
      </c>
      <c r="C2053" s="2" t="s">
        <v>573</v>
      </c>
      <c r="D2053" s="2" t="str">
        <f t="shared" si="31"/>
        <v>Error?</v>
      </c>
    </row>
    <row r="2054" spans="1:4" x14ac:dyDescent="0.2">
      <c r="A2054" s="5">
        <v>1993</v>
      </c>
      <c r="B2054" s="138">
        <f>'Cap Outlay Deprec 26'!K13</f>
        <v>24597</v>
      </c>
      <c r="C2054" s="2" t="s">
        <v>573</v>
      </c>
      <c r="D2054" s="2" t="str">
        <f t="shared" si="31"/>
        <v>Error?</v>
      </c>
    </row>
    <row r="2055" spans="1:4" x14ac:dyDescent="0.2">
      <c r="A2055" s="5">
        <v>1994</v>
      </c>
      <c r="B2055" s="138">
        <f>'Cap Outlay Deprec 26'!K16</f>
        <v>586741</v>
      </c>
      <c r="C2055" s="2" t="s">
        <v>573</v>
      </c>
      <c r="D2055" s="2" t="str">
        <f t="shared" si="31"/>
        <v>Error?</v>
      </c>
    </row>
    <row r="2056" spans="1:4" x14ac:dyDescent="0.2">
      <c r="A2056" s="5">
        <v>1995</v>
      </c>
      <c r="B2056" s="138">
        <f>'Cap Outlay Deprec 26'!L5</f>
        <v>51015</v>
      </c>
      <c r="C2056" s="2" t="s">
        <v>573</v>
      </c>
      <c r="D2056" s="2" t="str">
        <f t="shared" si="31"/>
        <v>Error?</v>
      </c>
    </row>
    <row r="2057" spans="1:4" x14ac:dyDescent="0.2">
      <c r="A2057" s="5">
        <v>1996</v>
      </c>
      <c r="B2057" s="138">
        <f>'Cap Outlay Deprec 26'!L8</f>
        <v>354666</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67676</v>
      </c>
      <c r="C2059" s="2" t="s">
        <v>573</v>
      </c>
      <c r="D2059" s="2" t="str">
        <f t="shared" si="31"/>
        <v>Error?</v>
      </c>
    </row>
    <row r="2060" spans="1:4" x14ac:dyDescent="0.2">
      <c r="A2060" s="5">
        <v>1999</v>
      </c>
      <c r="B2060" s="138">
        <f>'Cap Outlay Deprec 26'!L13</f>
        <v>25549</v>
      </c>
      <c r="C2060" s="2" t="s">
        <v>573</v>
      </c>
      <c r="D2060" s="2" t="str">
        <f t="shared" si="31"/>
        <v>Error?</v>
      </c>
    </row>
    <row r="2061" spans="1:4" x14ac:dyDescent="0.2">
      <c r="A2061" s="5">
        <v>2000</v>
      </c>
      <c r="B2061" s="138">
        <f>'Cap Outlay Deprec 26'!L16</f>
        <v>509620</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1478359</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1528762</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3762969</v>
      </c>
      <c r="C2551" s="2" t="s">
        <v>573</v>
      </c>
      <c r="D2551" s="2" t="str">
        <f t="shared" si="38"/>
        <v>Error?</v>
      </c>
    </row>
    <row r="2552" spans="1:4" x14ac:dyDescent="0.2">
      <c r="A2552" s="10">
        <v>2491</v>
      </c>
      <c r="D2552" s="2" t="str">
        <f t="shared" si="38"/>
        <v>OK</v>
      </c>
    </row>
    <row r="2553" spans="1:4" x14ac:dyDescent="0.2">
      <c r="A2553" s="5">
        <v>2492</v>
      </c>
      <c r="B2553" s="138">
        <f>'Acct Summary 7-8'!C6</f>
        <v>408573</v>
      </c>
      <c r="C2553" s="2" t="s">
        <v>573</v>
      </c>
      <c r="D2553" s="2" t="str">
        <f t="shared" si="38"/>
        <v>Error?</v>
      </c>
    </row>
    <row r="2554" spans="1:4" x14ac:dyDescent="0.2">
      <c r="A2554" s="5">
        <v>2493</v>
      </c>
      <c r="B2554" s="138">
        <f>'Acct Summary 7-8'!C7</f>
        <v>2413883</v>
      </c>
      <c r="C2554" s="2" t="s">
        <v>573</v>
      </c>
      <c r="D2554" s="2" t="str">
        <f t="shared" si="38"/>
        <v>Error?</v>
      </c>
    </row>
    <row r="2555" spans="1:4" x14ac:dyDescent="0.2">
      <c r="A2555" s="5">
        <v>2494</v>
      </c>
      <c r="B2555" s="138">
        <f>'Acct Summary 7-8'!C8</f>
        <v>6585425</v>
      </c>
      <c r="C2555" s="2" t="s">
        <v>573</v>
      </c>
      <c r="D2555" s="2" t="str">
        <f t="shared" si="38"/>
        <v>Error?</v>
      </c>
    </row>
    <row r="2556" spans="1:4" x14ac:dyDescent="0.2">
      <c r="A2556" s="5">
        <v>2495</v>
      </c>
      <c r="B2556" s="138">
        <f>'Acct Summary 7-8'!C12</f>
        <v>1750310</v>
      </c>
      <c r="C2556" s="2" t="s">
        <v>573</v>
      </c>
      <c r="D2556" s="2" t="str">
        <f t="shared" si="38"/>
        <v>Error?</v>
      </c>
    </row>
    <row r="2557" spans="1:4" x14ac:dyDescent="0.2">
      <c r="A2557" s="5">
        <v>2496</v>
      </c>
      <c r="B2557" s="138">
        <f>'Acct Summary 7-8'!C13</f>
        <v>3428731</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1528762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6707803</v>
      </c>
      <c r="C2561" s="2" t="s">
        <v>573</v>
      </c>
      <c r="D2561" s="2" t="str">
        <f t="shared" si="39"/>
        <v>Error?</v>
      </c>
    </row>
    <row r="2562" spans="1:4" x14ac:dyDescent="0.2">
      <c r="A2562" s="5">
        <v>2501</v>
      </c>
      <c r="B2562" s="138">
        <f>'Acct Summary 7-8'!C20</f>
        <v>-122378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0</v>
      </c>
      <c r="C2568" s="2" t="s">
        <v>573</v>
      </c>
      <c r="D2568" s="2" t="str">
        <f t="shared" si="39"/>
        <v>Error?</v>
      </c>
    </row>
    <row r="2569" spans="1:4" x14ac:dyDescent="0.2">
      <c r="A2569" s="5">
        <v>2508</v>
      </c>
      <c r="B2569" s="138">
        <f>'Acct Summary 7-8'!D13</f>
        <v>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0</v>
      </c>
      <c r="C2573" s="2" t="s">
        <v>573</v>
      </c>
      <c r="D2573" s="2" t="str">
        <f t="shared" si="39"/>
        <v>Error?</v>
      </c>
    </row>
    <row r="2574" spans="1:4" x14ac:dyDescent="0.2">
      <c r="A2574" s="5">
        <v>2513</v>
      </c>
      <c r="B2574" s="138">
        <f>'Acct Summary 7-8'!D20</f>
        <v>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50403</v>
      </c>
      <c r="C2789" s="2" t="s">
        <v>573</v>
      </c>
      <c r="D2789" s="2" t="str">
        <f t="shared" si="42"/>
        <v>Error?</v>
      </c>
    </row>
    <row r="2790" spans="1:4" x14ac:dyDescent="0.2">
      <c r="A2790" s="5">
        <v>2729</v>
      </c>
      <c r="B2790" s="138">
        <f>'Expenditures 15-22'!E102</f>
        <v>50403</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50403</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1478359</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1528762</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-122378</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1288267</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430912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19120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12011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1750310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2369833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43099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1892735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8478160</v>
      </c>
      <c r="C4122" s="2" t="s">
        <v>573</v>
      </c>
      <c r="D4122" s="2" t="str">
        <f t="shared" si="63"/>
        <v>Error?</v>
      </c>
    </row>
    <row r="4123" spans="1:4" x14ac:dyDescent="0.2">
      <c r="A4123" s="5">
        <v>4062</v>
      </c>
      <c r="B4123" s="138">
        <f>'Acct Summary 7-8'!D10</f>
        <v>0</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1892735</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8600538</v>
      </c>
      <c r="C4136" s="2" t="s">
        <v>573</v>
      </c>
      <c r="D4136" s="2" t="str">
        <f t="shared" si="63"/>
        <v>Error?</v>
      </c>
    </row>
    <row r="4137" spans="1:4" x14ac:dyDescent="0.2">
      <c r="A4137" s="5">
        <v>4076</v>
      </c>
      <c r="B4137" s="138">
        <f>'Acct Summary 7-8'!D19</f>
        <v>0</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2369833</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63449</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436268</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1591454</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17697</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1799827</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1799827</v>
      </c>
      <c r="C5087" s="2" t="s">
        <v>573</v>
      </c>
      <c r="D5087" s="2" t="str">
        <f t="shared" si="78"/>
        <v>Error?</v>
      </c>
    </row>
    <row r="5088" spans="1:4" x14ac:dyDescent="0.2">
      <c r="A5088" s="5">
        <v>5027</v>
      </c>
      <c r="B5088" s="138">
        <f>'Revenues 9-14'!C65</f>
        <v>2473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2473</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1675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1675</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1000</v>
      </c>
      <c r="D5114" s="2" t="str">
        <f t="shared" si="78"/>
        <v>Error?</v>
      </c>
    </row>
    <row r="5115" spans="1:4" x14ac:dyDescent="0.2">
      <c r="A5115" s="5">
        <v>5054</v>
      </c>
      <c r="B5115" s="138">
        <f>'Revenues 9-14'!C98</f>
        <v>353716</v>
      </c>
      <c r="D5115" s="2" t="str">
        <f t="shared" si="78"/>
        <v>Error?</v>
      </c>
    </row>
    <row r="5116" spans="1:4" x14ac:dyDescent="0.2">
      <c r="A5116" s="5">
        <v>5055</v>
      </c>
      <c r="B5116" s="138">
        <f>'Revenues 9-14'!C99</f>
        <v>8389</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4435</v>
      </c>
      <c r="D5119" s="2" t="str">
        <f t="shared" ref="D5119:D5182" si="79">IF(ISBLANK(B5119),"OK",IF(A5119-B5119=0,"OK","Error?"))</f>
        <v>Error?</v>
      </c>
    </row>
    <row r="5120" spans="1:4" x14ac:dyDescent="0.2">
      <c r="A5120" s="5">
        <v>5059</v>
      </c>
      <c r="B5120" s="138">
        <f>'Revenues 9-14'!C108</f>
        <v>1958994</v>
      </c>
      <c r="C5120" s="2" t="s">
        <v>573</v>
      </c>
      <c r="D5120" s="2" t="str">
        <f t="shared" si="79"/>
        <v>Error?</v>
      </c>
    </row>
    <row r="5121" spans="1:4" x14ac:dyDescent="0.2">
      <c r="A5121" s="5">
        <v>5060</v>
      </c>
      <c r="B5121" s="138">
        <f>'Revenues 9-14'!C109</f>
        <v>3762969</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407441</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407441</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1132</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1132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408573</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33593</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21427</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55020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55026</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1786423</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1841449</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2413883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2413883</v>
      </c>
      <c r="C5326" s="2" t="s">
        <v>573</v>
      </c>
      <c r="D5326" s="2" t="str">
        <f t="shared" si="82"/>
        <v>Error?</v>
      </c>
    </row>
    <row r="5327" spans="1:5" x14ac:dyDescent="0.2">
      <c r="A5327" s="5">
        <v>5266</v>
      </c>
      <c r="B5327" s="138">
        <f>'Revenues 9-14'!C268</f>
        <v>6585425</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0</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2945</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-122378</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-5.1639925682526996E-2</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4792</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4792</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4792</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4792</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11528</v>
      </c>
      <c r="D7615" s="2" t="str">
        <f t="shared" ref="D7615:D7678" si="124">IF(ISBLANK(B7615),"OK",IF(A7615-B7615=0,"OK","Error?"))</f>
        <v>Error?</v>
      </c>
      <c r="E7615" s="2" t="s">
        <v>19</v>
      </c>
    </row>
    <row r="7616" spans="1:5" x14ac:dyDescent="0.2">
      <c r="A7616">
        <f t="shared" si="123"/>
        <v>7555</v>
      </c>
      <c r="B7616" s="138">
        <f>'Cap Outlay Deprec 26'!D14</f>
        <v>7423</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18951</v>
      </c>
      <c r="D7618" s="2" t="str">
        <f t="shared" si="124"/>
        <v>Error?</v>
      </c>
      <c r="E7618" s="2" t="s">
        <v>19</v>
      </c>
    </row>
    <row r="7619" spans="1:5" x14ac:dyDescent="0.2">
      <c r="A7619">
        <f t="shared" si="123"/>
        <v>7558</v>
      </c>
      <c r="B7619" s="138">
        <f>'Cap Outlay Deprec 26'!H14</f>
        <v>1921</v>
      </c>
      <c r="D7619" s="2" t="str">
        <f t="shared" si="124"/>
        <v>Error?</v>
      </c>
      <c r="E7619" s="2" t="s">
        <v>19</v>
      </c>
    </row>
    <row r="7620" spans="1:5" x14ac:dyDescent="0.2">
      <c r="A7620">
        <f t="shared" si="123"/>
        <v>7559</v>
      </c>
      <c r="B7620" s="138">
        <f>'Cap Outlay Deprec 26'!I14</f>
        <v>6316</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8237</v>
      </c>
      <c r="D7622" s="2" t="str">
        <f t="shared" si="124"/>
        <v>Error?</v>
      </c>
      <c r="E7622" s="2" t="s">
        <v>19</v>
      </c>
    </row>
    <row r="7623" spans="1:5" x14ac:dyDescent="0.2">
      <c r="A7623">
        <f t="shared" si="123"/>
        <v>7562</v>
      </c>
      <c r="B7623" s="138">
        <f>'Cap Outlay Deprec 26'!L14</f>
        <v>10714</v>
      </c>
      <c r="D7623" s="2" t="str">
        <f t="shared" si="124"/>
        <v>Error?</v>
      </c>
      <c r="E7623" s="2" t="s">
        <v>19</v>
      </c>
    </row>
    <row r="7624" spans="1:5" x14ac:dyDescent="0.2">
      <c r="A7624">
        <f t="shared" si="123"/>
        <v>7563</v>
      </c>
      <c r="B7624" s="138">
        <f>'Cap Outlay Deprec 26'!F17</f>
        <v>4792</v>
      </c>
      <c r="D7624" s="2" t="str">
        <f t="shared" si="124"/>
        <v>Error?</v>
      </c>
      <c r="E7624" s="2" t="s">
        <v>19</v>
      </c>
    </row>
    <row r="7625" spans="1:5" x14ac:dyDescent="0.2">
      <c r="A7625">
        <f t="shared" si="123"/>
        <v>7564</v>
      </c>
      <c r="B7625" s="138">
        <f>'Cap Outlay Deprec 26'!I17</f>
        <v>479.2</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57911.199999999997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1853</v>
      </c>
    </row>
    <row r="7775" spans="1:5" x14ac:dyDescent="0.2">
      <c r="A7775">
        <v>7714</v>
      </c>
      <c r="B7775" s="138">
        <f>'Expenditures 15-22'!H133</f>
        <v>0</v>
      </c>
      <c r="D7775" s="2" t="str">
        <f t="shared" si="127"/>
        <v>Error?</v>
      </c>
      <c r="E7775" s="4" t="s">
        <v>1853</v>
      </c>
    </row>
    <row r="7776" spans="1:5" x14ac:dyDescent="0.2">
      <c r="A7776">
        <v>7715</v>
      </c>
      <c r="B7776" s="138">
        <f>'Expenditures 15-22'!K133</f>
        <v>0</v>
      </c>
      <c r="D7776" s="2" t="str">
        <f t="shared" si="127"/>
        <v>Error?</v>
      </c>
      <c r="E7776" s="4" t="s">
        <v>1853</v>
      </c>
    </row>
    <row r="7777" spans="1:5" x14ac:dyDescent="0.2">
      <c r="A7777">
        <v>7716</v>
      </c>
      <c r="B7777" s="138">
        <f>'Expenditures 15-22'!H157</f>
        <v>0</v>
      </c>
      <c r="D7777" s="2" t="str">
        <f t="shared" si="127"/>
        <v>Error?</v>
      </c>
      <c r="E7777" s="4" t="s">
        <v>1853</v>
      </c>
    </row>
    <row r="7778" spans="1:5" x14ac:dyDescent="0.2">
      <c r="A7778">
        <v>7717</v>
      </c>
      <c r="B7778" s="138">
        <f>'Expenditures 15-22'!K157</f>
        <v>0</v>
      </c>
      <c r="D7778" s="2" t="str">
        <f t="shared" si="127"/>
        <v>Error?</v>
      </c>
      <c r="E7778" s="4" t="s">
        <v>1853</v>
      </c>
    </row>
    <row r="7779" spans="1:5" x14ac:dyDescent="0.2">
      <c r="A7779">
        <v>7718</v>
      </c>
      <c r="B7779" s="138">
        <f>'Expenditures 15-22'!H158</f>
        <v>0</v>
      </c>
      <c r="D7779" s="2" t="str">
        <f t="shared" si="127"/>
        <v>Error?</v>
      </c>
      <c r="E7779" s="4" t="s">
        <v>1853</v>
      </c>
    </row>
    <row r="7780" spans="1:5" x14ac:dyDescent="0.2">
      <c r="A7780">
        <v>7719</v>
      </c>
      <c r="B7780" s="138">
        <f>'Expenditures 15-22'!K158</f>
        <v>0</v>
      </c>
      <c r="D7780" s="2" t="str">
        <f t="shared" si="127"/>
        <v>Error?</v>
      </c>
      <c r="E7780" s="4" t="s">
        <v>1853</v>
      </c>
    </row>
    <row r="7781" spans="1:5" x14ac:dyDescent="0.2">
      <c r="A7781">
        <v>7720</v>
      </c>
      <c r="B7781" s="138">
        <f>'Expenditures 15-22'!H159</f>
        <v>0</v>
      </c>
      <c r="D7781" s="2" t="str">
        <f t="shared" si="127"/>
        <v>Error?</v>
      </c>
      <c r="E7781" s="4" t="s">
        <v>1853</v>
      </c>
    </row>
    <row r="7782" spans="1:5" x14ac:dyDescent="0.2">
      <c r="A7782">
        <v>7721</v>
      </c>
      <c r="B7782" s="138">
        <f>'Expenditures 15-22'!K159</f>
        <v>0</v>
      </c>
      <c r="D7782" s="2" t="str">
        <f t="shared" si="127"/>
        <v>Error?</v>
      </c>
      <c r="E7782" s="4" t="s">
        <v>1853</v>
      </c>
    </row>
    <row r="7783" spans="1:5" x14ac:dyDescent="0.2">
      <c r="A7783">
        <v>7722</v>
      </c>
      <c r="B7783" s="138">
        <f>'Expenditures 15-22'!D282</f>
        <v>0</v>
      </c>
      <c r="D7783" s="2" t="str">
        <f t="shared" si="127"/>
        <v>Error?</v>
      </c>
      <c r="E7783" s="4" t="s">
        <v>1853</v>
      </c>
    </row>
    <row r="7784" spans="1:5" x14ac:dyDescent="0.2">
      <c r="A7784">
        <v>7723</v>
      </c>
      <c r="B7784" s="138">
        <f>'Expenditures 15-22'!K282</f>
        <v>0</v>
      </c>
      <c r="D7784" s="2" t="str">
        <f t="shared" si="127"/>
        <v>Error?</v>
      </c>
      <c r="E7784" s="4" t="s">
        <v>1853</v>
      </c>
    </row>
    <row r="7785" spans="1:5" x14ac:dyDescent="0.2">
      <c r="A7785">
        <v>7724</v>
      </c>
      <c r="B7785" s="138">
        <f>'Expenditures 15-22'!H332</f>
        <v>0</v>
      </c>
      <c r="D7785" s="2" t="str">
        <f t="shared" si="127"/>
        <v>Error?</v>
      </c>
      <c r="E7785" s="4" t="s">
        <v>1853</v>
      </c>
    </row>
    <row r="7786" spans="1:5" x14ac:dyDescent="0.2">
      <c r="A7786">
        <v>7725</v>
      </c>
      <c r="B7786" s="138">
        <f>'Expenditures 15-22'!K332</f>
        <v>0</v>
      </c>
      <c r="D7786" s="2" t="str">
        <f t="shared" si="127"/>
        <v>Error?</v>
      </c>
      <c r="E7786" s="4" t="s">
        <v>1853</v>
      </c>
    </row>
    <row r="7787" spans="1:5" x14ac:dyDescent="0.2">
      <c r="A7787">
        <v>7726</v>
      </c>
      <c r="B7787" s="138">
        <f>'Expenditures 15-22'!H333</f>
        <v>0</v>
      </c>
      <c r="D7787" s="2" t="str">
        <f t="shared" si="127"/>
        <v>Error?</v>
      </c>
      <c r="E7787" s="4" t="s">
        <v>1853</v>
      </c>
    </row>
    <row r="7788" spans="1:5" x14ac:dyDescent="0.2">
      <c r="A7788">
        <v>7727</v>
      </c>
      <c r="B7788" s="138">
        <f>'Expenditures 15-22'!K333</f>
        <v>0</v>
      </c>
      <c r="D7788" s="2" t="str">
        <f t="shared" si="127"/>
        <v>Error?</v>
      </c>
      <c r="E7788" s="4" t="s">
        <v>1853</v>
      </c>
    </row>
    <row r="7789" spans="1:5" x14ac:dyDescent="0.2">
      <c r="A7789">
        <v>7728</v>
      </c>
      <c r="B7789" s="138">
        <f>'Expenditures 15-22'!H334</f>
        <v>0</v>
      </c>
      <c r="D7789" s="2" t="str">
        <f t="shared" si="127"/>
        <v>Error?</v>
      </c>
      <c r="E7789" s="4" t="s">
        <v>1853</v>
      </c>
    </row>
    <row r="7790" spans="1:5" x14ac:dyDescent="0.2">
      <c r="A7790">
        <v>7729</v>
      </c>
      <c r="B7790" s="138">
        <f>'Expenditures 15-22'!K334</f>
        <v>0</v>
      </c>
      <c r="D7790" s="2" t="str">
        <f t="shared" si="127"/>
        <v>Error?</v>
      </c>
      <c r="E7790" s="4" t="s">
        <v>1853</v>
      </c>
    </row>
    <row r="7791" spans="1:5" x14ac:dyDescent="0.2">
      <c r="A7791">
        <v>7730</v>
      </c>
      <c r="B7791" s="138">
        <f>'Expenditures 15-22'!H354</f>
        <v>0</v>
      </c>
      <c r="D7791" s="2" t="str">
        <f t="shared" si="127"/>
        <v>Error?</v>
      </c>
      <c r="E7791" s="4" t="s">
        <v>1853</v>
      </c>
    </row>
    <row r="7792" spans="1:5" x14ac:dyDescent="0.2">
      <c r="A7792">
        <v>7731</v>
      </c>
      <c r="B7792" s="138">
        <f>'Expenditures 15-22'!K354</f>
        <v>0</v>
      </c>
      <c r="D7792" s="2" t="str">
        <f t="shared" si="127"/>
        <v>Error?</v>
      </c>
      <c r="E7792" s="4" t="s">
        <v>1853</v>
      </c>
    </row>
    <row r="7793" spans="1:5" x14ac:dyDescent="0.2">
      <c r="A7793">
        <v>7732</v>
      </c>
      <c r="B7793" s="138">
        <f>'Expenditures 15-22'!H355</f>
        <v>0</v>
      </c>
      <c r="D7793" s="2" t="str">
        <f t="shared" si="127"/>
        <v>Error?</v>
      </c>
      <c r="E7793" s="4" t="s">
        <v>1853</v>
      </c>
    </row>
    <row r="7794" spans="1:5" x14ac:dyDescent="0.2">
      <c r="A7794">
        <v>7733</v>
      </c>
      <c r="B7794" s="138">
        <f>'Expenditures 15-22'!K355</f>
        <v>0</v>
      </c>
      <c r="D7794" s="2" t="str">
        <f t="shared" si="127"/>
        <v>Error?</v>
      </c>
      <c r="E7794" s="4" t="s">
        <v>1853</v>
      </c>
    </row>
    <row r="7795" spans="1:5" x14ac:dyDescent="0.2">
      <c r="A7795">
        <v>7734</v>
      </c>
      <c r="B7795" s="138">
        <f>'Expenditures 15-22'!E138</f>
        <v>0</v>
      </c>
      <c r="D7795" s="2" t="str">
        <f t="shared" si="127"/>
        <v>Error?</v>
      </c>
      <c r="E7795" s="4" t="s">
        <v>1853</v>
      </c>
    </row>
    <row r="7796" spans="1:5" x14ac:dyDescent="0.2">
      <c r="A7796">
        <v>7735</v>
      </c>
      <c r="B7796" s="138">
        <f>'Acct Summary 7-8'!J15</f>
        <v>0</v>
      </c>
      <c r="D7796" s="2" t="str">
        <f t="shared" si="127"/>
        <v>Error?</v>
      </c>
      <c r="E7796" s="4" t="s">
        <v>1853</v>
      </c>
    </row>
    <row r="7797" spans="1:5" x14ac:dyDescent="0.2">
      <c r="A7797">
        <v>7736</v>
      </c>
      <c r="B7797" s="138">
        <f>'Contracts Paid in CY 29'!D141</f>
        <v>0</v>
      </c>
      <c r="D7797" s="2" t="str">
        <f t="shared" si="127"/>
        <v>Error?</v>
      </c>
      <c r="E7797" s="4" t="s">
        <v>1902</v>
      </c>
    </row>
    <row r="7798" spans="1:5" x14ac:dyDescent="0.2">
      <c r="A7798">
        <v>7737</v>
      </c>
      <c r="B7798" s="138">
        <f>'Contracts Paid in CY 29'!F141</f>
        <v>0</v>
      </c>
      <c r="D7798" s="2" t="str">
        <f t="shared" si="127"/>
        <v>Error?</v>
      </c>
      <c r="E7798" s="4" t="s">
        <v>1902</v>
      </c>
    </row>
    <row r="7799" spans="1:5" x14ac:dyDescent="0.2">
      <c r="A7799">
        <v>7738</v>
      </c>
      <c r="B7799" s="138">
        <f>'Contracts Paid in CY 29'!G141</f>
        <v>0</v>
      </c>
      <c r="D7799" s="2" t="str">
        <f t="shared" si="127"/>
        <v>Error?</v>
      </c>
      <c r="E7799" s="4" t="s">
        <v>1902</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8" sqref="A8"/>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1" t="s">
        <v>1191</v>
      </c>
      <c r="B2" s="2401"/>
      <c r="C2" s="2401"/>
      <c r="D2" s="2401"/>
      <c r="E2" s="2401"/>
      <c r="F2" s="2401"/>
      <c r="G2" s="2401"/>
      <c r="H2" s="2401"/>
      <c r="I2" s="2401"/>
      <c r="J2" s="2401"/>
      <c r="K2" s="2401"/>
      <c r="L2" s="2401"/>
    </row>
    <row r="3" spans="1:29" ht="13.5" customHeight="1" x14ac:dyDescent="0.2">
      <c r="A3" s="2387" t="s">
        <v>1190</v>
      </c>
      <c r="B3" s="2387"/>
      <c r="C3" s="2387"/>
      <c r="D3" s="2387"/>
      <c r="E3" s="2387"/>
      <c r="F3" s="2387"/>
      <c r="G3" s="2387"/>
      <c r="H3" s="2387"/>
      <c r="I3" s="2387"/>
      <c r="J3" s="2387"/>
      <c r="K3" s="2387"/>
      <c r="L3" s="2387"/>
    </row>
    <row r="4" spans="1:29" ht="13.5" customHeight="1" x14ac:dyDescent="0.2">
      <c r="A4" s="2401" t="s">
        <v>1987</v>
      </c>
      <c r="B4" s="2418"/>
      <c r="C4" s="2418"/>
      <c r="D4" s="2418"/>
      <c r="E4" s="2418"/>
      <c r="F4" s="2418"/>
      <c r="G4" s="2418"/>
      <c r="H4" s="2418"/>
      <c r="I4" s="2418"/>
      <c r="J4" s="2418"/>
      <c r="K4" s="2418"/>
      <c r="L4" s="2418"/>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1" t="str">
        <f>COVER!A17</f>
        <v>Perandoe Spec Educ District</v>
      </c>
      <c r="B7" s="2382"/>
      <c r="C7" s="2382"/>
      <c r="D7" s="2419"/>
      <c r="E7" s="2420">
        <f>COVER!A13</f>
        <v>45079132061</v>
      </c>
      <c r="F7" s="2421"/>
      <c r="G7" s="2388" t="str">
        <f>COVER!T23</f>
        <v>066-005248</v>
      </c>
      <c r="H7" s="2389"/>
      <c r="I7" s="2389"/>
      <c r="J7" s="2389"/>
      <c r="K7" s="2389"/>
      <c r="L7" s="2390"/>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1" t="s">
        <v>2079</v>
      </c>
      <c r="B9" s="2392"/>
      <c r="C9" s="2392"/>
      <c r="D9" s="2392"/>
      <c r="E9" s="2392"/>
      <c r="F9" s="2393"/>
      <c r="G9" s="2394" t="str">
        <f>COVER!T13</f>
        <v>Moore &amp; Simonin, PC</v>
      </c>
      <c r="H9" s="2395"/>
      <c r="I9" s="2395"/>
      <c r="J9" s="2395"/>
      <c r="K9" s="2395"/>
      <c r="L9" s="2396"/>
    </row>
    <row r="10" spans="1:29" ht="13.5" customHeight="1" x14ac:dyDescent="0.2">
      <c r="A10" s="2378">
        <f>COVER!A38</f>
        <v>0</v>
      </c>
      <c r="B10" s="2379"/>
      <c r="C10" s="2379"/>
      <c r="D10" s="2379"/>
      <c r="E10" s="2379"/>
      <c r="F10" s="2380"/>
      <c r="G10" s="2394" t="str">
        <f>COVER!T17</f>
        <v>3636 North Belt West</v>
      </c>
      <c r="H10" s="2407"/>
      <c r="I10" s="2407"/>
      <c r="J10" s="2407"/>
      <c r="K10" s="2407"/>
      <c r="L10" s="2408"/>
    </row>
    <row r="11" spans="1:29" ht="13.5" customHeight="1" x14ac:dyDescent="0.2">
      <c r="A11" s="1184" t="s">
        <v>1519</v>
      </c>
      <c r="B11" s="1185"/>
      <c r="C11" s="1186"/>
      <c r="D11" s="1191"/>
      <c r="E11" s="1186"/>
      <c r="F11" s="1190"/>
      <c r="G11" s="2394" t="str">
        <f>COVER!T19</f>
        <v>Belleville</v>
      </c>
      <c r="H11" s="2407"/>
      <c r="I11" s="2407"/>
      <c r="J11" s="2407"/>
      <c r="K11" s="2407"/>
      <c r="L11" s="2408"/>
    </row>
    <row r="12" spans="1:29" ht="13.5" customHeight="1" x14ac:dyDescent="0.2">
      <c r="A12" s="2412" t="s">
        <v>1518</v>
      </c>
      <c r="B12" s="2413"/>
      <c r="C12" s="2413"/>
      <c r="D12" s="2413"/>
      <c r="E12" s="2413"/>
      <c r="F12" s="2414"/>
      <c r="G12" s="2409"/>
      <c r="H12" s="2410"/>
      <c r="I12" s="2410"/>
      <c r="J12" s="2410"/>
      <c r="K12" s="2410"/>
      <c r="L12" s="2411"/>
    </row>
    <row r="13" spans="1:29" ht="13.5" customHeight="1" x14ac:dyDescent="0.2">
      <c r="A13" s="2394"/>
      <c r="B13" s="2407"/>
      <c r="C13" s="2407"/>
      <c r="D13" s="2407"/>
      <c r="E13" s="2407"/>
      <c r="F13" s="2408"/>
      <c r="G13" s="2402" t="s">
        <v>1520</v>
      </c>
      <c r="H13" s="2403"/>
      <c r="I13" s="2415" t="str">
        <f>COVER!T25</f>
        <v>mooresimonin@mrsaccountants.com</v>
      </c>
      <c r="J13" s="2416"/>
      <c r="K13" s="2416"/>
      <c r="L13" s="2417"/>
    </row>
    <row r="14" spans="1:29" ht="13.5" customHeight="1" x14ac:dyDescent="0.2">
      <c r="A14" s="2394" t="str">
        <f>COVER!A19</f>
        <v>1525 Locust St.</v>
      </c>
      <c r="B14" s="2407"/>
      <c r="C14" s="2407"/>
      <c r="D14" s="2407"/>
      <c r="E14" s="2407"/>
      <c r="F14" s="2408"/>
      <c r="G14" s="1195" t="s">
        <v>1185</v>
      </c>
      <c r="H14" s="1193"/>
      <c r="I14" s="1193"/>
      <c r="J14" s="1193"/>
      <c r="K14" s="1193"/>
      <c r="L14" s="1194"/>
    </row>
    <row r="15" spans="1:29" ht="13.5" customHeight="1" x14ac:dyDescent="0.2">
      <c r="A15" s="2394" t="str">
        <f>COVER!A21</f>
        <v>Red Bud</v>
      </c>
      <c r="B15" s="2407"/>
      <c r="C15" s="2407"/>
      <c r="D15" s="2407"/>
      <c r="E15" s="2407"/>
      <c r="F15" s="2408"/>
      <c r="G15" s="2404" t="str">
        <f>COVER!T15</f>
        <v>Robert E. Moore, CPA</v>
      </c>
      <c r="H15" s="2405"/>
      <c r="I15" s="2405"/>
      <c r="J15" s="2405"/>
      <c r="K15" s="2405"/>
      <c r="L15" s="2406"/>
    </row>
    <row r="16" spans="1:29" ht="12.2" customHeight="1" x14ac:dyDescent="0.2">
      <c r="A16" s="2384">
        <f>COVER!A25</f>
        <v>62278</v>
      </c>
      <c r="B16" s="2385"/>
      <c r="C16" s="2385"/>
      <c r="D16" s="2385"/>
      <c r="E16" s="2385"/>
      <c r="F16" s="2386"/>
      <c r="G16" s="2397"/>
      <c r="H16" s="2398"/>
      <c r="I16" s="2398"/>
      <c r="J16" s="2398"/>
      <c r="K16" s="2398"/>
      <c r="L16" s="2399"/>
    </row>
    <row r="17" spans="1:13" ht="12.2" customHeight="1" x14ac:dyDescent="0.2">
      <c r="A17" s="2400"/>
      <c r="B17" s="2385"/>
      <c r="C17" s="2385"/>
      <c r="D17" s="2385"/>
      <c r="E17" s="2385"/>
      <c r="F17" s="2386"/>
      <c r="G17" s="1195" t="s">
        <v>1184</v>
      </c>
      <c r="H17" s="1193"/>
      <c r="I17" s="1193"/>
      <c r="J17" s="1193"/>
      <c r="K17" s="1197" t="s">
        <v>1183</v>
      </c>
      <c r="L17" s="1190"/>
      <c r="M17" s="1183"/>
    </row>
    <row r="18" spans="1:13" ht="12.2" customHeight="1" x14ac:dyDescent="0.2">
      <c r="A18" s="2378"/>
      <c r="B18" s="2379"/>
      <c r="C18" s="2379"/>
      <c r="D18" s="2379"/>
      <c r="E18" s="2379"/>
      <c r="F18" s="2380"/>
      <c r="G18" s="2381" t="str">
        <f>COVER!T21</f>
        <v>618-233-5049</v>
      </c>
      <c r="H18" s="2382"/>
      <c r="I18" s="2382"/>
      <c r="J18" s="2382"/>
      <c r="K18" s="2381" t="str">
        <f>COVER!X21</f>
        <v>618-233-1061</v>
      </c>
      <c r="L18" s="2383"/>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1834</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7"/>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A8" sqref="A8"/>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2" t="str">
        <f>'Single Audit Cover'!A7</f>
        <v>Perandoe Spec Educ District</v>
      </c>
      <c r="B1" s="2418"/>
      <c r="C1" s="2418"/>
      <c r="D1" s="2418"/>
    </row>
    <row r="2" spans="1:11" s="1212" customFormat="1" ht="12.75" x14ac:dyDescent="0.2">
      <c r="A2" s="2423">
        <f>'Single Audit Cover'!E7</f>
        <v>45079132061</v>
      </c>
      <c r="B2" s="2424"/>
      <c r="C2" s="2424"/>
      <c r="D2" s="2424"/>
    </row>
    <row r="3" spans="1:11" s="1212" customFormat="1" ht="12.75" x14ac:dyDescent="0.2">
      <c r="A3" s="2422" t="s">
        <v>1513</v>
      </c>
      <c r="B3" s="2418"/>
      <c r="C3" s="2418"/>
      <c r="D3" s="2418"/>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1835</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16" zoomScale="110" zoomScaleNormal="110" zoomScaleSheetLayoutView="100" workbookViewId="0">
      <selection activeCell="A8" sqref="A8"/>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6" t="str">
        <f>'Single Audit Cover'!A7</f>
        <v>Perandoe Spec Educ District</v>
      </c>
      <c r="B1" s="2426"/>
      <c r="C1" s="2426"/>
      <c r="D1" s="2426"/>
      <c r="E1" s="2426"/>
    </row>
    <row r="2" spans="1:5" x14ac:dyDescent="0.2">
      <c r="A2" s="2427">
        <f>'Single Audit Cover'!E7</f>
        <v>45079132061</v>
      </c>
      <c r="B2" s="2427"/>
      <c r="C2" s="2427"/>
      <c r="D2" s="2427"/>
      <c r="E2" s="2427"/>
    </row>
    <row r="3" spans="1:5" ht="4.5" customHeight="1" x14ac:dyDescent="0.2"/>
    <row r="4" spans="1:5" x14ac:dyDescent="0.2">
      <c r="A4" s="2426" t="s">
        <v>1245</v>
      </c>
      <c r="B4" s="2426"/>
      <c r="C4" s="2426"/>
      <c r="D4" s="2426"/>
      <c r="E4" s="2426"/>
    </row>
    <row r="5" spans="1:5" x14ac:dyDescent="0.2">
      <c r="A5" s="2429" t="str">
        <f>'Single Audit Cover'!A4</f>
        <v>Year Ending June 30, 2019</v>
      </c>
      <c r="B5" s="2429"/>
      <c r="C5" s="2429"/>
      <c r="D5" s="2429"/>
      <c r="E5" s="2429"/>
    </row>
    <row r="6" spans="1:5" x14ac:dyDescent="0.2">
      <c r="A6" s="2426" t="s">
        <v>1244</v>
      </c>
      <c r="B6" s="2426"/>
      <c r="C6" s="2426"/>
      <c r="D6" s="2426"/>
      <c r="E6" s="2426"/>
    </row>
    <row r="8" spans="1:5" x14ac:dyDescent="0.2">
      <c r="A8" s="1257" t="s">
        <v>1243</v>
      </c>
    </row>
    <row r="10" spans="1:5" x14ac:dyDescent="0.2">
      <c r="A10" s="1258" t="s">
        <v>1242</v>
      </c>
      <c r="B10" s="1259" t="s">
        <v>1241</v>
      </c>
      <c r="C10" s="1259"/>
      <c r="D10" s="1260">
        <f>SUM('Acct Summary 7-8'!C7:K7)</f>
        <v>2413883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2945</v>
      </c>
    </row>
    <row r="15" spans="1:5" x14ac:dyDescent="0.2">
      <c r="A15" s="1258"/>
      <c r="B15" s="1259"/>
      <c r="C15" s="1259"/>
    </row>
    <row r="16" spans="1:5" x14ac:dyDescent="0.2">
      <c r="A16" s="1258" t="s">
        <v>1842</v>
      </c>
      <c r="B16" s="1259"/>
      <c r="C16" s="1259"/>
    </row>
    <row r="17" spans="1:4" x14ac:dyDescent="0.2">
      <c r="A17" s="1258" t="s">
        <v>2059</v>
      </c>
      <c r="B17" s="1259" t="s">
        <v>1236</v>
      </c>
      <c r="C17" s="1259"/>
      <c r="D17" s="1261">
        <f>-SUM('Revenues 9-14'!C264:D264,'Revenues 9-14'!F264:G264)</f>
        <v>-436268</v>
      </c>
    </row>
    <row r="19" spans="1:4" ht="13.5" thickBot="1" x14ac:dyDescent="0.25">
      <c r="A19" s="1262" t="s">
        <v>1235</v>
      </c>
      <c r="D19" s="1263">
        <f>SUM(D10:D17)</f>
        <v>1980560</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8"/>
      <c r="B24" s="2428"/>
      <c r="D24" s="1265"/>
    </row>
    <row r="25" spans="1:4" x14ac:dyDescent="0.2">
      <c r="A25" s="2425"/>
      <c r="B25" s="2425"/>
      <c r="D25" s="1265"/>
    </row>
    <row r="26" spans="1:4" x14ac:dyDescent="0.2">
      <c r="A26" s="2425"/>
      <c r="B26" s="2425"/>
      <c r="D26" s="1265"/>
    </row>
    <row r="27" spans="1:4" x14ac:dyDescent="0.2">
      <c r="A27" s="2425"/>
      <c r="B27" s="2425"/>
      <c r="D27" s="1265"/>
    </row>
    <row r="28" spans="1:4" x14ac:dyDescent="0.2">
      <c r="A28" s="2425"/>
      <c r="B28" s="2425"/>
      <c r="D28" s="1265"/>
    </row>
    <row r="29" spans="1:4" x14ac:dyDescent="0.2">
      <c r="A29" s="2425"/>
      <c r="B29" s="2425"/>
      <c r="D29" s="1265"/>
    </row>
    <row r="30" spans="1:4" x14ac:dyDescent="0.2">
      <c r="A30" s="2425"/>
      <c r="B30" s="2425"/>
      <c r="D30" s="1265"/>
    </row>
    <row r="32" spans="1:4" x14ac:dyDescent="0.2">
      <c r="A32" s="1257" t="s">
        <v>1233</v>
      </c>
      <c r="D32" s="1260">
        <f>SUM(D19:D30)</f>
        <v>1980560</v>
      </c>
    </row>
    <row r="33" spans="1:4" x14ac:dyDescent="0.2">
      <c r="D33" s="1266"/>
    </row>
    <row r="34" spans="1:4" x14ac:dyDescent="0.2">
      <c r="A34" s="317" t="s">
        <v>1232</v>
      </c>
    </row>
    <row r="35" spans="1:4" x14ac:dyDescent="0.2">
      <c r="A35" s="317" t="s">
        <v>1231</v>
      </c>
      <c r="B35" s="1255" t="s">
        <v>1230</v>
      </c>
      <c r="D35" s="1267">
        <v>1980560</v>
      </c>
    </row>
    <row r="37" spans="1:4" x14ac:dyDescent="0.2">
      <c r="A37" s="1257" t="s">
        <v>1229</v>
      </c>
    </row>
    <row r="39" spans="1:4" ht="13.35" customHeight="1" x14ac:dyDescent="0.2">
      <c r="A39" s="1264" t="s">
        <v>1228</v>
      </c>
    </row>
    <row r="40" spans="1:4" x14ac:dyDescent="0.2">
      <c r="A40" s="2425"/>
      <c r="B40" s="2425"/>
      <c r="D40" s="1265"/>
    </row>
    <row r="41" spans="1:4" x14ac:dyDescent="0.2">
      <c r="A41" s="2425"/>
      <c r="B41" s="2425"/>
      <c r="D41" s="1268"/>
    </row>
    <row r="42" spans="1:4" x14ac:dyDescent="0.2">
      <c r="A42" s="2425"/>
      <c r="B42" s="2425"/>
      <c r="D42" s="1268"/>
    </row>
    <row r="43" spans="1:4" x14ac:dyDescent="0.2">
      <c r="A43" s="2425"/>
      <c r="B43" s="2425"/>
      <c r="D43" s="1268"/>
    </row>
    <row r="44" spans="1:4" x14ac:dyDescent="0.2">
      <c r="A44" s="2425"/>
      <c r="B44" s="2425"/>
      <c r="D44" s="1268"/>
    </row>
    <row r="45" spans="1:4" x14ac:dyDescent="0.2">
      <c r="A45" s="2425"/>
      <c r="B45" s="2425"/>
      <c r="D45" s="1268"/>
    </row>
    <row r="47" spans="1:4" x14ac:dyDescent="0.2">
      <c r="B47" s="1269" t="s">
        <v>1227</v>
      </c>
      <c r="C47" s="1269"/>
      <c r="D47" s="1270">
        <f>SUM(D35:D45)</f>
        <v>1980560</v>
      </c>
    </row>
    <row r="49" spans="2:4" x14ac:dyDescent="0.2">
      <c r="B49" s="1269" t="s">
        <v>1226</v>
      </c>
      <c r="C49" s="1269"/>
      <c r="D49" s="1270">
        <f>D32-D47</f>
        <v>0</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A8" sqref="A8"/>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7" t="str">
        <f>'Single Audit Cover'!A7</f>
        <v>Perandoe Spec Educ District</v>
      </c>
      <c r="C1" s="2430"/>
      <c r="D1" s="2430"/>
      <c r="E1" s="2430"/>
      <c r="F1" s="2430"/>
      <c r="G1" s="2430"/>
      <c r="H1" s="2430"/>
      <c r="I1" s="2430"/>
      <c r="J1" s="2430"/>
      <c r="K1" s="2430"/>
      <c r="L1" s="2430"/>
      <c r="M1" s="2430"/>
    </row>
    <row r="2" spans="2:14" ht="15" x14ac:dyDescent="0.2">
      <c r="B2" s="2431">
        <f>'Single Audit Cover'!E7</f>
        <v>45079132061</v>
      </c>
      <c r="C2" s="2431"/>
      <c r="D2" s="2431"/>
      <c r="E2" s="2431"/>
      <c r="F2" s="2431"/>
      <c r="G2" s="2431"/>
      <c r="H2" s="2431"/>
      <c r="I2" s="2431"/>
      <c r="J2" s="2431"/>
      <c r="K2" s="2431"/>
      <c r="L2" s="2431"/>
      <c r="M2" s="2431"/>
      <c r="N2" s="1299"/>
    </row>
    <row r="3" spans="2:14" ht="15" x14ac:dyDescent="0.2">
      <c r="B3" s="2432" t="s">
        <v>1219</v>
      </c>
      <c r="C3" s="2432"/>
      <c r="D3" s="2432"/>
      <c r="E3" s="2432"/>
      <c r="F3" s="2432"/>
      <c r="G3" s="2432"/>
      <c r="H3" s="2432"/>
      <c r="I3" s="2432"/>
      <c r="J3" s="2432"/>
      <c r="K3" s="2432"/>
      <c r="L3" s="2432"/>
      <c r="M3" s="2432"/>
      <c r="N3" s="1299"/>
    </row>
    <row r="4" spans="2:14" ht="15" x14ac:dyDescent="0.2">
      <c r="B4" s="2433" t="str">
        <f>'Single Audit Cover'!A4</f>
        <v>Year Ending June 30, 2019</v>
      </c>
      <c r="C4" s="2433"/>
      <c r="D4" s="2433"/>
      <c r="E4" s="2433"/>
      <c r="F4" s="2433"/>
      <c r="G4" s="2433"/>
      <c r="H4" s="2433"/>
      <c r="I4" s="2433"/>
      <c r="J4" s="2433"/>
      <c r="K4" s="2433"/>
      <c r="L4" s="2433"/>
      <c r="M4" s="2433"/>
      <c r="N4" s="1299"/>
    </row>
    <row r="6" spans="2:14" x14ac:dyDescent="0.2">
      <c r="B6" s="1300"/>
      <c r="C6" s="1301"/>
      <c r="D6" s="1302" t="s">
        <v>1265</v>
      </c>
      <c r="E6" s="1303" t="s">
        <v>527</v>
      </c>
      <c r="F6" s="1304"/>
      <c r="G6" s="1305" t="s">
        <v>1732</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1837</v>
      </c>
      <c r="I8" s="1316" t="s">
        <v>1262</v>
      </c>
      <c r="J8" s="1315" t="s">
        <v>1988</v>
      </c>
      <c r="K8" s="1316" t="s">
        <v>1261</v>
      </c>
      <c r="L8" s="1317" t="s">
        <v>1257</v>
      </c>
      <c r="M8" s="1318" t="s">
        <v>30</v>
      </c>
    </row>
    <row r="9" spans="2:14" ht="14.25" x14ac:dyDescent="0.2">
      <c r="B9" s="1322" t="s">
        <v>1259</v>
      </c>
      <c r="C9" s="1310" t="s">
        <v>1733</v>
      </c>
      <c r="D9" s="1311" t="s">
        <v>1734</v>
      </c>
      <c r="E9" s="1319" t="s">
        <v>1837</v>
      </c>
      <c r="F9" s="1320" t="s">
        <v>1988</v>
      </c>
      <c r="G9" s="1321" t="s">
        <v>1837</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2080</v>
      </c>
      <c r="C11" s="1335"/>
      <c r="D11" s="1336"/>
      <c r="E11" s="1337"/>
      <c r="F11" s="1337"/>
      <c r="G11" s="1337"/>
      <c r="H11" s="1337"/>
      <c r="I11" s="1337"/>
      <c r="J11" s="1337"/>
      <c r="K11" s="1337"/>
      <c r="L11" s="1337">
        <f>+G11+I11+K11</f>
        <v>0</v>
      </c>
      <c r="M11" s="1337"/>
    </row>
    <row r="12" spans="2:14" ht="20.100000000000001" customHeight="1" x14ac:dyDescent="0.2">
      <c r="B12" s="1334" t="s">
        <v>2081</v>
      </c>
      <c r="C12" s="1338"/>
      <c r="D12" s="1339"/>
      <c r="E12" s="1340"/>
      <c r="F12" s="1340"/>
      <c r="G12" s="1340"/>
      <c r="H12" s="1340"/>
      <c r="I12" s="1340"/>
      <c r="J12" s="1340"/>
      <c r="K12" s="1340"/>
      <c r="L12" s="1337">
        <f t="shared" ref="L12:L27" si="0">+G12+I12+K12</f>
        <v>0</v>
      </c>
      <c r="M12" s="1340"/>
    </row>
    <row r="13" spans="2:14" ht="20.100000000000001" customHeight="1" x14ac:dyDescent="0.2">
      <c r="B13" s="1334" t="s">
        <v>2082</v>
      </c>
      <c r="C13" s="1338">
        <v>10.555</v>
      </c>
      <c r="D13" s="1339"/>
      <c r="E13" s="1340">
        <v>3111</v>
      </c>
      <c r="F13" s="1340">
        <v>2945</v>
      </c>
      <c r="G13" s="1340">
        <v>3111</v>
      </c>
      <c r="H13" s="1340"/>
      <c r="I13" s="1340">
        <v>2945</v>
      </c>
      <c r="J13" s="1340"/>
      <c r="K13" s="1340"/>
      <c r="L13" s="1337">
        <f t="shared" si="0"/>
        <v>6056</v>
      </c>
      <c r="M13" s="1340"/>
    </row>
    <row r="14" spans="2:14" ht="20.100000000000001" customHeight="1" x14ac:dyDescent="0.2">
      <c r="B14" s="1334" t="s">
        <v>2083</v>
      </c>
      <c r="C14" s="1338">
        <v>10.555</v>
      </c>
      <c r="D14" s="1339"/>
      <c r="E14" s="1340">
        <v>250</v>
      </c>
      <c r="F14" s="1340"/>
      <c r="G14" s="1340">
        <v>250</v>
      </c>
      <c r="H14" s="1340"/>
      <c r="I14" s="1340"/>
      <c r="J14" s="1340"/>
      <c r="K14" s="1340"/>
      <c r="L14" s="1337">
        <f t="shared" si="0"/>
        <v>250</v>
      </c>
      <c r="M14" s="1340"/>
    </row>
    <row r="15" spans="2:14" ht="20.100000000000001" customHeight="1" x14ac:dyDescent="0.2">
      <c r="B15" s="1334" t="s">
        <v>2084</v>
      </c>
      <c r="C15" s="1338">
        <v>10.555</v>
      </c>
      <c r="D15" s="1339" t="s">
        <v>2085</v>
      </c>
      <c r="E15" s="1340">
        <v>20555</v>
      </c>
      <c r="F15" s="1340">
        <v>5915</v>
      </c>
      <c r="G15" s="1340">
        <v>20555</v>
      </c>
      <c r="H15" s="1340"/>
      <c r="I15" s="1340">
        <v>5915</v>
      </c>
      <c r="J15" s="1340"/>
      <c r="K15" s="1340"/>
      <c r="L15" s="1337">
        <f t="shared" si="0"/>
        <v>26470</v>
      </c>
      <c r="M15" s="1340"/>
    </row>
    <row r="16" spans="2:14" ht="20.100000000000001" customHeight="1" x14ac:dyDescent="0.2">
      <c r="B16" s="1334"/>
      <c r="C16" s="1338"/>
      <c r="D16" s="1339" t="s">
        <v>2086</v>
      </c>
      <c r="E16" s="1340"/>
      <c r="F16" s="1340">
        <v>27678</v>
      </c>
      <c r="G16" s="1340"/>
      <c r="H16" s="1340"/>
      <c r="I16" s="1340">
        <v>27678</v>
      </c>
      <c r="J16" s="1340"/>
      <c r="K16" s="1340"/>
      <c r="L16" s="1337">
        <f t="shared" si="0"/>
        <v>27678</v>
      </c>
      <c r="M16" s="1340"/>
    </row>
    <row r="17" spans="2:14" ht="20.100000000000001" customHeight="1" x14ac:dyDescent="0.2">
      <c r="B17" s="1334" t="s">
        <v>2087</v>
      </c>
      <c r="C17" s="1338">
        <v>10.553000000000001</v>
      </c>
      <c r="D17" s="1339" t="s">
        <v>2088</v>
      </c>
      <c r="E17" s="1340">
        <v>12041</v>
      </c>
      <c r="F17" s="1340">
        <v>3606</v>
      </c>
      <c r="G17" s="1340">
        <v>12041</v>
      </c>
      <c r="H17" s="1340"/>
      <c r="I17" s="1340">
        <v>3606</v>
      </c>
      <c r="J17" s="1340"/>
      <c r="K17" s="1340"/>
      <c r="L17" s="1337">
        <f t="shared" si="0"/>
        <v>15647</v>
      </c>
      <c r="M17" s="1340"/>
    </row>
    <row r="18" spans="2:14" ht="20.100000000000001" customHeight="1" x14ac:dyDescent="0.2">
      <c r="B18" s="1334"/>
      <c r="C18" s="1338"/>
      <c r="D18" s="1339" t="s">
        <v>2089</v>
      </c>
      <c r="E18" s="1340"/>
      <c r="F18" s="1340">
        <v>17821</v>
      </c>
      <c r="G18" s="1340"/>
      <c r="H18" s="1340"/>
      <c r="I18" s="1340">
        <v>17821</v>
      </c>
      <c r="J18" s="1340"/>
      <c r="K18" s="1340"/>
      <c r="L18" s="1337">
        <f t="shared" si="0"/>
        <v>17821</v>
      </c>
      <c r="M18" s="1340"/>
    </row>
    <row r="19" spans="2:14" ht="20.100000000000001" customHeight="1" x14ac:dyDescent="0.2">
      <c r="B19" s="1334" t="s">
        <v>2090</v>
      </c>
      <c r="C19" s="1338"/>
      <c r="D19" s="1339"/>
      <c r="E19" s="1340">
        <v>35957</v>
      </c>
      <c r="F19" s="1340">
        <v>57965</v>
      </c>
      <c r="G19" s="1340">
        <v>35957</v>
      </c>
      <c r="H19" s="1340"/>
      <c r="I19" s="1340">
        <v>57965</v>
      </c>
      <c r="J19" s="1340"/>
      <c r="K19" s="1340"/>
      <c r="L19" s="1337">
        <f t="shared" si="0"/>
        <v>93922</v>
      </c>
      <c r="M19" s="1340"/>
    </row>
    <row r="20" spans="2:14" ht="20.100000000000001" customHeight="1" x14ac:dyDescent="0.2">
      <c r="B20" s="1334" t="s">
        <v>2091</v>
      </c>
      <c r="C20" s="1338"/>
      <c r="D20" s="1339"/>
      <c r="E20" s="1340"/>
      <c r="F20" s="1340"/>
      <c r="G20" s="1340"/>
      <c r="H20" s="1340"/>
      <c r="I20" s="1340"/>
      <c r="J20" s="1340"/>
      <c r="K20" s="1340"/>
      <c r="L20" s="1337">
        <f t="shared" si="0"/>
        <v>0</v>
      </c>
      <c r="M20" s="1340"/>
    </row>
    <row r="21" spans="2:14" ht="20.100000000000001" customHeight="1" x14ac:dyDescent="0.2">
      <c r="B21" s="1334" t="s">
        <v>2081</v>
      </c>
      <c r="C21" s="1338"/>
      <c r="D21" s="1339"/>
      <c r="E21" s="1340"/>
      <c r="F21" s="1340"/>
      <c r="G21" s="1340"/>
      <c r="H21" s="1340"/>
      <c r="I21" s="1340"/>
      <c r="J21" s="1340"/>
      <c r="K21" s="1340"/>
      <c r="L21" s="1337">
        <f t="shared" si="0"/>
        <v>0</v>
      </c>
      <c r="M21" s="1340"/>
    </row>
    <row r="22" spans="2:14" ht="20.100000000000001" customHeight="1" x14ac:dyDescent="0.2">
      <c r="B22" s="1334" t="s">
        <v>2092</v>
      </c>
      <c r="C22" s="1338" t="s">
        <v>2093</v>
      </c>
      <c r="D22" s="1339" t="s">
        <v>2094</v>
      </c>
      <c r="E22" s="1340">
        <v>34943</v>
      </c>
      <c r="F22" s="1340">
        <v>6515</v>
      </c>
      <c r="G22" s="1340">
        <v>38041</v>
      </c>
      <c r="H22" s="1340"/>
      <c r="I22" s="1340">
        <v>3417</v>
      </c>
      <c r="J22" s="1340"/>
      <c r="K22" s="1340"/>
      <c r="L22" s="1337">
        <f t="shared" si="0"/>
        <v>41458</v>
      </c>
      <c r="M22" s="1340">
        <v>44137</v>
      </c>
    </row>
    <row r="23" spans="2:14" ht="20.100000000000001" customHeight="1" x14ac:dyDescent="0.2">
      <c r="B23" s="1334"/>
      <c r="C23" s="1338"/>
      <c r="D23" s="1339" t="s">
        <v>2095</v>
      </c>
      <c r="E23" s="1340"/>
      <c r="F23" s="1340">
        <v>48511</v>
      </c>
      <c r="G23" s="1340"/>
      <c r="H23" s="1340"/>
      <c r="I23" s="1340">
        <v>53848</v>
      </c>
      <c r="J23" s="1340"/>
      <c r="K23" s="1340">
        <v>5772</v>
      </c>
      <c r="L23" s="1337">
        <f t="shared" si="0"/>
        <v>59620</v>
      </c>
      <c r="M23" s="1340">
        <v>62622</v>
      </c>
    </row>
    <row r="24" spans="2:14" ht="20.100000000000001" customHeight="1" x14ac:dyDescent="0.2">
      <c r="B24" s="1334" t="s">
        <v>2096</v>
      </c>
      <c r="C24" s="1338" t="s">
        <v>2097</v>
      </c>
      <c r="D24" s="1339" t="s">
        <v>2098</v>
      </c>
      <c r="E24" s="1340">
        <v>1389136</v>
      </c>
      <c r="F24" s="1340">
        <v>330038</v>
      </c>
      <c r="G24" s="1340">
        <v>1681375</v>
      </c>
      <c r="H24" s="1340">
        <v>1185760</v>
      </c>
      <c r="I24" s="1340">
        <v>37798</v>
      </c>
      <c r="J24" s="1340"/>
      <c r="K24" s="1340"/>
      <c r="L24" s="1337">
        <f t="shared" si="0"/>
        <v>1719173</v>
      </c>
      <c r="M24" s="1340">
        <v>1761712</v>
      </c>
    </row>
    <row r="25" spans="2:14" ht="20.100000000000001" customHeight="1" x14ac:dyDescent="0.2">
      <c r="B25" s="1334"/>
      <c r="C25" s="1338"/>
      <c r="D25" s="1339" t="s">
        <v>2099</v>
      </c>
      <c r="E25" s="1340"/>
      <c r="F25" s="1340">
        <v>1456385</v>
      </c>
      <c r="G25" s="1340"/>
      <c r="H25" s="1340"/>
      <c r="I25" s="1340">
        <v>1835826</v>
      </c>
      <c r="J25" s="1340">
        <v>1455527</v>
      </c>
      <c r="K25" s="1340">
        <v>7500</v>
      </c>
      <c r="L25" s="1337">
        <f t="shared" si="0"/>
        <v>1843326</v>
      </c>
      <c r="M25" s="1340">
        <v>1900514</v>
      </c>
    </row>
    <row r="26" spans="2:14" ht="20.100000000000001" customHeight="1" x14ac:dyDescent="0.2">
      <c r="B26" s="1334" t="s">
        <v>2100</v>
      </c>
      <c r="C26" s="1338"/>
      <c r="D26" s="1339"/>
      <c r="E26" s="1340">
        <v>1424079</v>
      </c>
      <c r="F26" s="1340">
        <v>1841449</v>
      </c>
      <c r="G26" s="1340">
        <v>1719416</v>
      </c>
      <c r="H26" s="1340">
        <v>1185760</v>
      </c>
      <c r="I26" s="1340">
        <v>1930889</v>
      </c>
      <c r="J26" s="1340">
        <v>1455527</v>
      </c>
      <c r="K26" s="1340">
        <v>13272</v>
      </c>
      <c r="L26" s="1337">
        <f t="shared" si="0"/>
        <v>3663577</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1735</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1838</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1736</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1737</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1738</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1739</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04CC-BB76-46AB-BFDB-666C16DA4C39}">
  <dimension ref="B1:N152"/>
  <sheetViews>
    <sheetView showGridLines="0" zoomScaleNormal="100" workbookViewId="0">
      <selection activeCell="A8" sqref="A8"/>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7" t="str">
        <f>'Single Audit Cover'!A7</f>
        <v>Perandoe Spec Educ District</v>
      </c>
      <c r="C1" s="2430"/>
      <c r="D1" s="2430"/>
      <c r="E1" s="2430"/>
      <c r="F1" s="2430"/>
      <c r="G1" s="2430"/>
      <c r="H1" s="2430"/>
      <c r="I1" s="2430"/>
      <c r="J1" s="2430"/>
      <c r="K1" s="2430"/>
      <c r="L1" s="2430"/>
      <c r="M1" s="2430"/>
    </row>
    <row r="2" spans="2:14" ht="15" x14ac:dyDescent="0.2">
      <c r="B2" s="2431">
        <f>'Single Audit Cover'!E7</f>
        <v>45079132061</v>
      </c>
      <c r="C2" s="2431"/>
      <c r="D2" s="2431"/>
      <c r="E2" s="2431"/>
      <c r="F2" s="2431"/>
      <c r="G2" s="2431"/>
      <c r="H2" s="2431"/>
      <c r="I2" s="2431"/>
      <c r="J2" s="2431"/>
      <c r="K2" s="2431"/>
      <c r="L2" s="2431"/>
      <c r="M2" s="2431"/>
      <c r="N2" s="1299"/>
    </row>
    <row r="3" spans="2:14" ht="15" x14ac:dyDescent="0.2">
      <c r="B3" s="2432" t="s">
        <v>1219</v>
      </c>
      <c r="C3" s="2432"/>
      <c r="D3" s="2432"/>
      <c r="E3" s="2432"/>
      <c r="F3" s="2432"/>
      <c r="G3" s="2432"/>
      <c r="H3" s="2432"/>
      <c r="I3" s="2432"/>
      <c r="J3" s="2432"/>
      <c r="K3" s="2432"/>
      <c r="L3" s="2432"/>
      <c r="M3" s="2432"/>
      <c r="N3" s="1299"/>
    </row>
    <row r="4" spans="2:14" ht="15" x14ac:dyDescent="0.2">
      <c r="B4" s="2433" t="str">
        <f>'Single Audit Cover'!A4</f>
        <v>Year Ending June 30, 2019</v>
      </c>
      <c r="C4" s="2433"/>
      <c r="D4" s="2433"/>
      <c r="E4" s="2433"/>
      <c r="F4" s="2433"/>
      <c r="G4" s="2433"/>
      <c r="H4" s="2433"/>
      <c r="I4" s="2433"/>
      <c r="J4" s="2433"/>
      <c r="K4" s="2433"/>
      <c r="L4" s="2433"/>
      <c r="M4" s="2433"/>
      <c r="N4" s="1299"/>
    </row>
    <row r="6" spans="2:14" x14ac:dyDescent="0.2">
      <c r="B6" s="1300"/>
      <c r="C6" s="1301"/>
      <c r="D6" s="1302" t="s">
        <v>1265</v>
      </c>
      <c r="E6" s="1303" t="s">
        <v>527</v>
      </c>
      <c r="F6" s="1304"/>
      <c r="G6" s="1305" t="s">
        <v>1732</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1837</v>
      </c>
      <c r="I8" s="1316" t="s">
        <v>1262</v>
      </c>
      <c r="J8" s="1315" t="s">
        <v>1988</v>
      </c>
      <c r="K8" s="1316" t="s">
        <v>1261</v>
      </c>
      <c r="L8" s="1317" t="s">
        <v>1257</v>
      </c>
      <c r="M8" s="1318" t="s">
        <v>30</v>
      </c>
    </row>
    <row r="9" spans="2:14" ht="14.25" x14ac:dyDescent="0.2">
      <c r="B9" s="1322" t="s">
        <v>1259</v>
      </c>
      <c r="C9" s="1310" t="s">
        <v>1733</v>
      </c>
      <c r="D9" s="1311" t="s">
        <v>1734</v>
      </c>
      <c r="E9" s="1319" t="s">
        <v>1837</v>
      </c>
      <c r="F9" s="1320" t="s">
        <v>1988</v>
      </c>
      <c r="G9" s="1321" t="s">
        <v>1837</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2101</v>
      </c>
      <c r="C11" s="1335"/>
      <c r="D11" s="1336"/>
      <c r="E11" s="1337"/>
      <c r="F11" s="1337"/>
      <c r="G11" s="1337"/>
      <c r="H11" s="1337"/>
      <c r="I11" s="1337"/>
      <c r="J11" s="1337"/>
      <c r="K11" s="1337"/>
      <c r="L11" s="1337">
        <f>+G11+I11+K11</f>
        <v>0</v>
      </c>
      <c r="M11" s="1337"/>
    </row>
    <row r="12" spans="2:14" ht="20.100000000000001" customHeight="1" x14ac:dyDescent="0.2">
      <c r="B12" s="1334" t="s">
        <v>2102</v>
      </c>
      <c r="C12" s="1338" t="s">
        <v>2103</v>
      </c>
      <c r="D12" s="1339" t="s">
        <v>2104</v>
      </c>
      <c r="E12" s="1340"/>
      <c r="F12" s="1340">
        <v>17697</v>
      </c>
      <c r="G12" s="1340"/>
      <c r="H12" s="1340"/>
      <c r="I12" s="1340">
        <v>25235</v>
      </c>
      <c r="J12" s="1340"/>
      <c r="K12" s="1340"/>
      <c r="L12" s="1337">
        <f t="shared" ref="L12:L27" si="0">+G12+I12+K12</f>
        <v>25235</v>
      </c>
      <c r="M12" s="1340"/>
    </row>
    <row r="13" spans="2:14" ht="20.100000000000001" customHeight="1" x14ac:dyDescent="0.2">
      <c r="B13" s="1334" t="s">
        <v>2105</v>
      </c>
      <c r="C13" s="1338"/>
      <c r="D13" s="1339"/>
      <c r="E13" s="1340">
        <v>1424079</v>
      </c>
      <c r="F13" s="1340">
        <v>1859146</v>
      </c>
      <c r="G13" s="1340">
        <v>1719416</v>
      </c>
      <c r="H13" s="1340">
        <v>1185760</v>
      </c>
      <c r="I13" s="1340">
        <v>1956124</v>
      </c>
      <c r="J13" s="1340">
        <v>14555527</v>
      </c>
      <c r="K13" s="1340">
        <v>13272</v>
      </c>
      <c r="L13" s="1337">
        <f t="shared" si="0"/>
        <v>3688812</v>
      </c>
      <c r="M13" s="1340"/>
    </row>
    <row r="14" spans="2:14" ht="20.100000000000001" customHeight="1" x14ac:dyDescent="0.2">
      <c r="B14" s="1334" t="s">
        <v>2106</v>
      </c>
      <c r="C14" s="1338"/>
      <c r="D14" s="1339"/>
      <c r="E14" s="1340"/>
      <c r="F14" s="1340"/>
      <c r="G14" s="1340"/>
      <c r="H14" s="1340"/>
      <c r="I14" s="1340"/>
      <c r="J14" s="1340"/>
      <c r="K14" s="1340"/>
      <c r="L14" s="1337">
        <f t="shared" si="0"/>
        <v>0</v>
      </c>
      <c r="M14" s="1340"/>
    </row>
    <row r="15" spans="2:14" ht="20.100000000000001" customHeight="1" x14ac:dyDescent="0.2">
      <c r="B15" s="1334" t="s">
        <v>2107</v>
      </c>
      <c r="C15" s="1338"/>
      <c r="D15" s="1339"/>
      <c r="E15" s="1340"/>
      <c r="F15" s="1340"/>
      <c r="G15" s="1340"/>
      <c r="H15" s="1340"/>
      <c r="I15" s="1340"/>
      <c r="J15" s="1340"/>
      <c r="K15" s="1340"/>
      <c r="L15" s="1337">
        <f t="shared" si="0"/>
        <v>0</v>
      </c>
      <c r="M15" s="1340"/>
    </row>
    <row r="16" spans="2:14" ht="20.100000000000001" customHeight="1" x14ac:dyDescent="0.2">
      <c r="B16" s="1334" t="s">
        <v>2108</v>
      </c>
      <c r="C16" s="1338">
        <v>93.778000000000006</v>
      </c>
      <c r="D16" s="1339" t="s">
        <v>2109</v>
      </c>
      <c r="E16" s="1340">
        <v>38595</v>
      </c>
      <c r="F16" s="1340">
        <v>15188</v>
      </c>
      <c r="G16" s="1340">
        <v>38595</v>
      </c>
      <c r="H16" s="1340"/>
      <c r="I16" s="1340">
        <v>15188</v>
      </c>
      <c r="J16" s="1340"/>
      <c r="K16" s="1340"/>
      <c r="L16" s="1337">
        <f>+G16+I16+K16</f>
        <v>53783</v>
      </c>
      <c r="M16" s="1340"/>
    </row>
    <row r="17" spans="2:14" ht="20.100000000000001" customHeight="1" x14ac:dyDescent="0.2">
      <c r="B17" s="1334"/>
      <c r="C17" s="1338"/>
      <c r="D17" s="1339" t="s">
        <v>2110</v>
      </c>
      <c r="E17" s="1340"/>
      <c r="F17" s="1340">
        <v>48261</v>
      </c>
      <c r="G17" s="1340"/>
      <c r="H17" s="1340"/>
      <c r="I17" s="1340">
        <v>48261</v>
      </c>
      <c r="J17" s="1340"/>
      <c r="K17" s="1340"/>
      <c r="L17" s="1337">
        <f t="shared" si="0"/>
        <v>48261</v>
      </c>
      <c r="M17" s="1340"/>
    </row>
    <row r="18" spans="2:14" ht="20.100000000000001" customHeight="1" x14ac:dyDescent="0.2">
      <c r="B18" s="1334" t="s">
        <v>2111</v>
      </c>
      <c r="C18" s="1338"/>
      <c r="D18" s="1339"/>
      <c r="E18" s="1340">
        <v>38595</v>
      </c>
      <c r="F18" s="1340">
        <v>63449</v>
      </c>
      <c r="G18" s="1340">
        <v>38595</v>
      </c>
      <c r="H18" s="1340"/>
      <c r="I18" s="1340">
        <v>63449</v>
      </c>
      <c r="J18" s="1340"/>
      <c r="K18" s="1340"/>
      <c r="L18" s="1337">
        <f t="shared" si="0"/>
        <v>102044</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t="s">
        <v>2112</v>
      </c>
      <c r="C20" s="1338"/>
      <c r="D20" s="1339"/>
      <c r="E20" s="1340">
        <v>1498631</v>
      </c>
      <c r="F20" s="1340">
        <v>1980560</v>
      </c>
      <c r="G20" s="1340">
        <v>1793968</v>
      </c>
      <c r="H20" s="1340">
        <v>1185760</v>
      </c>
      <c r="I20" s="1340">
        <v>2077538</v>
      </c>
      <c r="J20" s="1340">
        <v>1455527</v>
      </c>
      <c r="K20" s="1340">
        <v>13272</v>
      </c>
      <c r="L20" s="1337">
        <f t="shared" si="0"/>
        <v>3884778</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1735</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1838</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1736</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1737</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1738</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1739</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election activeCell="A8" sqref="A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1" t="s">
        <v>1168</v>
      </c>
      <c r="B2" s="2051"/>
      <c r="C2" s="2051"/>
      <c r="D2" s="2051"/>
      <c r="E2" s="2051"/>
      <c r="F2" s="2051"/>
      <c r="G2" s="2051"/>
      <c r="H2" s="2051"/>
      <c r="I2" s="2051"/>
      <c r="J2" s="2051"/>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1791</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5" t="s">
        <v>1633</v>
      </c>
      <c r="B35" s="2066"/>
      <c r="C35" s="2066"/>
      <c r="D35" s="2066"/>
      <c r="E35" s="2067"/>
      <c r="F35" s="2067"/>
      <c r="G35" s="2067"/>
      <c r="H35" s="2067"/>
      <c r="I35" s="2067"/>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5" t="s">
        <v>313</v>
      </c>
      <c r="B47" s="2068"/>
      <c r="C47" s="2068"/>
      <c r="D47" s="2068"/>
      <c r="E47" s="2069"/>
      <c r="F47" s="2069"/>
      <c r="G47" s="2069"/>
      <c r="H47" s="2069"/>
      <c r="I47" s="2069"/>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1790</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2"/>
      <c r="C57" s="2073"/>
      <c r="D57" s="2073"/>
      <c r="E57" s="2073"/>
      <c r="F57" s="2073"/>
      <c r="G57" s="2073"/>
      <c r="H57" s="2073"/>
      <c r="I57" s="2073"/>
      <c r="J57" s="2074"/>
    </row>
    <row r="58" spans="1:10" s="181" customFormat="1" x14ac:dyDescent="0.2">
      <c r="A58" s="253"/>
      <c r="B58" s="2075"/>
      <c r="C58" s="2076"/>
      <c r="D58" s="2076"/>
      <c r="E58" s="2076"/>
      <c r="F58" s="2076"/>
      <c r="G58" s="2076"/>
      <c r="H58" s="2076"/>
      <c r="I58" s="2076"/>
      <c r="J58" s="2077"/>
    </row>
    <row r="59" spans="1:10" s="181" customFormat="1" x14ac:dyDescent="0.2">
      <c r="A59" s="253"/>
      <c r="B59" s="2075"/>
      <c r="C59" s="2076"/>
      <c r="D59" s="2076"/>
      <c r="E59" s="2076"/>
      <c r="F59" s="2076"/>
      <c r="G59" s="2076"/>
      <c r="H59" s="2076"/>
      <c r="I59" s="2076"/>
      <c r="J59" s="2077"/>
    </row>
    <row r="60" spans="1:10" s="181" customFormat="1" x14ac:dyDescent="0.2">
      <c r="A60" s="253"/>
      <c r="B60" s="2075"/>
      <c r="C60" s="2076"/>
      <c r="D60" s="2076"/>
      <c r="E60" s="2076"/>
      <c r="F60" s="2076"/>
      <c r="G60" s="2076"/>
      <c r="H60" s="2076"/>
      <c r="I60" s="2076"/>
      <c r="J60" s="2077"/>
    </row>
    <row r="61" spans="1:10" s="181" customFormat="1" x14ac:dyDescent="0.2">
      <c r="A61" s="253"/>
      <c r="B61" s="2075"/>
      <c r="C61" s="2076"/>
      <c r="D61" s="2076"/>
      <c r="E61" s="2076"/>
      <c r="F61" s="2076"/>
      <c r="G61" s="2076"/>
      <c r="H61" s="2076"/>
      <c r="I61" s="2076"/>
      <c r="J61" s="2077"/>
    </row>
    <row r="62" spans="1:10" s="181" customFormat="1" x14ac:dyDescent="0.2">
      <c r="A62" s="253"/>
      <c r="B62" s="2075"/>
      <c r="C62" s="2076"/>
      <c r="D62" s="2076"/>
      <c r="E62" s="2076"/>
      <c r="F62" s="2076"/>
      <c r="G62" s="2076"/>
      <c r="H62" s="2076"/>
      <c r="I62" s="2076"/>
      <c r="J62" s="2077"/>
    </row>
    <row r="63" spans="1:10" s="181" customFormat="1" x14ac:dyDescent="0.2">
      <c r="A63" s="253"/>
      <c r="B63" s="2075"/>
      <c r="C63" s="2076"/>
      <c r="D63" s="2076"/>
      <c r="E63" s="2076"/>
      <c r="F63" s="2076"/>
      <c r="G63" s="2076"/>
      <c r="H63" s="2076"/>
      <c r="I63" s="2076"/>
      <c r="J63" s="2077"/>
    </row>
    <row r="64" spans="1:10" s="181" customFormat="1" x14ac:dyDescent="0.2">
      <c r="A64" s="253"/>
      <c r="B64" s="2075"/>
      <c r="C64" s="2076"/>
      <c r="D64" s="2076"/>
      <c r="E64" s="2076"/>
      <c r="F64" s="2076"/>
      <c r="G64" s="2076"/>
      <c r="H64" s="2076"/>
      <c r="I64" s="2076"/>
      <c r="J64" s="2077"/>
    </row>
    <row r="65" spans="1:10" s="181" customFormat="1" x14ac:dyDescent="0.2">
      <c r="A65" s="253"/>
      <c r="B65" s="2075"/>
      <c r="C65" s="2076"/>
      <c r="D65" s="2076"/>
      <c r="E65" s="2076"/>
      <c r="F65" s="2076"/>
      <c r="G65" s="2076"/>
      <c r="H65" s="2076"/>
      <c r="I65" s="2076"/>
      <c r="J65" s="2077"/>
    </row>
    <row r="66" spans="1:10" s="181" customFormat="1" x14ac:dyDescent="0.2">
      <c r="A66" s="253"/>
      <c r="B66" s="2075"/>
      <c r="C66" s="2076"/>
      <c r="D66" s="2076"/>
      <c r="E66" s="2076"/>
      <c r="F66" s="2076"/>
      <c r="G66" s="2076"/>
      <c r="H66" s="2076"/>
      <c r="I66" s="2076"/>
      <c r="J66" s="2077"/>
    </row>
    <row r="67" spans="1:10" s="181" customFormat="1" ht="9" customHeight="1" x14ac:dyDescent="0.2">
      <c r="A67" s="254"/>
      <c r="B67" s="2078"/>
      <c r="C67" s="2079"/>
      <c r="D67" s="2079"/>
      <c r="E67" s="2079"/>
      <c r="F67" s="2079"/>
      <c r="G67" s="2079"/>
      <c r="H67" s="2079"/>
      <c r="I67" s="2079"/>
      <c r="J67" s="208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5" t="s">
        <v>1323</v>
      </c>
      <c r="B70" s="2068"/>
      <c r="C70" s="2068"/>
      <c r="D70" s="2068"/>
      <c r="E70" s="2069"/>
      <c r="F70" s="2069"/>
      <c r="G70" s="2069"/>
      <c r="H70" s="2069"/>
      <c r="I70" s="2069"/>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1928</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1903</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0" t="s">
        <v>1320</v>
      </c>
      <c r="B83" s="2070"/>
      <c r="C83" s="2070"/>
      <c r="D83" s="2071"/>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1926</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1927</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2"/>
      <c r="C102" s="2053"/>
      <c r="D102" s="2053"/>
      <c r="E102" s="2053"/>
      <c r="F102" s="2053"/>
      <c r="G102" s="2053"/>
      <c r="H102" s="2053"/>
      <c r="I102" s="2054"/>
    </row>
    <row r="103" spans="1:9" s="181" customFormat="1" ht="11.25" customHeight="1" x14ac:dyDescent="0.2">
      <c r="A103" s="316"/>
      <c r="B103" s="2055"/>
      <c r="C103" s="2056"/>
      <c r="D103" s="2056"/>
      <c r="E103" s="2056"/>
      <c r="F103" s="2056"/>
      <c r="G103" s="2056"/>
      <c r="H103" s="2056"/>
      <c r="I103" s="2057"/>
    </row>
    <row r="104" spans="1:9" s="181" customFormat="1" ht="11.25" customHeight="1" x14ac:dyDescent="0.2">
      <c r="A104" s="316"/>
      <c r="B104" s="2055"/>
      <c r="C104" s="2056"/>
      <c r="D104" s="2056"/>
      <c r="E104" s="2056"/>
      <c r="F104" s="2056"/>
      <c r="G104" s="2056"/>
      <c r="H104" s="2056"/>
      <c r="I104" s="2057"/>
    </row>
    <row r="105" spans="1:9" s="181" customFormat="1" x14ac:dyDescent="0.2">
      <c r="A105" s="316"/>
      <c r="B105" s="2055"/>
      <c r="C105" s="2056"/>
      <c r="D105" s="2056"/>
      <c r="E105" s="2056"/>
      <c r="F105" s="2056"/>
      <c r="G105" s="2056"/>
      <c r="H105" s="2056"/>
      <c r="I105" s="2057"/>
    </row>
    <row r="106" spans="1:9" s="181" customFormat="1" ht="11.25" customHeight="1" x14ac:dyDescent="0.2">
      <c r="A106" s="316"/>
      <c r="B106" s="2055"/>
      <c r="C106" s="2056"/>
      <c r="D106" s="2056"/>
      <c r="E106" s="2056"/>
      <c r="F106" s="2056"/>
      <c r="G106" s="2056"/>
      <c r="H106" s="2056"/>
      <c r="I106" s="2057"/>
    </row>
    <row r="107" spans="1:9" s="181" customFormat="1" ht="11.25" customHeight="1" x14ac:dyDescent="0.2">
      <c r="A107" s="316"/>
      <c r="B107" s="2055"/>
      <c r="C107" s="2056"/>
      <c r="D107" s="2056"/>
      <c r="E107" s="2056"/>
      <c r="F107" s="2056"/>
      <c r="G107" s="2056"/>
      <c r="H107" s="2056"/>
      <c r="I107" s="2057"/>
    </row>
    <row r="108" spans="1:9" s="181" customFormat="1" ht="11.25" customHeight="1" x14ac:dyDescent="0.2">
      <c r="A108" s="316"/>
      <c r="B108" s="2055"/>
      <c r="C108" s="2056"/>
      <c r="D108" s="2056"/>
      <c r="E108" s="2056"/>
      <c r="F108" s="2056"/>
      <c r="G108" s="2056"/>
      <c r="H108" s="2056"/>
      <c r="I108" s="2057"/>
    </row>
    <row r="109" spans="1:9" s="181" customFormat="1" ht="11.25" customHeight="1" x14ac:dyDescent="0.2">
      <c r="A109" s="316"/>
      <c r="B109" s="2055"/>
      <c r="C109" s="2056"/>
      <c r="D109" s="2056"/>
      <c r="E109" s="2056"/>
      <c r="F109" s="2056"/>
      <c r="G109" s="2056"/>
      <c r="H109" s="2056"/>
      <c r="I109" s="2057"/>
    </row>
    <row r="110" spans="1:9" s="181" customFormat="1" ht="11.25" customHeight="1" x14ac:dyDescent="0.2">
      <c r="A110" s="316"/>
      <c r="B110" s="2055"/>
      <c r="C110" s="2056"/>
      <c r="D110" s="2056"/>
      <c r="E110" s="2056"/>
      <c r="F110" s="2056"/>
      <c r="G110" s="2056"/>
      <c r="H110" s="2056"/>
      <c r="I110" s="2057"/>
    </row>
    <row r="111" spans="1:9" s="181" customFormat="1" ht="11.25" customHeight="1" x14ac:dyDescent="0.2">
      <c r="A111" s="316"/>
      <c r="B111" s="2055"/>
      <c r="C111" s="2056"/>
      <c r="D111" s="2056"/>
      <c r="E111" s="2056"/>
      <c r="F111" s="2056"/>
      <c r="G111" s="2056"/>
      <c r="H111" s="2056"/>
      <c r="I111" s="2057"/>
    </row>
    <row r="112" spans="1:9" s="181" customFormat="1" ht="11.25" customHeight="1" x14ac:dyDescent="0.2">
      <c r="A112" s="316"/>
      <c r="B112" s="2058"/>
      <c r="C112" s="2059"/>
      <c r="D112" s="2059"/>
      <c r="E112" s="2059"/>
      <c r="F112" s="2059"/>
      <c r="G112" s="2059"/>
      <c r="H112" s="2059"/>
      <c r="I112" s="206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1" t="s">
        <v>2063</v>
      </c>
      <c r="D114" s="2061"/>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2" t="s">
        <v>1330</v>
      </c>
      <c r="D117" s="2063"/>
      <c r="E117" s="2064"/>
      <c r="F117" s="2064"/>
      <c r="G117" s="2064"/>
      <c r="H117" s="2064"/>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1904</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activeCell="A8" sqref="A8"/>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5" t="str">
        <f>'Single Audit Cover'!A7</f>
        <v>Perandoe Spec Educ District</v>
      </c>
      <c r="B1" s="2435"/>
      <c r="C1" s="2435"/>
      <c r="D1" s="2435"/>
      <c r="E1" s="2435"/>
      <c r="F1" s="2435"/>
    </row>
    <row r="2" spans="1:7" ht="13.5" customHeight="1" x14ac:dyDescent="0.2">
      <c r="A2" s="2431">
        <f>'Single Audit Cover'!E7</f>
        <v>45079132061</v>
      </c>
      <c r="B2" s="2431"/>
      <c r="C2" s="2431"/>
      <c r="D2" s="2431"/>
      <c r="E2" s="2431"/>
      <c r="F2" s="2431"/>
      <c r="G2" s="1272"/>
    </row>
    <row r="3" spans="1:7" ht="15.75" customHeight="1" x14ac:dyDescent="0.2">
      <c r="A3" s="2436" t="s">
        <v>1271</v>
      </c>
      <c r="B3" s="2436"/>
      <c r="C3" s="2436"/>
      <c r="D3" s="2436"/>
      <c r="E3" s="2436"/>
      <c r="F3" s="2436"/>
    </row>
    <row r="4" spans="1:7" ht="13.5" customHeight="1" x14ac:dyDescent="0.2">
      <c r="A4" s="2437" t="str">
        <f>'Single Audit Cover'!A4</f>
        <v>Year Ending June 30, 2019</v>
      </c>
      <c r="B4" s="2437"/>
      <c r="C4" s="2437"/>
      <c r="D4" s="2437"/>
      <c r="E4" s="2437"/>
      <c r="F4" s="2437"/>
    </row>
    <row r="5" spans="1:7" ht="8.25" customHeight="1" x14ac:dyDescent="0.2">
      <c r="C5" s="317"/>
      <c r="D5" s="317"/>
    </row>
    <row r="6" spans="1:7" ht="13.5" customHeight="1" x14ac:dyDescent="0.2">
      <c r="A6" s="1273" t="s">
        <v>1728</v>
      </c>
      <c r="C6" s="317"/>
      <c r="D6" s="317"/>
    </row>
    <row r="7" spans="1:7" ht="60.95" customHeight="1" x14ac:dyDescent="0.2">
      <c r="A7" s="2434" t="s">
        <v>2113</v>
      </c>
      <c r="B7" s="2434"/>
      <c r="C7" s="2434"/>
      <c r="D7" s="2434"/>
      <c r="E7" s="2434"/>
      <c r="F7" s="2434"/>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c r="D10" s="1277" t="s">
        <v>1548</v>
      </c>
      <c r="E10" s="1278" t="s">
        <v>2071</v>
      </c>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4" t="s">
        <v>2124</v>
      </c>
      <c r="B13" s="2434"/>
      <c r="C13" s="2434"/>
      <c r="D13" s="2434"/>
      <c r="E13" s="2434"/>
      <c r="F13" s="2434"/>
    </row>
    <row r="14" spans="1:7" ht="9.75" customHeight="1" x14ac:dyDescent="0.2">
      <c r="C14" s="1257"/>
      <c r="D14" s="1257"/>
    </row>
    <row r="15" spans="1:7" ht="13.5" customHeight="1" x14ac:dyDescent="0.2">
      <c r="C15" s="1846" t="s">
        <v>1270</v>
      </c>
      <c r="D15" s="2439" t="s">
        <v>1269</v>
      </c>
      <c r="E15" s="2439"/>
      <c r="F15" s="2439"/>
    </row>
    <row r="16" spans="1:7" ht="13.5" customHeight="1" x14ac:dyDescent="0.2">
      <c r="A16" s="1279"/>
      <c r="B16" s="1273" t="s">
        <v>1268</v>
      </c>
      <c r="C16" s="1846" t="s">
        <v>1267</v>
      </c>
      <c r="D16" s="2440" t="s">
        <v>1588</v>
      </c>
      <c r="E16" s="2440"/>
      <c r="F16" s="2440"/>
    </row>
    <row r="17" spans="1:6" ht="20.45" customHeight="1" x14ac:dyDescent="0.2">
      <c r="A17" s="1280"/>
      <c r="B17" s="1281" t="s">
        <v>2114</v>
      </c>
      <c r="C17" s="1282">
        <v>84.027000000000001</v>
      </c>
      <c r="D17" s="2438"/>
      <c r="E17" s="2438"/>
      <c r="F17" s="2438"/>
    </row>
    <row r="18" spans="1:6" ht="20.65" customHeight="1" x14ac:dyDescent="0.2">
      <c r="A18" s="1280"/>
      <c r="B18" s="1281" t="s">
        <v>2115</v>
      </c>
      <c r="C18" s="1282"/>
      <c r="D18" s="2438">
        <v>5303</v>
      </c>
      <c r="E18" s="2438"/>
      <c r="F18" s="2438"/>
    </row>
    <row r="19" spans="1:6" ht="20.65" customHeight="1" x14ac:dyDescent="0.2">
      <c r="A19" s="1280"/>
      <c r="B19" s="1281" t="s">
        <v>2116</v>
      </c>
      <c r="C19" s="1282"/>
      <c r="D19" s="2438">
        <v>239738</v>
      </c>
      <c r="E19" s="2438"/>
      <c r="F19" s="2438"/>
    </row>
    <row r="20" spans="1:6" ht="20.65" customHeight="1" x14ac:dyDescent="0.2">
      <c r="A20" s="1280"/>
      <c r="B20" s="1281" t="s">
        <v>2117</v>
      </c>
      <c r="C20" s="1282"/>
      <c r="D20" s="2438">
        <v>46224</v>
      </c>
      <c r="E20" s="2438"/>
      <c r="F20" s="2438"/>
    </row>
    <row r="21" spans="1:6" ht="20.65" customHeight="1" x14ac:dyDescent="0.2">
      <c r="A21" s="1280"/>
      <c r="B21" s="1281" t="s">
        <v>2118</v>
      </c>
      <c r="C21" s="1282"/>
      <c r="D21" s="2438">
        <v>32203</v>
      </c>
      <c r="E21" s="2438"/>
      <c r="F21" s="2438"/>
    </row>
    <row r="22" spans="1:6" ht="20.65" customHeight="1" x14ac:dyDescent="0.2">
      <c r="A22" s="1280"/>
      <c r="B22" s="1281" t="s">
        <v>2119</v>
      </c>
      <c r="C22" s="1282"/>
      <c r="D22" s="2438">
        <v>208691</v>
      </c>
      <c r="E22" s="2438"/>
      <c r="F22" s="2438"/>
    </row>
    <row r="23" spans="1:6" ht="20.65" customHeight="1" x14ac:dyDescent="0.2">
      <c r="A23" s="1280"/>
      <c r="B23" s="1281" t="s">
        <v>2120</v>
      </c>
      <c r="C23" s="1282"/>
      <c r="D23" s="2438">
        <v>298886</v>
      </c>
      <c r="E23" s="2438"/>
      <c r="F23" s="2438"/>
    </row>
    <row r="24" spans="1:6" ht="20.65" customHeight="1" x14ac:dyDescent="0.2">
      <c r="A24" s="1280"/>
      <c r="B24" s="1281" t="s">
        <v>2121</v>
      </c>
      <c r="C24" s="1282"/>
      <c r="D24" s="2438">
        <v>87608</v>
      </c>
      <c r="E24" s="2438"/>
      <c r="F24" s="2438"/>
    </row>
    <row r="25" spans="1:6" ht="20.65" customHeight="1" x14ac:dyDescent="0.2">
      <c r="A25" s="1280"/>
      <c r="B25" s="1281" t="s">
        <v>2122</v>
      </c>
      <c r="C25" s="1282"/>
      <c r="D25" s="2438">
        <v>74247</v>
      </c>
      <c r="E25" s="2438"/>
      <c r="F25" s="2438"/>
    </row>
    <row r="26" spans="1:6" ht="20.65" customHeight="1" x14ac:dyDescent="0.2">
      <c r="A26" s="1280"/>
      <c r="B26" s="1281" t="s">
        <v>2123</v>
      </c>
      <c r="C26" s="1282"/>
      <c r="D26" s="2438">
        <v>462627</v>
      </c>
      <c r="E26" s="2438"/>
      <c r="F26" s="2438"/>
    </row>
    <row r="27" spans="1:6" ht="20.65" customHeight="1" x14ac:dyDescent="0.2">
      <c r="A27" s="1280"/>
      <c r="B27" s="1281"/>
      <c r="C27" s="1282"/>
      <c r="D27" s="2438">
        <v>1455527</v>
      </c>
      <c r="E27" s="2438"/>
      <c r="F27" s="2438"/>
    </row>
    <row r="28" spans="1:6" ht="20.65" customHeight="1" x14ac:dyDescent="0.2">
      <c r="A28" s="1280"/>
      <c r="B28" s="1281"/>
      <c r="C28" s="1282"/>
      <c r="D28" s="2438"/>
      <c r="E28" s="2438"/>
      <c r="F28" s="2438"/>
    </row>
    <row r="29" spans="1:6" ht="20.65" customHeight="1" x14ac:dyDescent="0.2">
      <c r="A29" s="1280"/>
      <c r="B29" s="1281"/>
      <c r="C29" s="1282"/>
      <c r="D29" s="2438"/>
      <c r="E29" s="2438"/>
      <c r="F29" s="2438"/>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2" t="s">
        <v>1730</v>
      </c>
      <c r="B32" s="2442"/>
      <c r="C32" s="2442"/>
      <c r="D32" s="2442"/>
      <c r="E32" s="2442"/>
      <c r="F32" s="2442"/>
    </row>
    <row r="33" spans="1:6" ht="13.5" customHeight="1" x14ac:dyDescent="0.2">
      <c r="A33" s="328" t="s">
        <v>1434</v>
      </c>
      <c r="B33" s="328"/>
      <c r="C33" s="1285">
        <v>2945</v>
      </c>
      <c r="D33" s="1903"/>
      <c r="E33" s="1283"/>
    </row>
    <row r="34" spans="1:6" ht="13.5" customHeight="1" x14ac:dyDescent="0.2">
      <c r="A34" s="328" t="s">
        <v>1836</v>
      </c>
      <c r="B34" s="328"/>
      <c r="C34" s="1286">
        <v>0</v>
      </c>
      <c r="D34" s="1903" t="s">
        <v>1589</v>
      </c>
      <c r="E34" s="2443">
        <f>+C33+C34</f>
        <v>2945</v>
      </c>
      <c r="F34" s="2444"/>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t="s">
        <v>383</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1731</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5" t="s">
        <v>1590</v>
      </c>
      <c r="C49" s="2445"/>
      <c r="D49" s="2445"/>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5" zoomScale="110" zoomScaleNormal="110" workbookViewId="0">
      <selection activeCell="A8" sqref="A8"/>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0" t="str">
        <f>'Single Audit Cover'!A7</f>
        <v>Perandoe Spec Educ District</v>
      </c>
      <c r="C1" s="2451"/>
      <c r="D1" s="2451"/>
      <c r="E1" s="2451"/>
      <c r="F1" s="2451"/>
      <c r="G1" s="2451"/>
      <c r="H1" s="2451"/>
      <c r="I1" s="2451"/>
      <c r="J1" s="1406"/>
    </row>
    <row r="2" spans="2:10" s="317" customFormat="1" ht="12.75" customHeight="1" x14ac:dyDescent="0.2">
      <c r="B2" s="2452">
        <f>'Single Audit Cover'!E7</f>
        <v>45079132061</v>
      </c>
      <c r="C2" s="2453"/>
      <c r="D2" s="2453"/>
      <c r="E2" s="2453"/>
      <c r="F2" s="2453"/>
      <c r="G2" s="2453"/>
      <c r="H2" s="2453"/>
      <c r="I2" s="2453"/>
      <c r="J2" s="1406"/>
    </row>
    <row r="3" spans="2:10" s="317" customFormat="1" ht="12.75" customHeight="1" x14ac:dyDescent="0.2">
      <c r="B3" s="2454" t="s">
        <v>1285</v>
      </c>
      <c r="C3" s="2455"/>
      <c r="D3" s="2455"/>
      <c r="E3" s="2455"/>
      <c r="F3" s="2455"/>
      <c r="G3" s="2455"/>
      <c r="H3" s="2455"/>
      <c r="I3" s="2455"/>
      <c r="J3" s="1407"/>
    </row>
    <row r="4" spans="2:10" s="317" customFormat="1" ht="12.75" customHeight="1" x14ac:dyDescent="0.2">
      <c r="B4" s="2454" t="str">
        <f>'Single Audit Cover'!A4</f>
        <v>Year Ending June 30, 2019</v>
      </c>
      <c r="C4" s="2455"/>
      <c r="D4" s="2455"/>
      <c r="E4" s="2455"/>
      <c r="F4" s="2455"/>
      <c r="G4" s="2455"/>
      <c r="H4" s="2455"/>
      <c r="I4" s="2455"/>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4" t="s">
        <v>1284</v>
      </c>
      <c r="C7" s="2455"/>
      <c r="D7" s="2455"/>
      <c r="E7" s="2455"/>
      <c r="F7" s="2455"/>
      <c r="G7" s="2455"/>
      <c r="H7" s="2455"/>
      <c r="I7" s="2455"/>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6" t="s">
        <v>1164</v>
      </c>
      <c r="D11" s="2456"/>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2071</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2071</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2071</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2071</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2071</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7" t="s">
        <v>2125</v>
      </c>
      <c r="E29" s="2457"/>
      <c r="F29" s="2457"/>
      <c r="G29" s="2457"/>
      <c r="H29" s="2457"/>
      <c r="I29" s="2457"/>
    </row>
    <row r="30" spans="2:9" s="317" customFormat="1" x14ac:dyDescent="0.2">
      <c r="B30" s="1365"/>
      <c r="C30" s="322"/>
      <c r="D30" s="1417" t="s">
        <v>1746</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2071</v>
      </c>
      <c r="H33" s="1297" t="s">
        <v>99</v>
      </c>
    </row>
    <row r="35" spans="2:9" x14ac:dyDescent="0.2">
      <c r="B35" s="1425" t="s">
        <v>1747</v>
      </c>
      <c r="C35" s="1426"/>
      <c r="D35" s="1264"/>
    </row>
    <row r="36" spans="2:9" ht="6" customHeight="1" x14ac:dyDescent="0.2">
      <c r="B36" s="1425"/>
      <c r="C36" s="1426"/>
      <c r="D36" s="1264"/>
    </row>
    <row r="37" spans="2:9" ht="17.25" customHeight="1" x14ac:dyDescent="0.2">
      <c r="B37" s="1427" t="s">
        <v>1748</v>
      </c>
      <c r="C37" s="2458" t="s">
        <v>1749</v>
      </c>
      <c r="D37" s="2459"/>
      <c r="E37" s="2459"/>
      <c r="F37" s="2460"/>
      <c r="G37" s="2458" t="s">
        <v>1592</v>
      </c>
      <c r="H37" s="2459"/>
      <c r="I37" s="2460"/>
    </row>
    <row r="38" spans="2:9" ht="16.5" customHeight="1" x14ac:dyDescent="0.2">
      <c r="B38" s="1428">
        <v>84.027000000000001</v>
      </c>
      <c r="C38" s="2446" t="s">
        <v>2126</v>
      </c>
      <c r="D38" s="2447"/>
      <c r="E38" s="2447"/>
      <c r="F38" s="2448"/>
      <c r="G38" s="2461">
        <v>1930889</v>
      </c>
      <c r="H38" s="2462"/>
      <c r="I38" s="2463"/>
    </row>
    <row r="39" spans="2:9" ht="16.5" customHeight="1" x14ac:dyDescent="0.2">
      <c r="B39" s="1428"/>
      <c r="C39" s="2446"/>
      <c r="D39" s="2447"/>
      <c r="E39" s="2447"/>
      <c r="F39" s="2448"/>
      <c r="G39" s="2449"/>
      <c r="H39" s="2449"/>
      <c r="I39" s="2449"/>
    </row>
    <row r="40" spans="2:9" ht="16.5" customHeight="1" x14ac:dyDescent="0.2">
      <c r="B40" s="1428"/>
      <c r="C40" s="2446"/>
      <c r="D40" s="2447"/>
      <c r="E40" s="2447"/>
      <c r="F40" s="2448"/>
      <c r="G40" s="2449"/>
      <c r="H40" s="2449"/>
      <c r="I40" s="2449"/>
    </row>
    <row r="41" spans="2:9" ht="16.5" customHeight="1" x14ac:dyDescent="0.2">
      <c r="B41" s="1428"/>
      <c r="C41" s="2446"/>
      <c r="D41" s="2447"/>
      <c r="E41" s="2447"/>
      <c r="F41" s="2448"/>
      <c r="G41" s="2449"/>
      <c r="H41" s="2449"/>
      <c r="I41" s="2449"/>
    </row>
    <row r="42" spans="2:9" ht="16.5" customHeight="1" x14ac:dyDescent="0.2">
      <c r="B42" s="1428"/>
      <c r="C42" s="2446"/>
      <c r="D42" s="2447"/>
      <c r="E42" s="2447"/>
      <c r="F42" s="2448"/>
      <c r="G42" s="2449"/>
      <c r="H42" s="2449"/>
      <c r="I42" s="2449"/>
    </row>
    <row r="43" spans="2:9" ht="16.5" customHeight="1" x14ac:dyDescent="0.2">
      <c r="B43" s="1428"/>
      <c r="C43" s="2464" t="s">
        <v>1593</v>
      </c>
      <c r="D43" s="2465"/>
      <c r="E43" s="2465"/>
      <c r="F43" s="2466"/>
      <c r="G43" s="2467">
        <f>SUM(G38:I42)</f>
        <v>1930889</v>
      </c>
      <c r="H43" s="2467"/>
      <c r="I43" s="2467"/>
    </row>
    <row r="44" spans="2:9" ht="12.75" customHeight="1" x14ac:dyDescent="0.2"/>
    <row r="45" spans="2:9" ht="12.75" customHeight="1" x14ac:dyDescent="0.2">
      <c r="B45" s="1419" t="s">
        <v>1839</v>
      </c>
      <c r="D45" s="2468">
        <v>2077538</v>
      </c>
      <c r="E45" s="2469"/>
    </row>
    <row r="46" spans="2:9" ht="5.25" customHeight="1" x14ac:dyDescent="0.2">
      <c r="B46" s="1429"/>
      <c r="D46" s="1430"/>
      <c r="E46" s="1431"/>
    </row>
    <row r="47" spans="2:9" ht="12.75" customHeight="1" x14ac:dyDescent="0.2">
      <c r="B47" s="1297" t="s">
        <v>1594</v>
      </c>
      <c r="C47" s="1297"/>
      <c r="D47" s="1432">
        <f>+G43/D45</f>
        <v>0.9294121214630009</v>
      </c>
      <c r="E47" s="1433"/>
      <c r="F47" s="1434"/>
      <c r="I47" s="1435"/>
    </row>
    <row r="48" spans="2:9" ht="9.9499999999999993" customHeight="1" x14ac:dyDescent="0.2"/>
    <row r="49" spans="1:9" x14ac:dyDescent="0.2">
      <c r="B49" s="1365" t="s">
        <v>1273</v>
      </c>
      <c r="C49" s="1279"/>
      <c r="D49" s="1279"/>
      <c r="E49" s="2470">
        <v>750000</v>
      </c>
      <c r="F49" s="2470"/>
      <c r="G49" s="2470"/>
      <c r="H49" s="322"/>
    </row>
    <row r="51" spans="1:9" ht="13.5" customHeight="1" x14ac:dyDescent="0.2">
      <c r="B51" s="1365" t="s">
        <v>1272</v>
      </c>
      <c r="C51" s="1279"/>
      <c r="E51" s="1422"/>
      <c r="F51" s="1297" t="s">
        <v>885</v>
      </c>
      <c r="G51" s="1422" t="s">
        <v>2071</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1750</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1751</v>
      </c>
      <c r="C58" s="1448"/>
      <c r="D58" s="1448"/>
    </row>
    <row r="59" spans="1:9" s="1445" customFormat="1" ht="3.95" customHeight="1" x14ac:dyDescent="0.2">
      <c r="A59" s="1442"/>
      <c r="B59" s="1447"/>
      <c r="C59" s="1448"/>
      <c r="D59" s="1448"/>
    </row>
    <row r="60" spans="1:9" s="1445" customFormat="1" ht="13.5" customHeight="1" x14ac:dyDescent="0.2">
      <c r="A60" s="1442"/>
      <c r="B60" s="1447" t="s">
        <v>1752</v>
      </c>
      <c r="C60" s="1448"/>
      <c r="D60" s="1448"/>
    </row>
    <row r="61" spans="1:9" s="1445" customFormat="1" ht="3.95" customHeight="1" x14ac:dyDescent="0.2">
      <c r="A61" s="1442"/>
      <c r="B61" s="1447"/>
      <c r="C61" s="1448"/>
      <c r="D61" s="1448"/>
    </row>
    <row r="62" spans="1:9" s="1445" customFormat="1" ht="12.75" customHeight="1" x14ac:dyDescent="0.2">
      <c r="A62" s="1442"/>
      <c r="B62" s="1447" t="s">
        <v>1753</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0" t="str">
        <f>'Single Audit Cover'!A7</f>
        <v>Perandoe Spec Educ District</v>
      </c>
      <c r="C1" s="2450"/>
      <c r="D1" s="2450"/>
      <c r="E1" s="2450"/>
      <c r="F1" s="2450"/>
      <c r="G1" s="2450"/>
      <c r="H1" s="2450"/>
      <c r="I1" s="2450"/>
      <c r="J1" s="2450"/>
      <c r="K1" s="2450"/>
      <c r="L1" s="1371"/>
      <c r="M1" s="1371"/>
    </row>
    <row r="2" spans="1:13" ht="12" customHeight="1" x14ac:dyDescent="0.2">
      <c r="B2" s="2452">
        <f>'Single Audit Cover'!E7</f>
        <v>45079132061</v>
      </c>
      <c r="C2" s="2452"/>
      <c r="D2" s="2452"/>
      <c r="E2" s="2452"/>
      <c r="F2" s="2452"/>
      <c r="G2" s="2452"/>
      <c r="H2" s="2452"/>
      <c r="I2" s="2452"/>
      <c r="J2" s="2452"/>
      <c r="K2" s="2452"/>
      <c r="L2" s="1372"/>
      <c r="M2" s="1373"/>
    </row>
    <row r="3" spans="1:13" ht="10.35" customHeight="1" x14ac:dyDescent="0.2">
      <c r="B3" s="2473" t="s">
        <v>1285</v>
      </c>
      <c r="C3" s="2473"/>
      <c r="D3" s="2473"/>
      <c r="E3" s="2473"/>
      <c r="F3" s="2473"/>
      <c r="G3" s="2473"/>
      <c r="H3" s="2473"/>
      <c r="I3" s="2473"/>
      <c r="J3" s="2473"/>
      <c r="K3" s="2473"/>
      <c r="L3" s="1374"/>
      <c r="M3" s="1374"/>
    </row>
    <row r="4" spans="1:13" ht="14.25" customHeight="1" x14ac:dyDescent="0.2">
      <c r="B4" s="2474" t="str">
        <f>'Single Audit Cover'!A4</f>
        <v>Year Ending June 30, 2019</v>
      </c>
      <c r="C4" s="2474"/>
      <c r="D4" s="2474"/>
      <c r="E4" s="2474"/>
      <c r="F4" s="2474"/>
      <c r="G4" s="2474"/>
      <c r="H4" s="2474"/>
      <c r="I4" s="2474"/>
      <c r="J4" s="2474"/>
      <c r="K4" s="2474"/>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4" t="s">
        <v>1296</v>
      </c>
      <c r="C7" s="2474"/>
      <c r="D7" s="2475"/>
      <c r="E7" s="2475"/>
      <c r="F7" s="2475"/>
      <c r="G7" s="2475"/>
      <c r="H7" s="2475"/>
      <c r="I7" s="2475"/>
      <c r="J7" s="2475"/>
      <c r="K7" s="2475"/>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1740</v>
      </c>
      <c r="C10" s="1382" t="s">
        <v>1989</v>
      </c>
      <c r="D10" s="1383" t="s">
        <v>2127</v>
      </c>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2"/>
      <c r="C14" s="2472"/>
      <c r="D14" s="2472"/>
      <c r="E14" s="2472"/>
      <c r="F14" s="2472"/>
      <c r="G14" s="2472"/>
      <c r="H14" s="2472"/>
      <c r="I14" s="2472"/>
      <c r="J14" s="2472"/>
      <c r="K14" s="2472"/>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2"/>
      <c r="C17" s="2472"/>
      <c r="D17" s="2472"/>
      <c r="E17" s="2472"/>
      <c r="F17" s="2472"/>
      <c r="G17" s="2472"/>
      <c r="H17" s="2472"/>
      <c r="I17" s="2472"/>
      <c r="J17" s="2472"/>
      <c r="K17" s="2472"/>
      <c r="L17" s="1378"/>
    </row>
    <row r="18" spans="2:12" ht="4.5" customHeight="1" x14ac:dyDescent="0.2">
      <c r="B18" s="1395"/>
      <c r="C18" s="1395"/>
      <c r="L18" s="1378"/>
    </row>
    <row r="19" spans="2:12" s="1279" customFormat="1" ht="13.5" customHeight="1" x14ac:dyDescent="0.2">
      <c r="B19" s="1390" t="s">
        <v>1741</v>
      </c>
      <c r="C19" s="1390"/>
      <c r="D19" s="1391"/>
      <c r="E19" s="1391"/>
      <c r="F19" s="1391"/>
      <c r="G19" s="1392"/>
      <c r="H19" s="1391"/>
      <c r="I19" s="1392"/>
      <c r="J19" s="1391"/>
      <c r="K19" s="1391"/>
      <c r="L19" s="1393"/>
    </row>
    <row r="20" spans="2:12" ht="45.75" customHeight="1" x14ac:dyDescent="0.2">
      <c r="B20" s="2476"/>
      <c r="C20" s="2476"/>
      <c r="D20" s="2472"/>
      <c r="E20" s="2472"/>
      <c r="F20" s="2472"/>
      <c r="G20" s="2472"/>
      <c r="H20" s="2472"/>
      <c r="I20" s="2472"/>
      <c r="J20" s="2472"/>
      <c r="K20" s="2472"/>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2"/>
      <c r="C23" s="2472"/>
      <c r="D23" s="2472"/>
      <c r="E23" s="2472"/>
      <c r="F23" s="2472"/>
      <c r="G23" s="2472"/>
      <c r="H23" s="2472"/>
      <c r="I23" s="2472"/>
      <c r="J23" s="2472"/>
      <c r="K23" s="2472"/>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2"/>
      <c r="C26" s="2472"/>
      <c r="D26" s="2472"/>
      <c r="E26" s="2472"/>
      <c r="F26" s="2472"/>
      <c r="G26" s="2472"/>
      <c r="H26" s="2472"/>
      <c r="I26" s="2472"/>
      <c r="J26" s="2472"/>
      <c r="K26" s="2472"/>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1"/>
      <c r="C29" s="2471"/>
      <c r="D29" s="2472"/>
      <c r="E29" s="2472"/>
      <c r="F29" s="2472"/>
      <c r="G29" s="2472"/>
      <c r="H29" s="2472"/>
      <c r="I29" s="2472"/>
      <c r="J29" s="2472"/>
      <c r="K29" s="2472"/>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1742</v>
      </c>
      <c r="C31" s="1400"/>
      <c r="D31" s="1375"/>
      <c r="E31" s="1376"/>
      <c r="F31" s="1376"/>
      <c r="G31" s="1377"/>
      <c r="H31" s="1376"/>
      <c r="I31" s="1377"/>
      <c r="J31" s="1376"/>
      <c r="K31" s="1376"/>
      <c r="L31" s="1378"/>
    </row>
    <row r="32" spans="2:12" s="322" customFormat="1" ht="44.25" customHeight="1" x14ac:dyDescent="0.2">
      <c r="B32" s="2471"/>
      <c r="C32" s="2471"/>
      <c r="D32" s="2472"/>
      <c r="E32" s="2472"/>
      <c r="F32" s="2472"/>
      <c r="G32" s="2472"/>
      <c r="H32" s="2472"/>
      <c r="I32" s="2472"/>
      <c r="J32" s="2472"/>
      <c r="K32" s="2472"/>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1743</v>
      </c>
      <c r="C35" s="1403"/>
      <c r="D35" s="322"/>
      <c r="E35" s="322"/>
      <c r="F35" s="322"/>
      <c r="L35" s="1378"/>
    </row>
    <row r="36" spans="1:13" ht="9.6" customHeight="1" x14ac:dyDescent="0.2">
      <c r="B36" s="1297" t="s">
        <v>1840</v>
      </c>
      <c r="C36" s="1297"/>
      <c r="L36" s="1378"/>
    </row>
    <row r="37" spans="1:13" ht="9.6" customHeight="1" x14ac:dyDescent="0.2">
      <c r="B37" s="1297" t="s">
        <v>1841</v>
      </c>
      <c r="C37" s="1297"/>
    </row>
    <row r="38" spans="1:13" ht="11.85" customHeight="1" x14ac:dyDescent="0.2">
      <c r="B38" s="1404" t="s">
        <v>1744</v>
      </c>
      <c r="C38" s="1404"/>
    </row>
    <row r="39" spans="1:13" ht="9.6" customHeight="1" x14ac:dyDescent="0.2">
      <c r="B39" s="1297" t="s">
        <v>1286</v>
      </c>
      <c r="C39" s="1297"/>
      <c r="M39" s="1405"/>
    </row>
    <row r="40" spans="1:13" ht="12.6" customHeight="1" x14ac:dyDescent="0.2">
      <c r="B40" s="1404" t="s">
        <v>1745</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7" t="str">
        <f>'Single Audit Cover'!A7</f>
        <v>Perandoe Spec Educ District</v>
      </c>
      <c r="C1" s="2477"/>
      <c r="D1" s="2477"/>
      <c r="E1" s="2477"/>
      <c r="F1" s="2477"/>
      <c r="G1" s="2477"/>
      <c r="H1" s="2477"/>
      <c r="I1" s="2477"/>
      <c r="J1" s="2477"/>
      <c r="K1" s="2477"/>
      <c r="L1" s="1449"/>
    </row>
    <row r="2" spans="1:12" ht="12.75" customHeight="1" x14ac:dyDescent="0.2">
      <c r="B2" s="2478">
        <f>'Single Audit Cover'!E7</f>
        <v>45079132061</v>
      </c>
      <c r="C2" s="2478"/>
      <c r="D2" s="2478"/>
      <c r="E2" s="2478"/>
      <c r="F2" s="2478"/>
      <c r="G2" s="2478"/>
      <c r="H2" s="2478"/>
      <c r="I2" s="2478"/>
      <c r="J2" s="2478"/>
      <c r="K2" s="2478"/>
      <c r="L2" s="1450"/>
    </row>
    <row r="3" spans="1:12" ht="12.75" customHeight="1" x14ac:dyDescent="0.2">
      <c r="B3" s="2473" t="s">
        <v>1285</v>
      </c>
      <c r="C3" s="2473"/>
      <c r="D3" s="2473"/>
      <c r="E3" s="2473"/>
      <c r="F3" s="2473"/>
      <c r="G3" s="2473"/>
      <c r="H3" s="2473"/>
      <c r="I3" s="2473"/>
      <c r="J3" s="2473"/>
      <c r="K3" s="2473"/>
      <c r="L3" s="1374"/>
    </row>
    <row r="4" spans="1:12" ht="12.75" customHeight="1" x14ac:dyDescent="0.2">
      <c r="B4" s="2473" t="str">
        <f>'Single Audit Cover'!A4</f>
        <v>Year Ending June 30, 2019</v>
      </c>
      <c r="C4" s="2473"/>
      <c r="D4" s="2473"/>
      <c r="E4" s="2473"/>
      <c r="F4" s="2473"/>
      <c r="G4" s="2473"/>
      <c r="H4" s="2473"/>
      <c r="I4" s="2473"/>
      <c r="J4" s="2473"/>
      <c r="K4" s="2473"/>
      <c r="L4" s="1374"/>
    </row>
    <row r="5" spans="1:12" ht="5.25" customHeight="1" x14ac:dyDescent="0.2">
      <c r="B5" s="1257" t="s">
        <v>1169</v>
      </c>
      <c r="C5" s="1257"/>
      <c r="L5" s="322"/>
    </row>
    <row r="6" spans="1:12" ht="30.75" customHeight="1" x14ac:dyDescent="0.2">
      <c r="A6" s="322"/>
      <c r="B6" s="2479" t="s">
        <v>1308</v>
      </c>
      <c r="C6" s="2479"/>
      <c r="D6" s="2479"/>
      <c r="E6" s="2479"/>
      <c r="F6" s="2479"/>
      <c r="G6" s="2479"/>
      <c r="H6" s="2479"/>
      <c r="I6" s="2479"/>
      <c r="J6" s="2479"/>
      <c r="K6" s="2479"/>
      <c r="L6" s="322"/>
    </row>
    <row r="7" spans="1:12" ht="4.5" customHeight="1" x14ac:dyDescent="0.2">
      <c r="B7" s="1376"/>
      <c r="C7" s="1376"/>
      <c r="D7" s="1376"/>
      <c r="E7" s="1376"/>
      <c r="F7" s="1376"/>
      <c r="G7" s="1377"/>
      <c r="H7" s="1376"/>
      <c r="I7" s="1377"/>
      <c r="J7" s="1376"/>
      <c r="K7" s="1376"/>
      <c r="L7" s="322"/>
    </row>
    <row r="8" spans="1:12" ht="13.5" customHeight="1" x14ac:dyDescent="0.2">
      <c r="B8" s="1384" t="s">
        <v>1754</v>
      </c>
      <c r="C8" s="1451" t="s">
        <v>1989</v>
      </c>
      <c r="D8" s="1452" t="s">
        <v>2127</v>
      </c>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7"/>
      <c r="G12" s="2457"/>
      <c r="H12" s="2457"/>
      <c r="I12" s="2457"/>
      <c r="J12" s="2457"/>
      <c r="K12" s="2457"/>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0"/>
      <c r="E14" s="2480"/>
      <c r="F14" s="2480"/>
      <c r="H14" s="1459" t="s">
        <v>1303</v>
      </c>
      <c r="I14" s="2481"/>
      <c r="J14" s="2481"/>
      <c r="K14" s="2481"/>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1"/>
      <c r="E16" s="2481"/>
      <c r="F16" s="2481"/>
      <c r="G16" s="2481"/>
      <c r="H16" s="2481"/>
      <c r="I16" s="2481"/>
      <c r="J16" s="2481"/>
      <c r="K16" s="2481"/>
      <c r="L16" s="322"/>
    </row>
    <row r="17" spans="2:12" ht="13.5" customHeight="1" x14ac:dyDescent="0.2">
      <c r="B17" s="1384" t="s">
        <v>1301</v>
      </c>
      <c r="C17" s="1384"/>
      <c r="D17" s="2482"/>
      <c r="E17" s="2482"/>
      <c r="F17" s="2482"/>
      <c r="G17" s="2482"/>
      <c r="H17" s="2482"/>
      <c r="I17" s="2482"/>
      <c r="J17" s="2482"/>
      <c r="K17" s="2482"/>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2"/>
      <c r="C20" s="2472"/>
      <c r="D20" s="2472"/>
      <c r="E20" s="2472"/>
      <c r="F20" s="2472"/>
      <c r="G20" s="2472"/>
      <c r="H20" s="2472"/>
      <c r="I20" s="2472"/>
      <c r="J20" s="2472"/>
      <c r="K20" s="2472"/>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1755</v>
      </c>
      <c r="C22" s="1461"/>
      <c r="D22" s="322"/>
      <c r="E22" s="322"/>
      <c r="F22" s="322"/>
      <c r="G22" s="1380"/>
      <c r="H22" s="322"/>
      <c r="I22" s="1380"/>
      <c r="J22" s="322"/>
      <c r="K22" s="322"/>
      <c r="L22" s="322"/>
    </row>
    <row r="23" spans="2:12" ht="37.5" customHeight="1" x14ac:dyDescent="0.2">
      <c r="B23" s="2472"/>
      <c r="C23" s="2472"/>
      <c r="D23" s="2472"/>
      <c r="E23" s="2472"/>
      <c r="F23" s="2472"/>
      <c r="G23" s="2472"/>
      <c r="H23" s="2472"/>
      <c r="I23" s="2472"/>
      <c r="J23" s="2472"/>
      <c r="K23" s="2472"/>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1756</v>
      </c>
      <c r="C25" s="1461"/>
      <c r="D25" s="322"/>
      <c r="E25" s="322"/>
      <c r="F25" s="322"/>
      <c r="G25" s="1380"/>
      <c r="H25" s="322"/>
      <c r="I25" s="1380"/>
      <c r="J25" s="322"/>
      <c r="K25" s="322"/>
      <c r="L25" s="322"/>
    </row>
    <row r="26" spans="2:12" ht="37.5" customHeight="1" x14ac:dyDescent="0.2">
      <c r="B26" s="2472"/>
      <c r="C26" s="2472"/>
      <c r="D26" s="2472"/>
      <c r="E26" s="2472"/>
      <c r="F26" s="2472"/>
      <c r="G26" s="2472"/>
      <c r="H26" s="2472"/>
      <c r="I26" s="2472"/>
      <c r="J26" s="2472"/>
      <c r="K26" s="2472"/>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1757</v>
      </c>
      <c r="C28" s="1461"/>
      <c r="D28" s="322"/>
      <c r="E28" s="322"/>
      <c r="F28" s="322"/>
      <c r="G28" s="1380"/>
      <c r="H28" s="322"/>
      <c r="I28" s="1380"/>
      <c r="J28" s="322"/>
      <c r="K28" s="322"/>
      <c r="L28" s="322"/>
    </row>
    <row r="29" spans="2:12" ht="37.5" customHeight="1" x14ac:dyDescent="0.2">
      <c r="B29" s="2472"/>
      <c r="C29" s="2472"/>
      <c r="D29" s="2472"/>
      <c r="E29" s="2472"/>
      <c r="F29" s="2472"/>
      <c r="G29" s="2472"/>
      <c r="H29" s="2472"/>
      <c r="I29" s="2472"/>
      <c r="J29" s="2472"/>
      <c r="K29" s="2472"/>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2"/>
      <c r="C32" s="2472"/>
      <c r="D32" s="2472"/>
      <c r="E32" s="2472"/>
      <c r="F32" s="2472"/>
      <c r="G32" s="2472"/>
      <c r="H32" s="2472"/>
      <c r="I32" s="2472"/>
      <c r="J32" s="2472"/>
      <c r="K32" s="2472"/>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2"/>
      <c r="C35" s="2472"/>
      <c r="D35" s="2472"/>
      <c r="E35" s="2472"/>
      <c r="F35" s="2472"/>
      <c r="G35" s="2472"/>
      <c r="H35" s="2472"/>
      <c r="I35" s="2472"/>
      <c r="J35" s="2472"/>
      <c r="K35" s="2472"/>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2"/>
      <c r="C38" s="2472"/>
      <c r="D38" s="2472"/>
      <c r="E38" s="2472"/>
      <c r="F38" s="2472"/>
      <c r="G38" s="2472"/>
      <c r="H38" s="2472"/>
      <c r="I38" s="2472"/>
      <c r="J38" s="2472"/>
      <c r="K38" s="2472"/>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1758</v>
      </c>
      <c r="C40" s="1400"/>
      <c r="D40" s="1375"/>
      <c r="E40" s="1376"/>
      <c r="F40" s="1376"/>
      <c r="G40" s="1377"/>
      <c r="H40" s="1376"/>
      <c r="I40" s="1377"/>
      <c r="J40" s="1376"/>
      <c r="K40" s="1376"/>
    </row>
    <row r="41" spans="2:12" s="322" customFormat="1" ht="33.75" customHeight="1" x14ac:dyDescent="0.2">
      <c r="B41" s="2472"/>
      <c r="C41" s="2472"/>
      <c r="D41" s="2472"/>
      <c r="E41" s="2472"/>
      <c r="F41" s="2472"/>
      <c r="G41" s="2472"/>
      <c r="H41" s="2472"/>
      <c r="I41" s="2472"/>
      <c r="J41" s="2472"/>
      <c r="K41" s="2472"/>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1759</v>
      </c>
      <c r="C44" s="1403"/>
      <c r="D44" s="322"/>
      <c r="E44" s="322"/>
      <c r="F44" s="322"/>
    </row>
    <row r="45" spans="2:12" ht="10.5" customHeight="1" x14ac:dyDescent="0.2">
      <c r="B45" s="1404" t="s">
        <v>1760</v>
      </c>
      <c r="C45" s="1404"/>
      <c r="G45" s="317"/>
      <c r="I45" s="317"/>
    </row>
    <row r="46" spans="2:12" ht="11.1" customHeight="1" x14ac:dyDescent="0.2">
      <c r="B46" s="1404" t="s">
        <v>1761</v>
      </c>
      <c r="C46" s="1404"/>
      <c r="G46" s="317"/>
      <c r="I46" s="317"/>
    </row>
    <row r="47" spans="2:12" ht="11.1" customHeight="1" x14ac:dyDescent="0.2">
      <c r="B47" s="1404" t="s">
        <v>1762</v>
      </c>
      <c r="C47" s="1404"/>
      <c r="G47" s="317"/>
      <c r="I47" s="317"/>
    </row>
    <row r="48" spans="2:12" ht="11.1" customHeight="1" x14ac:dyDescent="0.2">
      <c r="B48" s="1404" t="s">
        <v>1763</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0" t="str">
        <f>'Single Audit Cover'!A7</f>
        <v>Perandoe Spec Educ District</v>
      </c>
      <c r="C1" s="2450"/>
      <c r="D1" s="2450"/>
      <c r="E1" s="1469"/>
    </row>
    <row r="2" spans="2:5" s="1279" customFormat="1" ht="12.75" customHeight="1" x14ac:dyDescent="0.2">
      <c r="B2" s="2452">
        <f>'Single Audit Cover'!E7</f>
        <v>45079132061</v>
      </c>
      <c r="C2" s="2452"/>
      <c r="D2" s="2452"/>
      <c r="E2" s="1470"/>
    </row>
    <row r="3" spans="2:5" ht="12.75" customHeight="1" x14ac:dyDescent="0.2">
      <c r="B3" s="2473" t="s">
        <v>1764</v>
      </c>
      <c r="C3" s="2473"/>
      <c r="D3" s="2473"/>
      <c r="E3" s="1271"/>
    </row>
    <row r="4" spans="2:5" s="1279" customFormat="1" ht="12.75" customHeight="1" x14ac:dyDescent="0.2">
      <c r="B4" s="2483" t="str">
        <f>'Single Audit Cover'!A4</f>
        <v>Year Ending June 30, 2019</v>
      </c>
      <c r="C4" s="2483"/>
      <c r="D4" s="2483"/>
      <c r="E4" s="1471"/>
    </row>
    <row r="5" spans="2:5" s="1279" customFormat="1" ht="40.15" customHeight="1" x14ac:dyDescent="0.2">
      <c r="B5" s="1472" t="s">
        <v>1765</v>
      </c>
      <c r="C5" s="328"/>
      <c r="D5" s="328"/>
      <c r="E5" s="328"/>
    </row>
    <row r="6" spans="2:5" s="1279" customFormat="1" ht="13.5" customHeight="1" x14ac:dyDescent="0.2">
      <c r="B6" s="1473" t="s">
        <v>1315</v>
      </c>
      <c r="C6" s="1473" t="s">
        <v>1314</v>
      </c>
      <c r="D6" s="1473" t="s">
        <v>1766</v>
      </c>
    </row>
    <row r="7" spans="2:5" ht="13.5" customHeight="1" x14ac:dyDescent="0.2">
      <c r="B7" s="1474"/>
      <c r="C7" s="324"/>
      <c r="D7" s="324"/>
      <c r="E7" s="324"/>
    </row>
    <row r="8" spans="2:5" ht="13.5" customHeight="1" x14ac:dyDescent="0.2">
      <c r="B8" s="1474" t="s">
        <v>2127</v>
      </c>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1767</v>
      </c>
    </row>
    <row r="46" spans="2:5" ht="12.2" customHeight="1" x14ac:dyDescent="0.2">
      <c r="B46" s="1483" t="s">
        <v>1768</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activeCell="A8" sqref="A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1" t="s">
        <v>386</v>
      </c>
      <c r="B1" s="2081"/>
      <c r="C1" s="2081"/>
      <c r="D1" s="2081"/>
      <c r="E1" s="2081"/>
      <c r="F1" s="2081"/>
      <c r="G1" s="2081"/>
      <c r="H1" s="2081"/>
      <c r="I1" s="2081"/>
      <c r="J1" s="2081"/>
      <c r="K1" s="2081"/>
      <c r="L1" s="2081"/>
      <c r="M1" s="2081"/>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32">
        <f>ROUND(D10+F10+H10,5)</f>
        <v>0</v>
      </c>
      <c r="K10" s="222"/>
      <c r="L10" s="355"/>
      <c r="M10" s="222"/>
    </row>
    <row r="11" spans="1:14" ht="7.5" customHeight="1" x14ac:dyDescent="0.2">
      <c r="B11" s="222"/>
      <c r="C11" s="222"/>
      <c r="D11" s="2091" t="str">
        <f>IF(SUM(J10)&lt;=0.0999999,"","Enter the Tax Rates by moving the decimal two places to the left.")</f>
        <v/>
      </c>
      <c r="E11" s="2092"/>
      <c r="F11" s="2092"/>
      <c r="G11" s="2092"/>
      <c r="H11" s="2092"/>
      <c r="I11" s="2092"/>
      <c r="J11" s="209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6585425</v>
      </c>
      <c r="E16" s="356"/>
      <c r="F16" s="1733">
        <f>SUM('Acct Summary 7-8'!C17,'Acct Summary 7-8'!D17,'Acct Summary 7-8'!F17)</f>
        <v>6707803</v>
      </c>
      <c r="G16" s="356"/>
      <c r="H16" s="1733">
        <f>SUM(D16-F16)</f>
        <v>-122378</v>
      </c>
      <c r="I16" s="222"/>
      <c r="J16" s="1733">
        <f>SUM('Acct Summary 7-8'!C81,'Acct Summary 7-8'!D81,'Acct Summary 7-8'!F81,'Acct Summary 7-8'!I81)</f>
        <v>2369833</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2"/>
      <c r="C54" s="2083"/>
      <c r="D54" s="2083"/>
      <c r="E54" s="2083"/>
      <c r="F54" s="2083"/>
      <c r="G54" s="2083"/>
      <c r="H54" s="2083"/>
      <c r="I54" s="2083"/>
      <c r="J54" s="2083"/>
      <c r="K54" s="2083"/>
      <c r="L54" s="2084"/>
      <c r="M54" s="380"/>
    </row>
    <row r="55" spans="1:13" ht="12.75" customHeight="1" x14ac:dyDescent="0.2">
      <c r="B55" s="2085"/>
      <c r="C55" s="2086"/>
      <c r="D55" s="2086"/>
      <c r="E55" s="2086"/>
      <c r="F55" s="2086"/>
      <c r="G55" s="2086"/>
      <c r="H55" s="2086"/>
      <c r="I55" s="2086"/>
      <c r="J55" s="2086"/>
      <c r="K55" s="2086"/>
      <c r="L55" s="2087"/>
      <c r="M55" s="380"/>
    </row>
    <row r="56" spans="1:13" ht="12.75" customHeight="1" x14ac:dyDescent="0.2">
      <c r="B56" s="2085"/>
      <c r="C56" s="2086"/>
      <c r="D56" s="2086"/>
      <c r="E56" s="2086"/>
      <c r="F56" s="2086"/>
      <c r="G56" s="2086"/>
      <c r="H56" s="2086"/>
      <c r="I56" s="2086"/>
      <c r="J56" s="2086"/>
      <c r="K56" s="2086"/>
      <c r="L56" s="2087"/>
      <c r="M56" s="222"/>
    </row>
    <row r="57" spans="1:13" ht="12.75" customHeight="1" x14ac:dyDescent="0.2">
      <c r="B57" s="2085"/>
      <c r="C57" s="2086"/>
      <c r="D57" s="2086"/>
      <c r="E57" s="2086"/>
      <c r="F57" s="2086"/>
      <c r="G57" s="2086"/>
      <c r="H57" s="2086"/>
      <c r="I57" s="2086"/>
      <c r="J57" s="2086"/>
      <c r="K57" s="2086"/>
      <c r="L57" s="2087"/>
      <c r="M57" s="222"/>
    </row>
    <row r="58" spans="1:13" x14ac:dyDescent="0.2">
      <c r="B58" s="2088"/>
      <c r="C58" s="2089"/>
      <c r="D58" s="2089"/>
      <c r="E58" s="2089"/>
      <c r="F58" s="2089"/>
      <c r="G58" s="2089"/>
      <c r="H58" s="2089"/>
      <c r="I58" s="2089"/>
      <c r="J58" s="2089"/>
      <c r="K58" s="2089"/>
      <c r="L58" s="209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3"/>
      <c r="D61" s="209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6"/>
      <c r="B1" s="2097"/>
      <c r="C1" s="2097"/>
      <c r="D1" s="384"/>
      <c r="E1" s="384"/>
      <c r="F1" s="384"/>
      <c r="G1" s="384"/>
      <c r="H1" s="384"/>
      <c r="I1" s="384"/>
      <c r="J1" s="384"/>
      <c r="K1" s="384"/>
      <c r="L1" s="384"/>
      <c r="M1" s="384"/>
      <c r="N1" s="384"/>
      <c r="O1" s="2096"/>
      <c r="P1" s="2097"/>
      <c r="Q1" s="2097"/>
    </row>
    <row r="2" spans="1:18" ht="15" x14ac:dyDescent="0.2">
      <c r="A2" s="2100" t="s">
        <v>556</v>
      </c>
      <c r="B2" s="2100"/>
      <c r="C2" s="2100"/>
      <c r="D2" s="2100"/>
      <c r="E2" s="2100"/>
      <c r="F2" s="2100"/>
      <c r="G2" s="2100"/>
      <c r="H2" s="2100"/>
      <c r="I2" s="2100"/>
      <c r="J2" s="2100"/>
      <c r="K2" s="2100"/>
      <c r="L2" s="2100"/>
      <c r="M2" s="2100"/>
      <c r="N2" s="2100"/>
      <c r="O2" s="2100"/>
      <c r="P2" s="2100"/>
      <c r="Q2" s="2100"/>
      <c r="R2" s="2100"/>
    </row>
    <row r="3" spans="1:18" ht="12.75" x14ac:dyDescent="0.2">
      <c r="A3" s="2101" t="s">
        <v>1413</v>
      </c>
      <c r="B3" s="2101"/>
      <c r="C3" s="2101"/>
      <c r="D3" s="2101"/>
      <c r="E3" s="2101"/>
      <c r="F3" s="2101"/>
      <c r="G3" s="2101"/>
      <c r="H3" s="2101"/>
      <c r="I3" s="2101"/>
      <c r="J3" s="2101"/>
      <c r="K3" s="2101"/>
      <c r="L3" s="2101"/>
      <c r="M3" s="2101"/>
      <c r="N3" s="2101"/>
      <c r="O3" s="2101"/>
      <c r="P3" s="2101"/>
      <c r="Q3" s="2101"/>
      <c r="R3" s="2101"/>
    </row>
    <row r="4" spans="1:18" x14ac:dyDescent="0.2">
      <c r="A4" s="2102" t="s">
        <v>1554</v>
      </c>
      <c r="B4" s="2102"/>
      <c r="C4" s="2102"/>
      <c r="D4" s="2102"/>
      <c r="E4" s="2102"/>
      <c r="F4" s="2102"/>
      <c r="G4" s="2102"/>
      <c r="H4" s="2102"/>
      <c r="I4" s="2102"/>
      <c r="J4" s="2102"/>
      <c r="K4" s="2102"/>
      <c r="L4" s="2102"/>
      <c r="M4" s="2102"/>
      <c r="N4" s="2102"/>
      <c r="O4" s="2102"/>
      <c r="P4" s="2102"/>
      <c r="Q4" s="2102"/>
      <c r="R4" s="210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Perandoe Spec Educ District</v>
      </c>
      <c r="E7" s="391"/>
      <c r="G7" s="252"/>
      <c r="H7" s="387"/>
      <c r="I7" s="387"/>
      <c r="J7" s="387"/>
      <c r="K7" s="387"/>
      <c r="L7" s="329"/>
      <c r="M7" s="329"/>
      <c r="N7" s="329"/>
      <c r="O7" s="329"/>
      <c r="P7" s="329"/>
    </row>
    <row r="8" spans="1:18" ht="12.75" x14ac:dyDescent="0.2">
      <c r="A8" s="329"/>
      <c r="B8" s="329"/>
      <c r="C8" s="389" t="s">
        <v>1125</v>
      </c>
      <c r="D8" s="392">
        <f>COVER!A13</f>
        <v>45079132061</v>
      </c>
      <c r="E8" s="393"/>
      <c r="G8" s="329"/>
      <c r="H8" s="329"/>
      <c r="I8" s="329"/>
      <c r="J8" s="329"/>
      <c r="K8" s="329"/>
      <c r="L8" s="329"/>
      <c r="M8" s="329"/>
      <c r="N8" s="329"/>
      <c r="O8" s="329"/>
      <c r="P8" s="329"/>
    </row>
    <row r="9" spans="1:18" ht="12.75" x14ac:dyDescent="0.2">
      <c r="A9" s="329"/>
      <c r="B9" s="329"/>
      <c r="C9" s="389" t="s">
        <v>713</v>
      </c>
      <c r="D9" s="394" t="str">
        <f>COVER!A15</f>
        <v>Randolph</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2369833</v>
      </c>
      <c r="I12" s="404"/>
      <c r="J12" s="404"/>
      <c r="K12" s="405">
        <f>TRUNC((H12/H13*100000),5)/100000</f>
        <v>0.35986029750000004</v>
      </c>
      <c r="L12" s="406"/>
      <c r="M12" s="360" t="s">
        <v>1144</v>
      </c>
      <c r="N12" s="360"/>
      <c r="O12" s="407">
        <v>0.35</v>
      </c>
      <c r="P12" s="218"/>
      <c r="Q12" s="218"/>
    </row>
    <row r="13" spans="1:18" s="408" customFormat="1" ht="12.75" x14ac:dyDescent="0.2">
      <c r="A13" s="218"/>
      <c r="B13" s="401"/>
      <c r="C13" s="2098" t="s">
        <v>1324</v>
      </c>
      <c r="D13" s="2099"/>
      <c r="E13" s="218"/>
      <c r="F13" s="409" t="s">
        <v>793</v>
      </c>
      <c r="G13" s="402"/>
      <c r="H13" s="403">
        <f>SUM('Acct Summary 7-8'!C8+'Acct Summary 7-8'!D8+'Acct Summary 7-8'!F8+'Acct Summary 7-8'!I8)+H14</f>
        <v>6585425</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t="str">
        <f>IF(K17&gt;1.2,"1",IF(K17&gt;1.1,"2",IF(K17&gt;1,"3",4)))</f>
        <v>3</v>
      </c>
      <c r="P16" s="216"/>
      <c r="R16" s="384"/>
    </row>
    <row r="17" spans="1:18" s="408" customFormat="1" ht="11.25" x14ac:dyDescent="0.2">
      <c r="A17" s="218"/>
      <c r="B17" s="401"/>
      <c r="C17" s="218" t="s">
        <v>797</v>
      </c>
      <c r="D17" s="218"/>
      <c r="E17" s="218"/>
      <c r="F17" s="218" t="s">
        <v>444</v>
      </c>
      <c r="G17" s="402"/>
      <c r="H17" s="403">
        <f>SUM('Acct Summary 7-8'!C17+'Acct Summary 7-8'!D17+'Acct Summary 7-8'!F17)</f>
        <v>6707803</v>
      </c>
      <c r="I17" s="404"/>
      <c r="J17" s="416"/>
      <c r="K17" s="405">
        <f>TRUNC((H17/H18*100000),5)/100000</f>
        <v>1.0185831590000001</v>
      </c>
      <c r="L17" s="406"/>
      <c r="M17" s="417" t="s">
        <v>1171</v>
      </c>
      <c r="O17" s="418" t="str">
        <f>IF(AND(O16="2", J20 &gt; 2),"1",IF(AND(O16 = "1", J20 &gt; 2),"2",IF(AND(O16="1", J20 &gt;1),"1","0")))</f>
        <v>0</v>
      </c>
      <c r="P17" s="218"/>
    </row>
    <row r="18" spans="1:18" s="408" customFormat="1" ht="11.25" x14ac:dyDescent="0.2">
      <c r="A18" s="218"/>
      <c r="B18" s="401"/>
      <c r="C18" s="2098" t="s">
        <v>1317</v>
      </c>
      <c r="D18" s="2099"/>
      <c r="E18" s="218"/>
      <c r="F18" s="419" t="s">
        <v>794</v>
      </c>
      <c r="G18" s="402"/>
      <c r="H18" s="403">
        <f>SUM('Acct Summary 7-8'!C8+'Acct Summary 7-8'!D8+'Acct Summary 7-8'!F8+'Acct Summary 7-8'!I8)+H19</f>
        <v>6585425</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f>IF(K17&lt;=1,"0",TRUNC(((K12-0.1)/(K17-1)*100),5)/100)</f>
        <v>13.9836449</v>
      </c>
      <c r="K20" s="405" t="str">
        <f>IF(K17&lt;=1,"0",IF(AND(O16="2", J20 &gt; 2),TRUNC(((K12-0.1)/(K17-1)*100),5)/100,IF(AND(O16 = "1", J20 &gt; 2),TRUNC(((K12-0.1)/(K17-1)*100),5)/100,IF(AND(O16="1", J20 &gt;1),TRUNC(((K12-0.1)/(K17-1)*100),5)/100,""))))</f>
        <v/>
      </c>
      <c r="L20" s="218"/>
      <c r="M20" s="360" t="s">
        <v>1145</v>
      </c>
      <c r="N20" s="360"/>
      <c r="O20" s="411">
        <f>(O16+O17)*O18</f>
        <v>1.0499999999999998</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095" t="s">
        <v>1412</v>
      </c>
      <c r="D24" s="2095"/>
      <c r="E24" s="218"/>
      <c r="F24" s="218" t="s">
        <v>445</v>
      </c>
      <c r="G24" s="402"/>
      <c r="H24" s="403">
        <f>SUM('Assets-Liab 5-6'!C4+'Assets-Liab 5-6'!D4+'Assets-Liab 5-6'!F4+'Assets-Liab 5-6'!I4+'Assets-Liab 5-6'!C5+'Assets-Liab 5-6'!D5+'Assets-Liab 5-6'!F5+'Assets-Liab 5-6'!I5)</f>
        <v>2369833</v>
      </c>
      <c r="I24" s="422"/>
      <c r="J24" s="422"/>
      <c r="K24" s="423">
        <f>TRUNC(((H24/H25*100000)/100000),2)</f>
        <v>127.18</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18632.786110000001</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1929</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4" activePane="bottomLeft" state="frozen"/>
      <selection activeCell="A8" sqref="A8"/>
      <selection pane="bottomLeft" activeCell="A8" sqref="A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3"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4"/>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5" t="s">
        <v>973</v>
      </c>
      <c r="B3" s="2106"/>
      <c r="C3" s="1559"/>
      <c r="D3" s="1560"/>
      <c r="E3" s="1560"/>
      <c r="F3" s="1560"/>
      <c r="G3" s="1560"/>
      <c r="H3" s="1560"/>
      <c r="I3" s="1560"/>
      <c r="J3" s="1560"/>
      <c r="K3" s="1560"/>
      <c r="L3" s="1560"/>
      <c r="M3" s="1561"/>
      <c r="N3" s="1562"/>
    </row>
    <row r="4" spans="1:14" ht="13.5" customHeight="1" x14ac:dyDescent="0.2">
      <c r="A4" s="463" t="s">
        <v>1651</v>
      </c>
      <c r="B4" s="464"/>
      <c r="C4" s="465">
        <v>2369833</v>
      </c>
      <c r="D4" s="466"/>
      <c r="E4" s="466"/>
      <c r="F4" s="466"/>
      <c r="G4" s="466"/>
      <c r="H4" s="466"/>
      <c r="I4" s="466"/>
      <c r="J4" s="467"/>
      <c r="K4" s="466"/>
      <c r="L4" s="466"/>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2369833</v>
      </c>
      <c r="D13" s="1737">
        <f t="shared" ref="D13:L13" si="0">SUM(D4:D12)</f>
        <v>0</v>
      </c>
      <c r="E13" s="1737">
        <f t="shared" si="0"/>
        <v>0</v>
      </c>
      <c r="F13" s="1737">
        <f t="shared" si="0"/>
        <v>0</v>
      </c>
      <c r="G13" s="1737">
        <f t="shared" si="0"/>
        <v>0</v>
      </c>
      <c r="H13" s="1737">
        <f t="shared" si="0"/>
        <v>0</v>
      </c>
      <c r="I13" s="1737">
        <f t="shared" si="0"/>
        <v>0</v>
      </c>
      <c r="J13" s="1737">
        <f t="shared" si="0"/>
        <v>0</v>
      </c>
      <c r="K13" s="1737">
        <f t="shared" si="0"/>
        <v>0</v>
      </c>
      <c r="L13" s="1737">
        <f t="shared" si="0"/>
        <v>0</v>
      </c>
      <c r="M13" s="468"/>
      <c r="N13" s="469"/>
    </row>
    <row r="14" spans="1:14" ht="18" customHeight="1" thickTop="1" x14ac:dyDescent="0.2">
      <c r="A14" s="2107" t="s">
        <v>147</v>
      </c>
      <c r="B14" s="2108"/>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51015</v>
      </c>
      <c r="N16" s="484"/>
    </row>
    <row r="17" spans="1:14" s="485" customFormat="1" ht="12.75" customHeight="1" x14ac:dyDescent="0.2">
      <c r="A17" s="482" t="s">
        <v>1403</v>
      </c>
      <c r="B17" s="483">
        <v>230</v>
      </c>
      <c r="C17" s="477"/>
      <c r="D17" s="477"/>
      <c r="E17" s="477"/>
      <c r="F17" s="477"/>
      <c r="G17" s="477"/>
      <c r="H17" s="477"/>
      <c r="I17" s="477"/>
      <c r="J17" s="477"/>
      <c r="K17" s="477"/>
      <c r="L17" s="477"/>
      <c r="M17" s="467">
        <v>586713</v>
      </c>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458633</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1096361</v>
      </c>
      <c r="N23" s="1688">
        <f>SUM(N21:N22)</f>
        <v>0</v>
      </c>
    </row>
    <row r="24" spans="1:14" ht="18" customHeight="1" thickTop="1" x14ac:dyDescent="0.2">
      <c r="A24" s="2109" t="s">
        <v>598</v>
      </c>
      <c r="B24" s="2110"/>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0</v>
      </c>
      <c r="M34" s="468"/>
      <c r="N34" s="480"/>
    </row>
    <row r="35" spans="1:14" ht="18" customHeight="1" thickTop="1" x14ac:dyDescent="0.2">
      <c r="A35" s="2111" t="s">
        <v>529</v>
      </c>
      <c r="B35" s="2112"/>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2369833</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1096361</v>
      </c>
      <c r="N40" s="497"/>
    </row>
    <row r="41" spans="1:14" ht="13.5" customHeight="1" thickBot="1" x14ac:dyDescent="0.25">
      <c r="A41" s="1736" t="s">
        <v>655</v>
      </c>
      <c r="B41" s="1706"/>
      <c r="C41" s="1688">
        <f>(SUM(C34,C37,C38,C39))</f>
        <v>2369833</v>
      </c>
      <c r="D41" s="1688">
        <f t="shared" ref="D41:L41" si="2">SUM(D34,D37,D38:D39)</f>
        <v>0</v>
      </c>
      <c r="E41" s="1688">
        <f t="shared" si="2"/>
        <v>0</v>
      </c>
      <c r="F41" s="1688">
        <f t="shared" si="2"/>
        <v>0</v>
      </c>
      <c r="G41" s="1688">
        <f t="shared" si="2"/>
        <v>0</v>
      </c>
      <c r="H41" s="1688">
        <f t="shared" si="2"/>
        <v>0</v>
      </c>
      <c r="I41" s="1688">
        <f t="shared" si="2"/>
        <v>0</v>
      </c>
      <c r="J41" s="1688">
        <f t="shared" si="2"/>
        <v>0</v>
      </c>
      <c r="K41" s="1688">
        <f t="shared" si="2"/>
        <v>0</v>
      </c>
      <c r="L41" s="1688">
        <f t="shared" si="2"/>
        <v>0</v>
      </c>
      <c r="M41" s="1688">
        <f>SUM(M40)</f>
        <v>1096361</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9" activePane="bottomLeft" state="frozen"/>
      <selection activeCell="A8" sqref="A8"/>
      <selection pane="bottomLeft" activeCell="A8" sqref="A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1"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2"/>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3" t="s">
        <v>1175</v>
      </c>
      <c r="B3" s="2134"/>
      <c r="C3" s="1573"/>
      <c r="D3" s="1574"/>
      <c r="E3" s="1574"/>
      <c r="F3" s="1574"/>
      <c r="G3" s="1574"/>
      <c r="H3" s="1574"/>
      <c r="I3" s="1574"/>
      <c r="J3" s="1574"/>
      <c r="K3" s="1575"/>
      <c r="L3" s="506"/>
    </row>
    <row r="4" spans="1:13" ht="15.75" customHeight="1" x14ac:dyDescent="0.2">
      <c r="A4" s="1928" t="s">
        <v>1499</v>
      </c>
      <c r="B4" s="1929">
        <v>1000</v>
      </c>
      <c r="C4" s="1742">
        <f>'Revenues 9-14'!C109</f>
        <v>3762969</v>
      </c>
      <c r="D4" s="1742">
        <f>'Revenues 9-14'!D109</f>
        <v>0</v>
      </c>
      <c r="E4" s="1742">
        <f>'Revenues 9-14'!E109</f>
        <v>0</v>
      </c>
      <c r="F4" s="1742">
        <f>'Revenues 9-14'!F109</f>
        <v>0</v>
      </c>
      <c r="G4" s="1742">
        <f>'Revenues 9-14'!G109</f>
        <v>0</v>
      </c>
      <c r="H4" s="1742">
        <f>'Revenues 9-14'!H109</f>
        <v>0</v>
      </c>
      <c r="I4" s="1742">
        <f>'Revenues 9-14'!I109</f>
        <v>0</v>
      </c>
      <c r="J4" s="1742">
        <f>'Revenues 9-14'!J109</f>
        <v>0</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408573</v>
      </c>
      <c r="D6" s="1743">
        <f>'Revenues 9-14'!D170</f>
        <v>0</v>
      </c>
      <c r="E6" s="1743">
        <f>'Revenues 9-14'!E170</f>
        <v>0</v>
      </c>
      <c r="F6" s="1743">
        <f>'Revenues 9-14'!F170</f>
        <v>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2413883</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6585425</v>
      </c>
      <c r="D8" s="1688">
        <f t="shared" ref="D8:K8" si="0">SUM(D4:D7)</f>
        <v>0</v>
      </c>
      <c r="E8" s="1688">
        <f t="shared" si="0"/>
        <v>0</v>
      </c>
      <c r="F8" s="1688">
        <f t="shared" si="0"/>
        <v>0</v>
      </c>
      <c r="G8" s="1688">
        <f t="shared" si="0"/>
        <v>0</v>
      </c>
      <c r="H8" s="1688">
        <f t="shared" si="0"/>
        <v>0</v>
      </c>
      <c r="I8" s="1688">
        <f t="shared" si="0"/>
        <v>0</v>
      </c>
      <c r="J8" s="1688">
        <f t="shared" si="0"/>
        <v>0</v>
      </c>
      <c r="K8" s="1688">
        <f t="shared" si="0"/>
        <v>0</v>
      </c>
      <c r="L8" s="347"/>
    </row>
    <row r="9" spans="1:13" ht="15.75" thickTop="1" x14ac:dyDescent="0.2">
      <c r="A9" s="514" t="s">
        <v>1653</v>
      </c>
      <c r="B9" s="515">
        <v>3998</v>
      </c>
      <c r="C9" s="481">
        <v>1892735</v>
      </c>
      <c r="D9" s="516"/>
      <c r="E9" s="481"/>
      <c r="F9" s="481"/>
      <c r="G9" s="517"/>
      <c r="H9" s="481"/>
      <c r="I9" s="509" t="s">
        <v>1169</v>
      </c>
      <c r="J9" s="478"/>
      <c r="K9" s="481"/>
      <c r="L9" s="347"/>
    </row>
    <row r="10" spans="1:13" s="519" customFormat="1" ht="13.5" thickBot="1" x14ac:dyDescent="0.25">
      <c r="A10" s="1736" t="s">
        <v>1173</v>
      </c>
      <c r="B10" s="1709"/>
      <c r="C10" s="1688">
        <f>SUM(C8:C9)</f>
        <v>8478160</v>
      </c>
      <c r="D10" s="1688">
        <f t="shared" ref="D10:K10" si="1">SUM(D8:D9)</f>
        <v>0</v>
      </c>
      <c r="E10" s="1688">
        <f t="shared" si="1"/>
        <v>0</v>
      </c>
      <c r="F10" s="1688">
        <f t="shared" si="1"/>
        <v>0</v>
      </c>
      <c r="G10" s="1688">
        <f t="shared" si="1"/>
        <v>0</v>
      </c>
      <c r="H10" s="1688">
        <f t="shared" si="1"/>
        <v>0</v>
      </c>
      <c r="I10" s="1688">
        <f t="shared" si="1"/>
        <v>0</v>
      </c>
      <c r="J10" s="1688">
        <f t="shared" si="1"/>
        <v>0</v>
      </c>
      <c r="K10" s="1688">
        <f t="shared" si="1"/>
        <v>0</v>
      </c>
      <c r="L10" s="518"/>
    </row>
    <row r="11" spans="1:13" s="519" customFormat="1" ht="16.7" customHeight="1" thickTop="1" x14ac:dyDescent="0.2">
      <c r="A11" s="2107" t="s">
        <v>1176</v>
      </c>
      <c r="B11" s="2108"/>
      <c r="C11" s="1570"/>
      <c r="D11" s="1571"/>
      <c r="E11" s="1571"/>
      <c r="F11" s="1571"/>
      <c r="G11" s="1571"/>
      <c r="H11" s="1571"/>
      <c r="I11" s="1571"/>
      <c r="J11" s="1571"/>
      <c r="K11" s="1572"/>
      <c r="L11" s="518"/>
    </row>
    <row r="12" spans="1:13" ht="15.75" customHeight="1" x14ac:dyDescent="0.2">
      <c r="A12" s="1576" t="s">
        <v>456</v>
      </c>
      <c r="B12" s="1578">
        <v>1000</v>
      </c>
      <c r="C12" s="1742">
        <f>'Expenditures 15-22'!K33</f>
        <v>1750310</v>
      </c>
      <c r="D12" s="520" t="s">
        <v>1169</v>
      </c>
      <c r="E12" s="468" t="s">
        <v>1169</v>
      </c>
      <c r="F12" s="468" t="s">
        <v>1169</v>
      </c>
      <c r="G12" s="1742">
        <f>'Expenditures 15-22'!K229</f>
        <v>0</v>
      </c>
      <c r="H12" s="521"/>
      <c r="I12" s="468" t="s">
        <v>1169</v>
      </c>
      <c r="J12" s="468" t="s">
        <v>1169</v>
      </c>
      <c r="K12" s="521" t="s">
        <v>1169</v>
      </c>
      <c r="L12" s="347"/>
    </row>
    <row r="13" spans="1:13" ht="15.75" customHeight="1" x14ac:dyDescent="0.2">
      <c r="A13" s="1576" t="s">
        <v>457</v>
      </c>
      <c r="B13" s="1578">
        <v>2000</v>
      </c>
      <c r="C13" s="1743">
        <f>'Expenditures 15-22'!K74</f>
        <v>3428731</v>
      </c>
      <c r="D13" s="1743">
        <f>'Expenditures 15-22'!K129</f>
        <v>0</v>
      </c>
      <c r="E13" s="469" t="s">
        <v>1169</v>
      </c>
      <c r="F13" s="1743">
        <f>'Expenditures 15-22'!K184</f>
        <v>0</v>
      </c>
      <c r="G13" s="1743">
        <f>'Expenditures 15-22'!K279</f>
        <v>0</v>
      </c>
      <c r="H13" s="1743">
        <f>'Expenditures 15-22'!K303</f>
        <v>0</v>
      </c>
      <c r="I13" s="468" t="s">
        <v>1169</v>
      </c>
      <c r="J13" s="1743">
        <f>'Expenditures 15-22'!K330</f>
        <v>0</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1528762</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6707803</v>
      </c>
      <c r="D17" s="1688">
        <f t="shared" si="2"/>
        <v>0</v>
      </c>
      <c r="E17" s="1688">
        <f t="shared" si="2"/>
        <v>0</v>
      </c>
      <c r="F17" s="1688">
        <f t="shared" si="2"/>
        <v>0</v>
      </c>
      <c r="G17" s="1688">
        <f t="shared" si="2"/>
        <v>0</v>
      </c>
      <c r="H17" s="1688">
        <f t="shared" si="2"/>
        <v>0</v>
      </c>
      <c r="I17" s="468"/>
      <c r="J17" s="1688">
        <f>SUM(J12:J16)</f>
        <v>0</v>
      </c>
      <c r="K17" s="1688">
        <f>SUM(K12:K16)</f>
        <v>0</v>
      </c>
      <c r="L17" s="347"/>
    </row>
    <row r="18" spans="1:12" ht="15" customHeight="1" thickTop="1" x14ac:dyDescent="0.2">
      <c r="A18" s="1744" t="s">
        <v>1654</v>
      </c>
      <c r="B18" s="1745">
        <v>4180</v>
      </c>
      <c r="C18" s="1742">
        <f t="shared" ref="C18:H18" si="3">C9</f>
        <v>1892735</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8600538</v>
      </c>
      <c r="D19" s="1688">
        <f t="shared" si="4"/>
        <v>0</v>
      </c>
      <c r="E19" s="1688">
        <f t="shared" si="4"/>
        <v>0</v>
      </c>
      <c r="F19" s="1688">
        <f t="shared" si="4"/>
        <v>0</v>
      </c>
      <c r="G19" s="1688">
        <f t="shared" si="4"/>
        <v>0</v>
      </c>
      <c r="H19" s="1688">
        <f t="shared" si="4"/>
        <v>0</v>
      </c>
      <c r="I19" s="468"/>
      <c r="J19" s="1688">
        <f>SUM(J17:J18)</f>
        <v>0</v>
      </c>
      <c r="K19" s="1688">
        <f>SUM(K17:K18)</f>
        <v>0</v>
      </c>
      <c r="L19" s="347"/>
    </row>
    <row r="20" spans="1:12" ht="16.5" thickTop="1" thickBot="1" x14ac:dyDescent="0.25">
      <c r="A20" s="2123" t="s">
        <v>1655</v>
      </c>
      <c r="B20" s="2124"/>
      <c r="C20" s="1746">
        <f>C8-C17</f>
        <v>-122378</v>
      </c>
      <c r="D20" s="1746">
        <f t="shared" ref="D20:K20" si="5">D8-D17</f>
        <v>0</v>
      </c>
      <c r="E20" s="1746">
        <f t="shared" si="5"/>
        <v>0</v>
      </c>
      <c r="F20" s="1746">
        <f t="shared" si="5"/>
        <v>0</v>
      </c>
      <c r="G20" s="1746">
        <f t="shared" si="5"/>
        <v>0</v>
      </c>
      <c r="H20" s="1746">
        <f t="shared" si="5"/>
        <v>0</v>
      </c>
      <c r="I20" s="1746">
        <f t="shared" si="5"/>
        <v>0</v>
      </c>
      <c r="J20" s="1746">
        <f t="shared" si="5"/>
        <v>0</v>
      </c>
      <c r="K20" s="1746">
        <f t="shared" si="5"/>
        <v>0</v>
      </c>
      <c r="L20" s="347"/>
    </row>
    <row r="21" spans="1:12" ht="16.7" customHeight="1" thickTop="1" x14ac:dyDescent="0.2">
      <c r="A21" s="2135" t="s">
        <v>595</v>
      </c>
      <c r="B21" s="2136"/>
      <c r="C21" s="1570"/>
      <c r="D21" s="1571"/>
      <c r="E21" s="1571"/>
      <c r="F21" s="1571"/>
      <c r="G21" s="1571"/>
      <c r="H21" s="1571"/>
      <c r="I21" s="1571"/>
      <c r="J21" s="1571"/>
      <c r="K21" s="1572"/>
      <c r="L21" s="524"/>
    </row>
    <row r="22" spans="1:12" ht="15.75" customHeight="1" collapsed="1" x14ac:dyDescent="0.2">
      <c r="A22" s="2131" t="s">
        <v>596</v>
      </c>
      <c r="B22" s="2132"/>
      <c r="C22" s="477"/>
      <c r="D22" s="477"/>
      <c r="E22" s="477"/>
      <c r="F22" s="477"/>
      <c r="G22" s="477"/>
      <c r="H22" s="477"/>
      <c r="I22" s="477"/>
      <c r="J22" s="477"/>
      <c r="K22" s="477"/>
      <c r="L22" s="347"/>
    </row>
    <row r="23" spans="1:12" s="485" customFormat="1" ht="15.75" customHeight="1" x14ac:dyDescent="0.2">
      <c r="A23" s="2127" t="s">
        <v>293</v>
      </c>
      <c r="B23" s="2128"/>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1792</v>
      </c>
      <c r="B30" s="527">
        <v>7160</v>
      </c>
      <c r="C30" s="477"/>
      <c r="D30" s="467"/>
      <c r="E30" s="477"/>
      <c r="F30" s="477"/>
      <c r="G30" s="477"/>
      <c r="H30" s="477"/>
      <c r="I30" s="477"/>
      <c r="J30" s="477"/>
      <c r="K30" s="477"/>
      <c r="L30" s="524"/>
    </row>
    <row r="31" spans="1:12" s="485" customFormat="1" ht="26.25" x14ac:dyDescent="0.2">
      <c r="A31" s="1489" t="s">
        <v>1796</v>
      </c>
      <c r="B31" s="527">
        <v>7170</v>
      </c>
      <c r="C31" s="477"/>
      <c r="D31" s="477"/>
      <c r="E31" s="474"/>
      <c r="F31" s="477"/>
      <c r="G31" s="477"/>
      <c r="H31" s="477"/>
      <c r="I31" s="477"/>
      <c r="J31" s="477"/>
      <c r="K31" s="477"/>
      <c r="L31" s="524"/>
    </row>
    <row r="32" spans="1:12" s="485" customFormat="1" ht="15.75" customHeight="1" x14ac:dyDescent="0.2">
      <c r="A32" s="2129" t="s">
        <v>981</v>
      </c>
      <c r="B32" s="2130"/>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7" t="s">
        <v>374</v>
      </c>
      <c r="B44" s="2138"/>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1" t="s">
        <v>108</v>
      </c>
      <c r="B45" s="2132"/>
      <c r="C45" s="528"/>
      <c r="D45" s="528"/>
      <c r="E45" s="528"/>
      <c r="F45" s="528"/>
      <c r="G45" s="528"/>
      <c r="H45" s="528"/>
      <c r="I45" s="528"/>
      <c r="J45" s="528"/>
      <c r="K45" s="528"/>
      <c r="L45" s="347"/>
    </row>
    <row r="46" spans="1:12" s="485" customFormat="1" ht="15.75" customHeight="1" x14ac:dyDescent="0.2">
      <c r="A46" s="2139" t="s">
        <v>109</v>
      </c>
      <c r="B46" s="2140"/>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1795</v>
      </c>
      <c r="B52" s="483">
        <v>8160</v>
      </c>
      <c r="C52" s="477"/>
      <c r="D52" s="477"/>
      <c r="E52" s="477"/>
      <c r="F52" s="477"/>
      <c r="G52" s="477"/>
      <c r="H52" s="477"/>
      <c r="I52" s="477"/>
      <c r="J52" s="477"/>
      <c r="K52" s="1743">
        <f>D30</f>
        <v>0</v>
      </c>
      <c r="L52" s="524"/>
    </row>
    <row r="53" spans="1:12" s="485" customFormat="1" ht="26.25" x14ac:dyDescent="0.2">
      <c r="A53" s="1490" t="s">
        <v>1794</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3" t="s">
        <v>440</v>
      </c>
      <c r="B76" s="2114"/>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15" t="s">
        <v>1177</v>
      </c>
      <c r="B77" s="2116"/>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19" t="s">
        <v>597</v>
      </c>
      <c r="B78" s="2120"/>
      <c r="C78" s="1702">
        <f t="shared" ref="C78:K78" si="9">C20+C77</f>
        <v>-122378</v>
      </c>
      <c r="D78" s="1702">
        <f t="shared" si="9"/>
        <v>0</v>
      </c>
      <c r="E78" s="1702">
        <f t="shared" si="9"/>
        <v>0</v>
      </c>
      <c r="F78" s="1702">
        <f t="shared" si="9"/>
        <v>0</v>
      </c>
      <c r="G78" s="1702">
        <f t="shared" si="9"/>
        <v>0</v>
      </c>
      <c r="H78" s="1702">
        <f t="shared" si="9"/>
        <v>0</v>
      </c>
      <c r="I78" s="1702">
        <f t="shared" si="9"/>
        <v>0</v>
      </c>
      <c r="J78" s="1702">
        <f t="shared" si="9"/>
        <v>0</v>
      </c>
      <c r="K78" s="1702">
        <f t="shared" si="9"/>
        <v>0</v>
      </c>
      <c r="L78" s="533"/>
    </row>
    <row r="79" spans="1:12" ht="13.5" thickTop="1" x14ac:dyDescent="0.2">
      <c r="A79" s="1494" t="s">
        <v>1947</v>
      </c>
      <c r="B79" s="534"/>
      <c r="C79" s="478">
        <v>2492211</v>
      </c>
      <c r="D79" s="535"/>
      <c r="E79" s="535"/>
      <c r="F79" s="535"/>
      <c r="G79" s="535"/>
      <c r="H79" s="535"/>
      <c r="I79" s="535"/>
      <c r="J79" s="535"/>
      <c r="K79" s="535"/>
      <c r="L79" s="347"/>
    </row>
    <row r="80" spans="1:12" x14ac:dyDescent="0.2">
      <c r="A80" s="2125" t="s">
        <v>1793</v>
      </c>
      <c r="B80" s="2126"/>
      <c r="C80" s="467"/>
      <c r="D80" s="467"/>
      <c r="E80" s="467"/>
      <c r="F80" s="467"/>
      <c r="G80" s="467"/>
      <c r="H80" s="467"/>
      <c r="I80" s="467"/>
      <c r="J80" s="467"/>
      <c r="K80" s="467"/>
      <c r="L80" s="347"/>
    </row>
    <row r="81" spans="1:12" ht="13.5" thickBot="1" x14ac:dyDescent="0.25">
      <c r="A81" s="2117" t="s">
        <v>1948</v>
      </c>
      <c r="B81" s="2118"/>
      <c r="C81" s="1688">
        <f>(SUM(C78:C80))</f>
        <v>2369833</v>
      </c>
      <c r="D81" s="1688">
        <f>SUM(D78:D80)</f>
        <v>0</v>
      </c>
      <c r="E81" s="1688">
        <f t="shared" ref="E81:K81" si="10">SUM(E78:E80)</f>
        <v>0</v>
      </c>
      <c r="F81" s="1688">
        <f t="shared" si="10"/>
        <v>0</v>
      </c>
      <c r="G81" s="1688">
        <f t="shared" si="10"/>
        <v>0</v>
      </c>
      <c r="H81" s="1688">
        <f t="shared" si="10"/>
        <v>0</v>
      </c>
      <c r="I81" s="1688">
        <f t="shared" si="10"/>
        <v>0</v>
      </c>
      <c r="J81" s="1688">
        <f t="shared" si="10"/>
        <v>0</v>
      </c>
      <c r="K81" s="1688">
        <f t="shared" si="10"/>
        <v>0</v>
      </c>
      <c r="L81" s="347"/>
    </row>
    <row r="82" spans="1:12" ht="0.75" customHeight="1" thickTop="1" thickBot="1" x14ac:dyDescent="0.25">
      <c r="A82" s="536" t="s">
        <v>343</v>
      </c>
      <c r="B82" s="537"/>
      <c r="C82" s="538">
        <f>(C81-C79)</f>
        <v>-122378</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-5.1639925682526996E-2</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5" activePane="bottomLeft" state="frozen"/>
      <selection activeCell="A8" sqref="A8"/>
      <selection pane="bottomLeft" activeCell="C33" sqref="C33"/>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1" t="s">
        <v>1800</v>
      </c>
      <c r="B1" s="452"/>
      <c r="C1" s="453" t="s">
        <v>425</v>
      </c>
      <c r="D1" s="453" t="s">
        <v>426</v>
      </c>
      <c r="E1" s="453" t="s">
        <v>427</v>
      </c>
      <c r="F1" s="453" t="s">
        <v>428</v>
      </c>
      <c r="G1" s="453" t="s">
        <v>429</v>
      </c>
      <c r="H1" s="453" t="s">
        <v>430</v>
      </c>
      <c r="I1" s="453" t="s">
        <v>431</v>
      </c>
      <c r="J1" s="453" t="s">
        <v>432</v>
      </c>
      <c r="K1" s="453" t="s">
        <v>756</v>
      </c>
    </row>
    <row r="2" spans="1:12" ht="36" x14ac:dyDescent="0.2">
      <c r="A2" s="2122"/>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c r="D5" s="481"/>
      <c r="E5" s="466"/>
      <c r="F5" s="548"/>
      <c r="G5" s="466"/>
      <c r="H5" s="466"/>
      <c r="I5" s="466"/>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0</v>
      </c>
      <c r="D12" s="1707">
        <f t="shared" si="0"/>
        <v>0</v>
      </c>
      <c r="E12" s="1707">
        <f t="shared" si="0"/>
        <v>0</v>
      </c>
      <c r="F12" s="1707">
        <f t="shared" si="0"/>
        <v>0</v>
      </c>
      <c r="G12" s="1707">
        <f t="shared" si="0"/>
        <v>0</v>
      </c>
      <c r="H12" s="1707">
        <f t="shared" si="0"/>
        <v>0</v>
      </c>
      <c r="I12" s="1707">
        <f t="shared" si="0"/>
        <v>0</v>
      </c>
      <c r="J12" s="1707">
        <f t="shared" si="0"/>
        <v>0</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v>1799827</v>
      </c>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1799827</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2473</v>
      </c>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2473</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1675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1675</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v>1000</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353716</v>
      </c>
      <c r="D98" s="466"/>
      <c r="E98" s="512"/>
      <c r="F98" s="466"/>
      <c r="G98" s="512"/>
      <c r="H98" s="512"/>
      <c r="I98" s="510"/>
      <c r="J98" s="512"/>
      <c r="K98" s="512"/>
    </row>
    <row r="99" spans="1:12" ht="12.75" customHeight="1" x14ac:dyDescent="0.2">
      <c r="A99" s="463" t="s">
        <v>821</v>
      </c>
      <c r="B99" s="470">
        <v>1950</v>
      </c>
      <c r="C99" s="489">
        <v>8389</v>
      </c>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v>1591454</v>
      </c>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4435</v>
      </c>
      <c r="D107" s="466"/>
      <c r="E107" s="466"/>
      <c r="F107" s="466"/>
      <c r="G107" s="466"/>
      <c r="H107" s="466"/>
      <c r="I107" s="466"/>
      <c r="J107" s="467"/>
      <c r="K107" s="466"/>
    </row>
    <row r="108" spans="1:12" ht="12.75" customHeight="1" thickBot="1" x14ac:dyDescent="0.25">
      <c r="A108" s="1708" t="s">
        <v>487</v>
      </c>
      <c r="B108" s="1712"/>
      <c r="C108" s="1707">
        <f>SUM(C95:C107)</f>
        <v>1958994</v>
      </c>
      <c r="D108" s="1707">
        <f t="shared" ref="D108:K108" si="3">SUM(D95:D107)</f>
        <v>0</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3762969</v>
      </c>
      <c r="D109" s="1715">
        <f t="shared" si="4"/>
        <v>0</v>
      </c>
      <c r="E109" s="1715">
        <f t="shared" si="4"/>
        <v>0</v>
      </c>
      <c r="F109" s="1715">
        <f t="shared" si="4"/>
        <v>0</v>
      </c>
      <c r="G109" s="1715">
        <f t="shared" si="4"/>
        <v>0</v>
      </c>
      <c r="H109" s="1715">
        <f t="shared" si="4"/>
        <v>0</v>
      </c>
      <c r="I109" s="1715">
        <f t="shared" si="4"/>
        <v>0</v>
      </c>
      <c r="J109" s="1715">
        <f t="shared" si="4"/>
        <v>0</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407441</v>
      </c>
      <c r="D117" s="481"/>
      <c r="E117" s="466"/>
      <c r="F117" s="481"/>
      <c r="G117" s="481"/>
      <c r="H117" s="466"/>
      <c r="I117" s="468"/>
      <c r="J117" s="467"/>
      <c r="K117" s="466"/>
    </row>
    <row r="118" spans="1:11" ht="12.75" customHeight="1" x14ac:dyDescent="0.2">
      <c r="A118" s="463" t="s">
        <v>1797</v>
      </c>
      <c r="B118" s="562">
        <v>3002</v>
      </c>
      <c r="C118" s="551"/>
      <c r="D118" s="466"/>
      <c r="E118" s="466"/>
      <c r="F118" s="466"/>
      <c r="G118" s="466"/>
      <c r="H118" s="466"/>
      <c r="I118" s="468"/>
      <c r="J118" s="467"/>
      <c r="K118" s="466"/>
    </row>
    <row r="119" spans="1:11" ht="12.75" customHeight="1" x14ac:dyDescent="0.2">
      <c r="A119" s="463" t="s">
        <v>1798</v>
      </c>
      <c r="B119" s="562">
        <v>3005</v>
      </c>
      <c r="C119" s="551"/>
      <c r="D119" s="466"/>
      <c r="E119" s="466"/>
      <c r="F119" s="466"/>
      <c r="G119" s="466"/>
      <c r="H119" s="466"/>
      <c r="I119" s="468"/>
      <c r="J119" s="467"/>
      <c r="K119" s="466"/>
    </row>
    <row r="120" spans="1:11" ht="12.75" customHeight="1" x14ac:dyDescent="0.2">
      <c r="A120" s="1931" t="s">
        <v>1934</v>
      </c>
      <c r="B120" s="562">
        <v>3030</v>
      </c>
      <c r="C120" s="551"/>
      <c r="D120" s="466"/>
      <c r="E120" s="466"/>
      <c r="F120" s="466"/>
      <c r="G120" s="466"/>
      <c r="H120" s="466"/>
      <c r="I120" s="468"/>
      <c r="J120" s="467"/>
      <c r="K120" s="466"/>
    </row>
    <row r="121" spans="1:11" x14ac:dyDescent="0.2">
      <c r="A121" s="1496" t="s">
        <v>1799</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407441</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1132</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1" t="s">
        <v>398</v>
      </c>
      <c r="B169" s="2142"/>
      <c r="C169" s="1722">
        <f t="shared" ref="C169:K169" si="6">SUM(C132,C141,C145,C146:C150,C155,C156:C167,C168)</f>
        <v>1132</v>
      </c>
      <c r="D169" s="1722">
        <f t="shared" si="6"/>
        <v>0</v>
      </c>
      <c r="E169" s="1722">
        <f t="shared" si="6"/>
        <v>0</v>
      </c>
      <c r="F169" s="1722">
        <f t="shared" si="6"/>
        <v>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408573</v>
      </c>
      <c r="D170" s="1715">
        <f t="shared" si="7"/>
        <v>0</v>
      </c>
      <c r="E170" s="1715">
        <f t="shared" si="7"/>
        <v>0</v>
      </c>
      <c r="F170" s="1715">
        <f t="shared" si="7"/>
        <v>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3" t="s">
        <v>1492</v>
      </c>
      <c r="B172" s="2144"/>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7" t="s">
        <v>1665</v>
      </c>
      <c r="B175" s="2148"/>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1" t="s">
        <v>1664</v>
      </c>
      <c r="B176" s="2152"/>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49" t="s">
        <v>785</v>
      </c>
      <c r="B181" s="2150"/>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5" t="s">
        <v>1801</v>
      </c>
      <c r="B182" s="2146"/>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33593</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21427</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55020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55026</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1786423</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1841449</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1" t="s">
        <v>1935</v>
      </c>
      <c r="B261" s="470">
        <v>4981</v>
      </c>
      <c r="C261" s="575"/>
      <c r="D261" s="576"/>
      <c r="E261" s="468"/>
      <c r="F261" s="576"/>
      <c r="G261" s="576"/>
      <c r="H261" s="468"/>
      <c r="I261" s="468"/>
      <c r="J261" s="468"/>
      <c r="K261" s="468"/>
    </row>
    <row r="262" spans="1:11" ht="12.75" customHeight="1" thickTop="1" thickBot="1" x14ac:dyDescent="0.25">
      <c r="A262" s="1932"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63449</v>
      </c>
      <c r="D263" s="576"/>
      <c r="E263" s="468"/>
      <c r="F263" s="576"/>
      <c r="G263" s="576"/>
      <c r="H263" s="468"/>
      <c r="I263" s="468"/>
      <c r="J263" s="468"/>
      <c r="K263" s="468"/>
    </row>
    <row r="264" spans="1:11" ht="12.75" customHeight="1" thickTop="1" thickBot="1" x14ac:dyDescent="0.25">
      <c r="A264" s="463" t="s">
        <v>377</v>
      </c>
      <c r="B264" s="470">
        <v>4992</v>
      </c>
      <c r="C264" s="575">
        <v>436268</v>
      </c>
      <c r="D264" s="576"/>
      <c r="E264" s="468"/>
      <c r="F264" s="576"/>
      <c r="G264" s="576"/>
      <c r="H264" s="468"/>
      <c r="I264" s="468"/>
      <c r="J264" s="468"/>
      <c r="K264" s="468"/>
    </row>
    <row r="265" spans="1:11" s="593" customFormat="1" ht="12.75" customHeight="1" thickTop="1" thickBot="1" x14ac:dyDescent="0.25">
      <c r="A265" s="563" t="s">
        <v>75</v>
      </c>
      <c r="B265" s="557">
        <v>4999</v>
      </c>
      <c r="C265" s="575">
        <v>17697</v>
      </c>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2413883</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2413883</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6585425</v>
      </c>
      <c r="D268" s="1715">
        <f t="shared" si="12"/>
        <v>0</v>
      </c>
      <c r="E268" s="1715">
        <f t="shared" si="12"/>
        <v>0</v>
      </c>
      <c r="F268" s="1715">
        <f t="shared" si="12"/>
        <v>0</v>
      </c>
      <c r="G268" s="1715">
        <f t="shared" si="12"/>
        <v>0</v>
      </c>
      <c r="H268" s="1715">
        <f t="shared" si="12"/>
        <v>0</v>
      </c>
      <c r="I268" s="1715">
        <f t="shared" si="12"/>
        <v>0</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&amp;L&amp;8See notes.
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5" activePane="bottomLeft" state="frozen"/>
      <selection activeCell="A8" sqref="A8"/>
      <selection pane="bottomLeft" activeCell="A8" sqref="A8"/>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1" t="s">
        <v>1800</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5"/>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1" t="s">
        <v>297</v>
      </c>
      <c r="B3" s="2162"/>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c r="D5" s="466"/>
      <c r="E5" s="466"/>
      <c r="F5" s="466"/>
      <c r="G5" s="466"/>
      <c r="H5" s="466"/>
      <c r="I5" s="467"/>
      <c r="J5" s="467"/>
      <c r="K5" s="1671">
        <f>SUM(C5:J5)</f>
        <v>0</v>
      </c>
      <c r="L5" s="466"/>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1288267</v>
      </c>
      <c r="D8" s="466">
        <v>430912</v>
      </c>
      <c r="E8" s="466">
        <v>19120</v>
      </c>
      <c r="F8" s="466">
        <v>12011</v>
      </c>
      <c r="G8" s="466"/>
      <c r="H8" s="466"/>
      <c r="I8" s="467"/>
      <c r="J8" s="467"/>
      <c r="K8" s="1671">
        <f t="shared" si="0"/>
        <v>1750310</v>
      </c>
      <c r="L8" s="466">
        <v>1803960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c r="D14" s="466"/>
      <c r="E14" s="466"/>
      <c r="F14" s="466"/>
      <c r="G14" s="466"/>
      <c r="H14" s="466"/>
      <c r="I14" s="467"/>
      <c r="J14" s="467"/>
      <c r="K14" s="1671">
        <f t="shared" si="0"/>
        <v>0</v>
      </c>
      <c r="L14" s="466"/>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1288267</v>
      </c>
      <c r="D33" s="1670">
        <f t="shared" ref="D33:L33" si="1">SUM(D5:D32)</f>
        <v>430912</v>
      </c>
      <c r="E33" s="1670">
        <f t="shared" si="1"/>
        <v>19120</v>
      </c>
      <c r="F33" s="1670">
        <f t="shared" si="1"/>
        <v>12011</v>
      </c>
      <c r="G33" s="1670">
        <f t="shared" si="1"/>
        <v>0</v>
      </c>
      <c r="H33" s="1670">
        <f t="shared" si="1"/>
        <v>0</v>
      </c>
      <c r="I33" s="1670">
        <f t="shared" si="1"/>
        <v>0</v>
      </c>
      <c r="J33" s="1670">
        <f t="shared" si="1"/>
        <v>0</v>
      </c>
      <c r="K33" s="1670">
        <f t="shared" si="1"/>
        <v>1750310</v>
      </c>
      <c r="L33" s="1670">
        <f t="shared" si="1"/>
        <v>1803960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690173</v>
      </c>
      <c r="D36" s="481">
        <v>193825</v>
      </c>
      <c r="E36" s="481">
        <v>4003</v>
      </c>
      <c r="F36" s="481">
        <v>4420</v>
      </c>
      <c r="G36" s="481"/>
      <c r="H36" s="481"/>
      <c r="I36" s="467"/>
      <c r="J36" s="467"/>
      <c r="K36" s="1671">
        <f t="shared" ref="K36:K41" si="2">SUM(C36:J36)</f>
        <v>892421</v>
      </c>
      <c r="L36" s="466">
        <v>903635</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246593</v>
      </c>
      <c r="D38" s="466">
        <v>73040</v>
      </c>
      <c r="E38" s="466">
        <v>10358</v>
      </c>
      <c r="F38" s="466">
        <v>3523</v>
      </c>
      <c r="G38" s="466"/>
      <c r="H38" s="466"/>
      <c r="I38" s="467"/>
      <c r="J38" s="467"/>
      <c r="K38" s="1671">
        <f t="shared" si="2"/>
        <v>333514</v>
      </c>
      <c r="L38" s="466">
        <v>322824</v>
      </c>
    </row>
    <row r="39" spans="1:14" x14ac:dyDescent="0.2">
      <c r="A39" s="1504" t="s">
        <v>199</v>
      </c>
      <c r="B39" s="614">
        <v>2140</v>
      </c>
      <c r="C39" s="466">
        <v>461295</v>
      </c>
      <c r="D39" s="466">
        <v>131034</v>
      </c>
      <c r="E39" s="466">
        <v>5734</v>
      </c>
      <c r="F39" s="466">
        <v>8270</v>
      </c>
      <c r="G39" s="466"/>
      <c r="H39" s="466"/>
      <c r="I39" s="467"/>
      <c r="J39" s="467"/>
      <c r="K39" s="1671">
        <f t="shared" si="2"/>
        <v>606333</v>
      </c>
      <c r="L39" s="466">
        <v>610830</v>
      </c>
    </row>
    <row r="40" spans="1:14" x14ac:dyDescent="0.2">
      <c r="A40" s="1504" t="s">
        <v>200</v>
      </c>
      <c r="B40" s="614">
        <v>2150</v>
      </c>
      <c r="C40" s="466">
        <v>73204</v>
      </c>
      <c r="D40" s="466">
        <v>25317</v>
      </c>
      <c r="E40" s="466">
        <v>5909</v>
      </c>
      <c r="F40" s="466">
        <v>1686</v>
      </c>
      <c r="G40" s="466"/>
      <c r="H40" s="466"/>
      <c r="I40" s="467">
        <v>4792</v>
      </c>
      <c r="J40" s="467"/>
      <c r="K40" s="1671">
        <f t="shared" si="2"/>
        <v>110908</v>
      </c>
      <c r="L40" s="466">
        <v>118065</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1471265</v>
      </c>
      <c r="D42" s="1670">
        <f t="shared" ref="D42:L42" si="3">SUM(D36:D41)</f>
        <v>423216</v>
      </c>
      <c r="E42" s="1670">
        <f t="shared" si="3"/>
        <v>26004</v>
      </c>
      <c r="F42" s="1670">
        <f t="shared" si="3"/>
        <v>17899</v>
      </c>
      <c r="G42" s="1670">
        <f t="shared" si="3"/>
        <v>0</v>
      </c>
      <c r="H42" s="1670">
        <f t="shared" si="3"/>
        <v>0</v>
      </c>
      <c r="I42" s="1670">
        <f t="shared" si="3"/>
        <v>4792</v>
      </c>
      <c r="J42" s="1670">
        <f t="shared" si="3"/>
        <v>0</v>
      </c>
      <c r="K42" s="1670">
        <f t="shared" si="3"/>
        <v>1943176</v>
      </c>
      <c r="L42" s="1670">
        <f t="shared" si="3"/>
        <v>1955354</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27951</v>
      </c>
      <c r="D44" s="481">
        <v>14001</v>
      </c>
      <c r="E44" s="481">
        <v>42298</v>
      </c>
      <c r="F44" s="481">
        <v>4545</v>
      </c>
      <c r="G44" s="481"/>
      <c r="H44" s="481"/>
      <c r="I44" s="467"/>
      <c r="J44" s="467"/>
      <c r="K44" s="1672">
        <f>SUM(C44:J44)</f>
        <v>88795</v>
      </c>
      <c r="L44" s="481">
        <v>102474</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27951</v>
      </c>
      <c r="D47" s="1670">
        <f t="shared" ref="D47:K47" si="4">SUM(D44:D46)</f>
        <v>14001</v>
      </c>
      <c r="E47" s="1670">
        <f t="shared" si="4"/>
        <v>42298</v>
      </c>
      <c r="F47" s="1670">
        <f t="shared" si="4"/>
        <v>4545</v>
      </c>
      <c r="G47" s="1670">
        <f t="shared" si="4"/>
        <v>0</v>
      </c>
      <c r="H47" s="1670">
        <f t="shared" si="4"/>
        <v>0</v>
      </c>
      <c r="I47" s="1670">
        <f t="shared" si="4"/>
        <v>0</v>
      </c>
      <c r="J47" s="1670">
        <f t="shared" si="4"/>
        <v>0</v>
      </c>
      <c r="K47" s="1670">
        <f t="shared" si="4"/>
        <v>88795</v>
      </c>
      <c r="L47" s="1670">
        <f>SUM(L44:L46)</f>
        <v>102474</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c r="F49" s="481"/>
      <c r="G49" s="481"/>
      <c r="H49" s="481"/>
      <c r="I49" s="467"/>
      <c r="J49" s="467"/>
      <c r="K49" s="1672">
        <f>SUM(C49:J49)</f>
        <v>0</v>
      </c>
      <c r="L49" s="481"/>
    </row>
    <row r="50" spans="1:14" x14ac:dyDescent="0.2">
      <c r="A50" s="1504" t="s">
        <v>818</v>
      </c>
      <c r="B50" s="614">
        <v>2320</v>
      </c>
      <c r="C50" s="466">
        <v>456712</v>
      </c>
      <c r="D50" s="466">
        <v>120915</v>
      </c>
      <c r="E50" s="466">
        <v>186924</v>
      </c>
      <c r="F50" s="466">
        <v>68760</v>
      </c>
      <c r="G50" s="466">
        <v>7423</v>
      </c>
      <c r="H50" s="466"/>
      <c r="I50" s="467"/>
      <c r="J50" s="467"/>
      <c r="K50" s="1672">
        <f>SUM(C50:J50)</f>
        <v>840734</v>
      </c>
      <c r="L50" s="466">
        <v>810807</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456712</v>
      </c>
      <c r="D53" s="1670">
        <f t="shared" ref="D53:L53" si="5">SUM(D49:D52)</f>
        <v>120915</v>
      </c>
      <c r="E53" s="1670">
        <f t="shared" si="5"/>
        <v>186924</v>
      </c>
      <c r="F53" s="1670">
        <f t="shared" si="5"/>
        <v>68760</v>
      </c>
      <c r="G53" s="1670">
        <f t="shared" si="5"/>
        <v>7423</v>
      </c>
      <c r="H53" s="1670">
        <f t="shared" si="5"/>
        <v>0</v>
      </c>
      <c r="I53" s="1670">
        <f t="shared" si="5"/>
        <v>0</v>
      </c>
      <c r="J53" s="1670">
        <f t="shared" si="5"/>
        <v>0</v>
      </c>
      <c r="K53" s="1670">
        <f t="shared" si="5"/>
        <v>840734</v>
      </c>
      <c r="L53" s="1670">
        <f t="shared" si="5"/>
        <v>810807</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c r="D55" s="481"/>
      <c r="E55" s="481"/>
      <c r="F55" s="481"/>
      <c r="G55" s="481"/>
      <c r="H55" s="481"/>
      <c r="I55" s="467"/>
      <c r="J55" s="467"/>
      <c r="K55" s="1672">
        <f>SUM(C55:J55)</f>
        <v>0</v>
      </c>
      <c r="L55" s="481"/>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0</v>
      </c>
      <c r="D57" s="1674">
        <f t="shared" ref="D57:K57" si="6">SUM(D55:D56)</f>
        <v>0</v>
      </c>
      <c r="E57" s="1674">
        <f t="shared" si="6"/>
        <v>0</v>
      </c>
      <c r="F57" s="1674">
        <f t="shared" si="6"/>
        <v>0</v>
      </c>
      <c r="G57" s="1674">
        <f t="shared" si="6"/>
        <v>0</v>
      </c>
      <c r="H57" s="1674">
        <f t="shared" si="6"/>
        <v>0</v>
      </c>
      <c r="I57" s="1674">
        <f t="shared" si="6"/>
        <v>0</v>
      </c>
      <c r="J57" s="1674">
        <f t="shared" si="6"/>
        <v>0</v>
      </c>
      <c r="K57" s="1674">
        <f t="shared" si="6"/>
        <v>0</v>
      </c>
      <c r="L57" s="1670">
        <f>SUM(L55:L56)</f>
        <v>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57783</v>
      </c>
      <c r="D60" s="466">
        <v>15869</v>
      </c>
      <c r="E60" s="466"/>
      <c r="F60" s="466"/>
      <c r="G60" s="466"/>
      <c r="H60" s="466"/>
      <c r="I60" s="467"/>
      <c r="J60" s="467"/>
      <c r="K60" s="1672">
        <f t="shared" si="7"/>
        <v>73652</v>
      </c>
      <c r="L60" s="466">
        <v>73657</v>
      </c>
      <c r="M60" s="609"/>
      <c r="N60" s="609"/>
    </row>
    <row r="61" spans="1:14" s="343" customFormat="1" x14ac:dyDescent="0.2">
      <c r="A61" s="1504" t="s">
        <v>197</v>
      </c>
      <c r="B61" s="614">
        <v>2540</v>
      </c>
      <c r="C61" s="466">
        <v>50240</v>
      </c>
      <c r="D61" s="466">
        <v>16589</v>
      </c>
      <c r="E61" s="466">
        <v>228483</v>
      </c>
      <c r="F61" s="466">
        <v>33420</v>
      </c>
      <c r="G61" s="466"/>
      <c r="H61" s="466"/>
      <c r="I61" s="467"/>
      <c r="J61" s="467"/>
      <c r="K61" s="1672">
        <f t="shared" si="7"/>
        <v>328732</v>
      </c>
      <c r="L61" s="466">
        <v>335270</v>
      </c>
      <c r="M61" s="609"/>
      <c r="N61" s="609"/>
    </row>
    <row r="62" spans="1:14" s="343" customFormat="1" x14ac:dyDescent="0.2">
      <c r="A62" s="1504" t="s">
        <v>953</v>
      </c>
      <c r="B62" s="614">
        <v>2550</v>
      </c>
      <c r="C62" s="466"/>
      <c r="D62" s="466"/>
      <c r="E62" s="466">
        <v>13813</v>
      </c>
      <c r="F62" s="466">
        <v>1911</v>
      </c>
      <c r="G62" s="466">
        <v>25865</v>
      </c>
      <c r="H62" s="466"/>
      <c r="I62" s="467"/>
      <c r="J62" s="467"/>
      <c r="K62" s="1672">
        <f t="shared" si="7"/>
        <v>41589</v>
      </c>
      <c r="L62" s="466">
        <v>41115</v>
      </c>
      <c r="M62" s="609"/>
      <c r="N62" s="609"/>
    </row>
    <row r="63" spans="1:14" s="609" customFormat="1" x14ac:dyDescent="0.2">
      <c r="A63" s="1504" t="s">
        <v>100</v>
      </c>
      <c r="B63" s="614">
        <v>2560</v>
      </c>
      <c r="C63" s="466">
        <v>38342</v>
      </c>
      <c r="D63" s="466">
        <v>16917</v>
      </c>
      <c r="E63" s="466">
        <v>8513</v>
      </c>
      <c r="F63" s="466">
        <v>34586</v>
      </c>
      <c r="G63" s="466"/>
      <c r="H63" s="466"/>
      <c r="I63" s="467"/>
      <c r="J63" s="467"/>
      <c r="K63" s="1672">
        <f t="shared" si="7"/>
        <v>98358</v>
      </c>
      <c r="L63" s="466">
        <v>101470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146365</v>
      </c>
      <c r="D65" s="1670">
        <f t="shared" ref="D65:L65" si="8">SUM(D59:D64)</f>
        <v>49375</v>
      </c>
      <c r="E65" s="1670">
        <f t="shared" si="8"/>
        <v>250809</v>
      </c>
      <c r="F65" s="1670">
        <f t="shared" si="8"/>
        <v>69917</v>
      </c>
      <c r="G65" s="1670">
        <f t="shared" si="8"/>
        <v>25865</v>
      </c>
      <c r="H65" s="1670">
        <f t="shared" si="8"/>
        <v>0</v>
      </c>
      <c r="I65" s="1670">
        <f t="shared" si="8"/>
        <v>0</v>
      </c>
      <c r="J65" s="1670">
        <f t="shared" si="8"/>
        <v>0</v>
      </c>
      <c r="K65" s="1670">
        <f t="shared" si="8"/>
        <v>542331</v>
      </c>
      <c r="L65" s="1670">
        <f t="shared" si="8"/>
        <v>551512</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v>13695</v>
      </c>
      <c r="F70" s="466"/>
      <c r="G70" s="466"/>
      <c r="H70" s="466"/>
      <c r="I70" s="467"/>
      <c r="J70" s="467"/>
      <c r="K70" s="1672">
        <f>SUM(C70:J70)</f>
        <v>13695</v>
      </c>
      <c r="L70" s="466">
        <v>13679</v>
      </c>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13695</v>
      </c>
      <c r="F72" s="1670">
        <f t="shared" si="9"/>
        <v>0</v>
      </c>
      <c r="G72" s="1670">
        <f t="shared" si="9"/>
        <v>0</v>
      </c>
      <c r="H72" s="1670">
        <f t="shared" si="9"/>
        <v>0</v>
      </c>
      <c r="I72" s="1670">
        <f t="shared" si="9"/>
        <v>0</v>
      </c>
      <c r="J72" s="1670">
        <f t="shared" si="9"/>
        <v>0</v>
      </c>
      <c r="K72" s="1670">
        <f t="shared" si="9"/>
        <v>13695</v>
      </c>
      <c r="L72" s="1670">
        <f>SUM(L67:L71)</f>
        <v>13679</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2102293</v>
      </c>
      <c r="D74" s="1677">
        <f t="shared" ref="D74:K74" si="10">SUM(D42,D47,D53,D57,D65,D72,D73)</f>
        <v>607507</v>
      </c>
      <c r="E74" s="1677">
        <f t="shared" si="10"/>
        <v>519730</v>
      </c>
      <c r="F74" s="1677">
        <f t="shared" si="10"/>
        <v>161121</v>
      </c>
      <c r="G74" s="1677">
        <f t="shared" si="10"/>
        <v>33288</v>
      </c>
      <c r="H74" s="1677">
        <f t="shared" si="10"/>
        <v>0</v>
      </c>
      <c r="I74" s="1677">
        <f t="shared" si="10"/>
        <v>4792</v>
      </c>
      <c r="J74" s="1677">
        <f t="shared" si="10"/>
        <v>0</v>
      </c>
      <c r="K74" s="1677">
        <f t="shared" si="10"/>
        <v>3428731</v>
      </c>
      <c r="L74" s="1677">
        <f>SUM(L42,L47,L53,L57,L65,L72,L73)</f>
        <v>3433826</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50403</v>
      </c>
      <c r="F79" s="616"/>
      <c r="G79" s="616"/>
      <c r="H79" s="466">
        <v>1478359</v>
      </c>
      <c r="I79" s="477"/>
      <c r="J79" s="477"/>
      <c r="K79" s="1671">
        <f t="shared" si="11"/>
        <v>1528762</v>
      </c>
      <c r="L79" s="466">
        <v>1558790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50403</v>
      </c>
      <c r="F84" s="616"/>
      <c r="G84" s="616"/>
      <c r="H84" s="1670">
        <f>SUM(H78:H83)</f>
        <v>1478359</v>
      </c>
      <c r="I84" s="477"/>
      <c r="J84" s="477"/>
      <c r="K84" s="1670">
        <f>SUM(K78:K83)</f>
        <v>1528762</v>
      </c>
      <c r="L84" s="1670">
        <f>SUM(L78:L83)</f>
        <v>1558790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50403</v>
      </c>
      <c r="F102" s="616"/>
      <c r="G102" s="616"/>
      <c r="H102" s="1677">
        <f>SUM(H84,H92,H100,H101)</f>
        <v>1478359</v>
      </c>
      <c r="I102" s="477"/>
      <c r="J102" s="477"/>
      <c r="K102" s="1677">
        <f>SUM(K84,K92,K100,K101)</f>
        <v>1528762</v>
      </c>
      <c r="L102" s="1677">
        <f>SUM(L84,L92,L100,L101)</f>
        <v>1558790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3390560</v>
      </c>
      <c r="D114" s="1670">
        <f t="shared" ref="D114:K114" si="13">SUM(D33,D74,D75,D102,D112,D113)</f>
        <v>1038419</v>
      </c>
      <c r="E114" s="1670">
        <f t="shared" si="13"/>
        <v>589253</v>
      </c>
      <c r="F114" s="1670">
        <f t="shared" si="13"/>
        <v>173132</v>
      </c>
      <c r="G114" s="1670">
        <f t="shared" si="13"/>
        <v>33288</v>
      </c>
      <c r="H114" s="1670">
        <f>SUM(H33,H74,H75,H102,H112,H113)</f>
        <v>1478359</v>
      </c>
      <c r="I114" s="1670">
        <f t="shared" si="13"/>
        <v>4792</v>
      </c>
      <c r="J114" s="1670">
        <f t="shared" si="13"/>
        <v>0</v>
      </c>
      <c r="K114" s="1670">
        <f t="shared" si="13"/>
        <v>6707803</v>
      </c>
      <c r="L114" s="1670">
        <f>SUM(L33,L74,L75,L102,L112,L113)</f>
        <v>6796576</v>
      </c>
    </row>
    <row r="115" spans="1:14" ht="13.5" thickTop="1" x14ac:dyDescent="0.2">
      <c r="A115" s="2153" t="s">
        <v>996</v>
      </c>
      <c r="B115" s="2154"/>
      <c r="C115" s="618"/>
      <c r="D115" s="618"/>
      <c r="E115" s="618"/>
      <c r="F115" s="618"/>
      <c r="G115" s="618"/>
      <c r="H115" s="618"/>
      <c r="I115" s="618"/>
      <c r="J115" s="618"/>
      <c r="K115" s="1684">
        <f>'Revenues 9-14'!C268-'Expenditures 15-22'!K114</f>
        <v>-122378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8" t="s">
        <v>296</v>
      </c>
      <c r="B117" s="2159"/>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c r="F124" s="466"/>
      <c r="G124" s="466"/>
      <c r="H124" s="466"/>
      <c r="I124" s="467"/>
      <c r="J124" s="467"/>
      <c r="K124" s="1670">
        <f>SUM(C124:J124)</f>
        <v>0</v>
      </c>
      <c r="L124" s="466"/>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0</v>
      </c>
      <c r="F127" s="1670">
        <f t="shared" si="14"/>
        <v>0</v>
      </c>
      <c r="G127" s="1670">
        <f t="shared" si="14"/>
        <v>0</v>
      </c>
      <c r="H127" s="1670">
        <f t="shared" si="14"/>
        <v>0</v>
      </c>
      <c r="I127" s="1670">
        <f t="shared" si="14"/>
        <v>0</v>
      </c>
      <c r="J127" s="1670">
        <f t="shared" si="14"/>
        <v>0</v>
      </c>
      <c r="K127" s="1670">
        <f t="shared" si="14"/>
        <v>0</v>
      </c>
      <c r="L127" s="1670">
        <f t="shared" si="14"/>
        <v>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0</v>
      </c>
      <c r="F129" s="1677">
        <f t="shared" si="15"/>
        <v>0</v>
      </c>
      <c r="G129" s="1677">
        <f t="shared" si="15"/>
        <v>0</v>
      </c>
      <c r="H129" s="1677">
        <f t="shared" si="15"/>
        <v>0</v>
      </c>
      <c r="I129" s="1677">
        <f t="shared" si="15"/>
        <v>0</v>
      </c>
      <c r="J129" s="1677">
        <f t="shared" si="15"/>
        <v>0</v>
      </c>
      <c r="K129" s="1677">
        <f t="shared" si="15"/>
        <v>0</v>
      </c>
      <c r="L129" s="1677">
        <f t="shared" si="15"/>
        <v>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1843</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0" t="s">
        <v>620</v>
      </c>
      <c r="B151" s="2150"/>
      <c r="C151" s="1670">
        <f>SUM(C129,C130,C139,C149,C150)</f>
        <v>0</v>
      </c>
      <c r="D151" s="1670">
        <f t="shared" ref="D151:K151" si="16">SUM(D129,D130,D139,D149,D150)</f>
        <v>0</v>
      </c>
      <c r="E151" s="1670">
        <f t="shared" si="16"/>
        <v>0</v>
      </c>
      <c r="F151" s="1670">
        <f t="shared" si="16"/>
        <v>0</v>
      </c>
      <c r="G151" s="1670">
        <f t="shared" si="16"/>
        <v>0</v>
      </c>
      <c r="H151" s="1670">
        <f t="shared" si="16"/>
        <v>0</v>
      </c>
      <c r="I151" s="1670">
        <f t="shared" si="16"/>
        <v>0</v>
      </c>
      <c r="J151" s="1670">
        <f t="shared" si="16"/>
        <v>0</v>
      </c>
      <c r="K151" s="1670">
        <f t="shared" si="16"/>
        <v>0</v>
      </c>
      <c r="L151" s="1670">
        <f>SUM(L129,L130,L139,L149,L150)</f>
        <v>0</v>
      </c>
    </row>
    <row r="152" spans="1:14" ht="12.75" customHeight="1" thickTop="1" x14ac:dyDescent="0.2">
      <c r="A152" s="2173" t="s">
        <v>1178</v>
      </c>
      <c r="B152" s="2174"/>
      <c r="C152" s="618"/>
      <c r="D152" s="618"/>
      <c r="E152" s="618"/>
      <c r="F152" s="618"/>
      <c r="G152" s="618"/>
      <c r="H152" s="618"/>
      <c r="I152" s="618"/>
      <c r="J152" s="616"/>
      <c r="K152" s="1684">
        <f>'Revenues 9-14'!D268-'Expenditures 15-22'!K151</f>
        <v>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8" t="s">
        <v>621</v>
      </c>
      <c r="B154" s="2160"/>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1844</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1843</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1845</v>
      </c>
      <c r="C158" s="616"/>
      <c r="D158" s="616"/>
      <c r="E158" s="616"/>
      <c r="F158" s="616"/>
      <c r="G158" s="616"/>
      <c r="H158" s="467"/>
      <c r="I158" s="616"/>
      <c r="J158" s="616"/>
      <c r="K158" s="1671">
        <f>H158</f>
        <v>0</v>
      </c>
      <c r="L158" s="467"/>
      <c r="M158" s="619"/>
      <c r="N158" s="619"/>
    </row>
    <row r="159" spans="1:14" s="620" customFormat="1" ht="12" x14ac:dyDescent="0.2">
      <c r="A159" s="1826" t="s">
        <v>1846</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1847</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1670</v>
      </c>
      <c r="B170" s="671" t="s">
        <v>31</v>
      </c>
      <c r="C170" s="616"/>
      <c r="D170" s="616"/>
      <c r="E170" s="616"/>
      <c r="F170" s="616"/>
      <c r="G170" s="616"/>
      <c r="H170" s="569"/>
      <c r="I170" s="616"/>
      <c r="J170" s="616"/>
      <c r="K170" s="1671">
        <f>SUM(C170:J170)</f>
        <v>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53" t="s">
        <v>996</v>
      </c>
      <c r="B175" s="2154"/>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c r="F182" s="466"/>
      <c r="G182" s="466"/>
      <c r="H182" s="466"/>
      <c r="I182" s="467"/>
      <c r="J182" s="467"/>
      <c r="K182" s="1671">
        <f>SUM(C182:J182)</f>
        <v>0</v>
      </c>
      <c r="L182" s="466"/>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0</v>
      </c>
      <c r="D184" s="1677">
        <f t="shared" ref="D184:J184" si="17">SUM(D180,D182,D183)</f>
        <v>0</v>
      </c>
      <c r="E184" s="1677">
        <f t="shared" si="17"/>
        <v>0</v>
      </c>
      <c r="F184" s="1677">
        <f t="shared" si="17"/>
        <v>0</v>
      </c>
      <c r="G184" s="1677">
        <f t="shared" si="17"/>
        <v>0</v>
      </c>
      <c r="H184" s="1677">
        <f t="shared" si="17"/>
        <v>0</v>
      </c>
      <c r="I184" s="1677">
        <f t="shared" si="17"/>
        <v>0</v>
      </c>
      <c r="J184" s="1677">
        <f t="shared" si="17"/>
        <v>0</v>
      </c>
      <c r="K184" s="1677">
        <f>SUM(K180,K182,K183)</f>
        <v>0</v>
      </c>
      <c r="L184" s="1677">
        <f>SUM(L180, L182:L183)</f>
        <v>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0</v>
      </c>
      <c r="D210" s="1670">
        <f>SUM(D184,D185)</f>
        <v>0</v>
      </c>
      <c r="E210" s="1670">
        <f>SUM(E184,E185,E196)</f>
        <v>0</v>
      </c>
      <c r="F210" s="1670">
        <f>SUM(F184,F185)</f>
        <v>0</v>
      </c>
      <c r="G210" s="1670">
        <f>SUM(G184,G185)</f>
        <v>0</v>
      </c>
      <c r="H210" s="1670">
        <f>SUM(H184,H185,H196,H208,H209)</f>
        <v>0</v>
      </c>
      <c r="I210" s="1670">
        <f>SUM(I184,I185)</f>
        <v>0</v>
      </c>
      <c r="J210" s="1670">
        <f>SUM(J184,J185)</f>
        <v>0</v>
      </c>
      <c r="K210" s="1671">
        <f>SUM(K184,K185,K196,K208,K209)</f>
        <v>0</v>
      </c>
      <c r="L210" s="1670">
        <f>SUM(L184,L185,L196,L208,L209)</f>
        <v>0</v>
      </c>
    </row>
    <row r="211" spans="1:14" ht="13.5" thickTop="1" x14ac:dyDescent="0.2">
      <c r="A211" s="2153" t="s">
        <v>996</v>
      </c>
      <c r="B211" s="2154"/>
      <c r="C211" s="618"/>
      <c r="D211" s="618"/>
      <c r="E211" s="618"/>
      <c r="F211" s="618"/>
      <c r="G211" s="618"/>
      <c r="H211" s="618"/>
      <c r="I211" s="616"/>
      <c r="J211" s="616"/>
      <c r="K211" s="1684">
        <f>'Revenues 9-14'!F268-'Expenditures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5" t="s">
        <v>965</v>
      </c>
      <c r="B213" s="2176"/>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c r="E215" s="616"/>
      <c r="F215" s="616"/>
      <c r="G215" s="616"/>
      <c r="H215" s="616"/>
      <c r="I215" s="616"/>
      <c r="J215" s="616"/>
      <c r="K215" s="1671">
        <f>D215</f>
        <v>0</v>
      </c>
      <c r="L215" s="466"/>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c r="E223" s="616"/>
      <c r="F223" s="616"/>
      <c r="G223" s="616"/>
      <c r="H223" s="616"/>
      <c r="I223" s="616"/>
      <c r="J223" s="616"/>
      <c r="K223" s="1671">
        <f t="shared" si="19"/>
        <v>0</v>
      </c>
      <c r="L223" s="466"/>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0</v>
      </c>
      <c r="E229" s="616"/>
      <c r="F229" s="616"/>
      <c r="G229" s="616"/>
      <c r="H229" s="616"/>
      <c r="I229" s="616"/>
      <c r="J229" s="616"/>
      <c r="K229" s="1670">
        <f>SUM(K215:K228)</f>
        <v>0</v>
      </c>
      <c r="L229" s="1670">
        <f>SUM(L215:L228)</f>
        <v>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c r="E246" s="616"/>
      <c r="F246" s="616"/>
      <c r="G246" s="616"/>
      <c r="H246" s="616"/>
      <c r="I246" s="616"/>
      <c r="J246" s="616"/>
      <c r="K246" s="1672">
        <f t="shared" ref="K246:K256" si="21">D246</f>
        <v>0</v>
      </c>
      <c r="L246" s="466"/>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1803</v>
      </c>
      <c r="B249" s="683" t="s">
        <v>282</v>
      </c>
      <c r="C249" s="616"/>
      <c r="D249" s="474"/>
      <c r="E249" s="616"/>
      <c r="F249" s="616"/>
      <c r="G249" s="616"/>
      <c r="H249" s="616"/>
      <c r="I249" s="616"/>
      <c r="J249" s="616"/>
      <c r="K249" s="1672">
        <f t="shared" si="21"/>
        <v>0</v>
      </c>
      <c r="L249" s="466"/>
    </row>
    <row r="250" spans="1:12" x14ac:dyDescent="0.2">
      <c r="A250" s="1505" t="s">
        <v>1804</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0</v>
      </c>
      <c r="E257" s="616"/>
      <c r="F257" s="616"/>
      <c r="G257" s="616"/>
      <c r="H257" s="616"/>
      <c r="I257" s="616"/>
      <c r="J257" s="616"/>
      <c r="K257" s="1670">
        <f>SUM(K245:K256)</f>
        <v>0</v>
      </c>
      <c r="L257" s="1670">
        <f>SUM(L245:L256)</f>
        <v>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c r="E259" s="616"/>
      <c r="F259" s="616"/>
      <c r="G259" s="616"/>
      <c r="H259" s="616"/>
      <c r="I259" s="616"/>
      <c r="J259" s="616"/>
      <c r="K259" s="1672">
        <f>D259</f>
        <v>0</v>
      </c>
      <c r="L259" s="481"/>
    </row>
    <row r="260" spans="1:14" s="597" customFormat="1" x14ac:dyDescent="0.2">
      <c r="A260" s="1522" t="s">
        <v>1802</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0</v>
      </c>
      <c r="E261" s="616"/>
      <c r="F261" s="616"/>
      <c r="G261" s="616"/>
      <c r="H261" s="616"/>
      <c r="I261" s="616"/>
      <c r="J261" s="616"/>
      <c r="K261" s="1670">
        <f>SUM(K259:K260)</f>
        <v>0</v>
      </c>
      <c r="L261" s="1670">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c r="E266" s="616"/>
      <c r="F266" s="616"/>
      <c r="G266" s="616"/>
      <c r="H266" s="616"/>
      <c r="I266" s="616"/>
      <c r="J266" s="616"/>
      <c r="K266" s="1672">
        <f t="shared" si="22"/>
        <v>0</v>
      </c>
      <c r="L266" s="466"/>
    </row>
    <row r="267" spans="1:14" x14ac:dyDescent="0.2">
      <c r="A267" s="1504" t="s">
        <v>953</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0</v>
      </c>
      <c r="E270" s="616"/>
      <c r="F270" s="616"/>
      <c r="G270" s="616"/>
      <c r="H270" s="616"/>
      <c r="I270" s="616"/>
      <c r="J270" s="616"/>
      <c r="K270" s="1670">
        <f>SUM(K263:K269)</f>
        <v>0</v>
      </c>
      <c r="L270" s="1670">
        <f>SUM(L263:L269)</f>
        <v>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0</v>
      </c>
      <c r="E279" s="616"/>
      <c r="F279" s="616"/>
      <c r="G279" s="616"/>
      <c r="H279" s="616"/>
      <c r="I279" s="616"/>
      <c r="J279" s="616"/>
      <c r="K279" s="1677">
        <f>SUM(K238,K243,K257,K261,K270,K277,K278)</f>
        <v>0</v>
      </c>
      <c r="L279" s="1677">
        <f>SUM(L238,L243,L257,L261,L270,L277,L278)</f>
        <v>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1843</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1" t="s">
        <v>505</v>
      </c>
      <c r="B295" s="2172"/>
      <c r="C295" s="616"/>
      <c r="D295" s="1670">
        <f>SUM(D229,D279,D280,D285)</f>
        <v>0</v>
      </c>
      <c r="E295" s="616"/>
      <c r="F295" s="616"/>
      <c r="G295" s="616"/>
      <c r="H295" s="1670">
        <f>H293</f>
        <v>0</v>
      </c>
      <c r="I295" s="616"/>
      <c r="J295" s="616"/>
      <c r="K295" s="1670">
        <f>SUM(K229,K279,K280,K285,K293,K294)</f>
        <v>0</v>
      </c>
      <c r="L295" s="1670">
        <f>SUM(L229,L279,L280,L285,L293,L294)</f>
        <v>0</v>
      </c>
    </row>
    <row r="296" spans="1:14" ht="13.5" thickTop="1" x14ac:dyDescent="0.2">
      <c r="A296" s="2153" t="s">
        <v>996</v>
      </c>
      <c r="B296" s="2154"/>
      <c r="C296" s="616"/>
      <c r="D296" s="618"/>
      <c r="E296" s="616"/>
      <c r="F296" s="616"/>
      <c r="G296" s="616"/>
      <c r="H296" s="687"/>
      <c r="I296" s="616"/>
      <c r="J296" s="616"/>
      <c r="K296" s="1684">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3" t="s">
        <v>143</v>
      </c>
      <c r="B298" s="2157"/>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1848</v>
      </c>
      <c r="B306" s="690" t="s">
        <v>1843</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8" t="s">
        <v>277</v>
      </c>
      <c r="B312" s="2169"/>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4" t="s">
        <v>996</v>
      </c>
      <c r="B313" s="2165"/>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7" t="s">
        <v>149</v>
      </c>
      <c r="B315" s="2178"/>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79" t="s">
        <v>898</v>
      </c>
      <c r="B317" s="2178"/>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1803</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1849</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1843</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1845</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1850</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SUM(L330,L340,L341)</f>
        <v>0</v>
      </c>
    </row>
    <row r="343" spans="1:14" ht="12.75" customHeight="1" thickTop="1" x14ac:dyDescent="0.2">
      <c r="A343" s="2166" t="s">
        <v>996</v>
      </c>
      <c r="B343" s="2167"/>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6" t="s">
        <v>966</v>
      </c>
      <c r="B345" s="2157"/>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1851</v>
      </c>
      <c r="B354" s="683" t="s">
        <v>1843</v>
      </c>
      <c r="C354" s="616"/>
      <c r="D354" s="616"/>
      <c r="E354" s="616"/>
      <c r="F354" s="616"/>
      <c r="G354" s="616"/>
      <c r="H354" s="474"/>
      <c r="I354" s="701"/>
      <c r="J354" s="616"/>
      <c r="K354" s="1699">
        <f>H354</f>
        <v>0</v>
      </c>
      <c r="L354" s="471"/>
    </row>
    <row r="355" spans="1:14" ht="12.75" customHeight="1" x14ac:dyDescent="0.2">
      <c r="A355" s="1513" t="s">
        <v>1852</v>
      </c>
      <c r="B355" s="690" t="s">
        <v>1845</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53" t="s">
        <v>996</v>
      </c>
      <c r="B368" s="2154"/>
      <c r="C368" s="654"/>
      <c r="D368" s="654"/>
      <c r="E368" s="626"/>
      <c r="F368" s="626"/>
      <c r="G368" s="626"/>
      <c r="H368" s="626"/>
      <c r="I368" s="626"/>
      <c r="J368" s="623"/>
      <c r="K368" s="1671">
        <f>'Revenues 9-14'!K268-'Expenditures 15-22'!K367</f>
        <v>0</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
See notes.
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4d435f69-8686-490b-bd6d-b153bf22ab50"/>
    <ds:schemaRef ds:uri="d21dc803-237d-4c68-8692-8d731fd29118"/>
    <ds:schemaRef ds:uri="6ce3111e-7420-4802-b50a-75d4e9a0b980"/>
    <ds:schemaRef ds:uri="http://schemas.microsoft.com/sharepoint/v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18</vt:i4>
      </vt:variant>
    </vt:vector>
  </HeadingPairs>
  <TitlesOfParts>
    <vt:vector size="52"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2019-11-04T17:04:38Z</cp:lastPrinted>
  <dcterms:created xsi:type="dcterms:W3CDTF">2003-10-29T19:06:34Z</dcterms:created>
  <dcterms:modified xsi:type="dcterms:W3CDTF">2019-12-04T17:51:26Z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