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07B1A8BC-553C-4474-8583-64DFDED5428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6" i="183" l="1"/>
  <c r="L27" i="183"/>
  <c r="L26" i="183"/>
  <c r="L25" i="183"/>
  <c r="L24" i="183"/>
  <c r="L23" i="183"/>
  <c r="L22" i="183"/>
  <c r="L21" i="183"/>
  <c r="L20" i="183"/>
  <c r="L19" i="183"/>
  <c r="L18" i="183"/>
  <c r="L17" i="183"/>
  <c r="L15" i="183"/>
  <c r="L14" i="183"/>
  <c r="L13" i="183"/>
  <c r="L12" i="183"/>
  <c r="L11" i="183"/>
  <c r="B4" i="183"/>
  <c r="B2"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6"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7" i="108"/>
  <c r="E31" i="108"/>
  <c r="G31" i="108"/>
  <c r="E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H33" i="118"/>
  <c r="D11" i="37"/>
  <c r="D22" i="37"/>
  <c r="J22" i="37"/>
  <c r="D24" i="37"/>
  <c r="B4270" i="106" s="1"/>
  <c r="D4270" i="106" s="1"/>
  <c r="L5" i="11"/>
  <c r="B2056" i="106" s="1"/>
  <c r="D2056" i="106" s="1"/>
  <c r="D9" i="7"/>
  <c r="B1767" i="106" s="1"/>
  <c r="D1767" i="106" s="1"/>
  <c r="B5752" i="106"/>
  <c r="D5752" i="106" s="1"/>
  <c r="L13" i="11" l="1"/>
  <c r="B2060" i="106" s="1"/>
  <c r="D2060" i="106" s="1"/>
  <c r="D36" i="108"/>
  <c r="F28" i="108"/>
  <c r="E28" i="108"/>
  <c r="G38" i="108"/>
  <c r="J77" i="4"/>
  <c r="B6262" i="106" s="1"/>
  <c r="D6262" i="106" s="1"/>
  <c r="B1308" i="106"/>
  <c r="D1308" i="106" s="1"/>
  <c r="E174" i="29"/>
  <c r="B1309" i="106" s="1"/>
  <c r="D1309" i="106" s="1"/>
  <c r="E38" i="108"/>
  <c r="F77" i="4"/>
  <c r="B3255" i="106" s="1"/>
  <c r="D3255" i="106" s="1"/>
  <c r="K28" i="118"/>
  <c r="O27" i="118" s="1"/>
  <c r="O29" i="118" s="1"/>
  <c r="F49" i="34"/>
  <c r="G34" i="108"/>
  <c r="B7235" i="106"/>
  <c r="D7235" i="106" s="1"/>
  <c r="J129" i="29"/>
  <c r="B7038" i="106" s="1"/>
  <c r="D7038" i="106" s="1"/>
  <c r="L15" i="11"/>
  <c r="B3459" i="106" s="1"/>
  <c r="D3459" i="106" s="1"/>
  <c r="C129" i="29"/>
  <c r="L22" i="37"/>
  <c r="F19" i="7"/>
  <c r="B1807" i="106" s="1"/>
  <c r="D1807" i="106" s="1"/>
  <c r="F46" i="34"/>
  <c r="D7245" i="106"/>
  <c r="H365" i="29"/>
  <c r="B7242" i="106" s="1"/>
  <c r="D7242" i="106" s="1"/>
  <c r="C352" i="29"/>
  <c r="G210" i="29"/>
  <c r="D17" i="7"/>
  <c r="B4104" i="106" s="1"/>
  <c r="D4104" i="106" s="1"/>
  <c r="L342" i="29"/>
  <c r="B4087" i="106"/>
  <c r="D4087" i="106" s="1"/>
  <c r="K41" i="3"/>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174" i="34" s="1"/>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C114" i="29"/>
  <c r="B757" i="106" s="1"/>
  <c r="D757" i="106" s="1"/>
  <c r="B3568" i="106"/>
  <c r="D3568" i="106" s="1"/>
  <c r="D52" i="36"/>
  <c r="D7255" i="106"/>
  <c r="B5527" i="106"/>
  <c r="D5527" i="106" s="1"/>
  <c r="D7256" i="106"/>
  <c r="D7250" i="106"/>
  <c r="B1328" i="106"/>
  <c r="D1328" i="106" s="1"/>
  <c r="D7252" i="106"/>
  <c r="B1365" i="106"/>
  <c r="D1365" i="106" s="1"/>
  <c r="F65" i="34"/>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<sst xmlns="http://schemas.openxmlformats.org/spreadsheetml/2006/main" count="5161" uniqueCount="2129">
  <si>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</si>
  <si>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</si>
  <si>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</si>
  <si>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</si>
  <si>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</si>
  <si>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</si>
  <si>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</si>
  <si>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</si>
  <si>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</si>
  <si>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</si>
  <si>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</si>
  <si>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</si>
  <si>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</si>
  <si>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</si>
  <si>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</si>
  <si>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</si>
  <si>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</si>
  <si>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</si>
  <si>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</si>
  <si>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</si>
  <si>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</si>
  <si>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</si>
  <si>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</si>
  <si>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</si>
  <si>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</si>
  <si>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</si>
  <si>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</si>
  <si>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</si>
  <si>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</si>
  <si>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</si>
  <si>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</si>
  <si>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</si>
  <si>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</si>
  <si>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</si>
  <si>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</si>
  <si>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</si>
  <si>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</si>
  <si>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</si>
  <si>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</si>
  <si>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</si>
  <si>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</si>
  <si>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</si>
  <si>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</si>
  <si>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</si>
  <si>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</si>
  <si>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</si>
  <si>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</si>
  <si>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</si>
  <si>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</si>
  <si>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</si>
  <si>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</si>
  <si>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</si>
  <si>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</si>
  <si>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</si>
  <si>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</si>
  <si>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</si>
  <si>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</si>
  <si>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</si>
  <si>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</si>
  <si>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</si>
  <si>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</si>
  <si>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</si>
  <si>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</si>
  <si>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</si>
  <si>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</si>
  <si>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</si>
  <si>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</si>
  <si>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</si>
  <si>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</si>
  <si>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</si>
  <si>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</si>
  <si>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</si>
  <si>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</si>
  <si>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</si>
  <si>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</si>
  <si>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</si>
  <si>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</si>
  <si>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</si>
  <si>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</si>
  <si>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</si>
  <si>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</si>
  <si>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</si>
  <si>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</si>
  <si>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</si>
  <si>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</si>
  <si>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</si>
  <si>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</si>
  <si>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</si>
  <si>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</si>
  <si>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</si>
  <si>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</si>
  <si>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</si>
  <si>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</si>
  <si>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</si>
  <si>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</si>
  <si>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</si>
  <si>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</si>
  <si>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</si>
  <si>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</si>
  <si>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</si>
  <si>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</si>
  <si>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</si>
  <si>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</si>
  <si>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</si>
  <si>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</si>
  <si>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</si>
  <si>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</si>
  <si>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</si>
  <si>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</si>
  <si>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</si>
  <si>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</si>
  <si>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</si>
  <si>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</si>
  <si>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</si>
  <si>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</si>
  <si>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</si>
  <si>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</si>
  <si>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</si>
  <si>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</si>
  <si>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</si>
  <si>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</si>
  <si>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</si>
  <si>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</si>
  <si>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</si>
  <si>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</si>
  <si>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</si>
  <si>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</si>
  <si>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</si>
  <si>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</si>
  <si>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</si>
  <si>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</si>
  <si>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</si>
  <si>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</si>
  <si>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</si>
  <si>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</si>
  <si>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</si>
  <si>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</si>
  <si>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</si>
  <si>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</si>
  <si>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</si>
  <si>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</si>
  <si>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</si>
  <si>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</si>
  <si>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</si>
  <si>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</si>
  <si>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</si>
  <si>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</si>
  <si>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</si>
  <si>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</si>
  <si>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</si>
  <si>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</si>
  <si>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</si>
  <si>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</si>
  <si>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</si>
  <si>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</si>
  <si>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</si>
  <si>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</si>
  <si>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</si>
  <si>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</si>
  <si>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</si>
  <si>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</si>
  <si>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</si>
  <si>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</si>
  <si>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</si>
  <si>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</si>
  <si>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</si>
  <si>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</si>
  <si>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</si>
  <si>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</si>
  <si>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</si>
  <si>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</si>
  <si>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</si>
  <si>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</si>
  <si>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</si>
  <si>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</si>
  <si>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</si>
  <si>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</si>
  <si>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</si>
  <si>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</si>
  <si>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</si>
  <si>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</si>
  <si>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</si>
  <si>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</si>
  <si>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</si>
  <si>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</si>
  <si>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</si>
  <si>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</si>
  <si>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</si>
  <si>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</si>
  <si>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</si>
  <si>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</si>
  <si>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</si>
  <si>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</si>
  <si>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</si>
  <si>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</si>
  <si>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</si>
  <si>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</si>
  <si>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</si>
  <si>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</si>
  <si>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</si>
  <si>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</si>
  <si>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</si>
  <si>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</si>
  <si>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</si>
  <si>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</si>
  <si>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</si>
  <si>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</si>
  <si>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</si>
  <si>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</si>
  <si>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</si>
  <si>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</si>
  <si>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</si>
  <si>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</si>
  <si>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</si>
  <si>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</si>
  <si>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</si>
  <si>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</si>
  <si>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</si>
  <si>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</si>
  <si>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</si>
  <si>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</si>
  <si>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</si>
  <si>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</si>
  <si>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</si>
  <si>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</si>
  <si>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</si>
  <si>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</si>
  <si>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</si>
  <si>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</si>
  <si>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</si>
  <si>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</si>
  <si>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</si>
  <si>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</si>
  <si>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</si>
  <si>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</si>
  <si>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</si>
  <si>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</si>
  <si>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</si>
  <si>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</si>
  <si>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</si>
  <si>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</si>
  <si>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</si>
  <si>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</si>
  <si>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</si>
  <si>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</si>
  <si>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</si>
  <si>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</si>
  <si>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</si>
  <si>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</si>
  <si>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</si>
  <si>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</si>
  <si>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</si>
  <si>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</si>
  <si>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</si>
  <si>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</si>
  <si>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</si>
  <si>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</si>
  <si>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</si>
  <si>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</si>
  <si>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</si>
  <si>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</si>
  <si>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</si>
  <si>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</si>
  <si>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</si>
  <si>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</si>
  <si>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</si>
  <si>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</si>
  <si>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</si>
  <si>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</si>
  <si>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</si>
  <si>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</si>
  <si>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</si>
  <si>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</si>
  <si>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</si>
  <si>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</si>
  <si>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</si>
  <si>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</si>
  <si>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</si>
  <si>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</si>
  <si>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</si>
  <si>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</si>
  <si>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</si>
  <si>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</si>
  <si>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</si>
  <si>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</si>
  <si>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</si>
  <si>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</si>
  <si>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</si>
  <si>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</si>
  <si>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</si>
  <si>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</si>
  <si>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</si>
  <si>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</si>
  <si>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</si>
  <si>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</si>
  <si>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</si>
  <si>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</si>
  <si>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</si>
  <si>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</si>
  <si>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</si>
  <si>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</si>
  <si>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</si>
  <si>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</si>
  <si>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</si>
  <si>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</si>
  <si>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</si>
  <si>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</si>
  <si>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</si>
  <si>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</si>
  <si>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</si>
  <si>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</si>
  <si>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</si>
  <si>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</si>
  <si>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</si>
  <si>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</si>
  <si>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</si>
  <si>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</si>
  <si>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</si>
  <si>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</si>
  <si>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</si>
  <si>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</si>
  <si>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</si>
  <si>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</si>
  <si>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</si>
  <si>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</si>
  <si>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</si>
  <si>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</si>
  <si>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</si>
  <si>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</si>
  <si>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</si>
  <si>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</si>
  <si>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</si>
  <si>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</si>
  <si>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</si>
  <si>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</si>
  <si>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</si>
  <si>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</si>
  <si>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</si>
  <si>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</si>
  <si>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</si>
  <si>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</si>
  <si>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</si>
  <si>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</si>
  <si>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</si>
  <si>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</si>
  <si>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</si>
  <si>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</si>
  <si>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</si>
  <si>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</si>
  <si>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</si>
  <si>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</si>
  <si>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</si>
  <si>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</si>
  <si>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</si>
  <si>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</si>
  <si>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</si>
  <si>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</si>
  <si>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</si>
  <si>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</si>
  <si>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</si>
  <si>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</si>
  <si>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</si>
  <si>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</si>
  <si>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</si>
  <si>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</si>
  <si>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</si>
  <si>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</si>
  <si>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</si>
  <si>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</si>
  <si>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</si>
  <si>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</si>
  <si>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</si>
  <si>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</si>
  <si>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</si>
  <si>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</si>
  <si>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</si>
  <si>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</si>
  <si>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</si>
  <si>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</si>
  <si>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</si>
  <si>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</si>
  <si>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</si>
  <si>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</si>
  <si>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</si>
  <si>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</si>
  <si>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</si>
  <si>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</si>
  <si>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</si>
  <si>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</si>
  <si>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</si>
  <si>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</si>
  <si>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</si>
  <si>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</si>
  <si>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</si>
  <si>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</si>
  <si>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</si>
  <si>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</si>
  <si>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</si>
  <si>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</si>
  <si>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</si>
  <si>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</si>
  <si>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</si>
  <si>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</si>
  <si>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</si>
  <si>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</si>
  <si>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</si>
  <si>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</si>
  <si>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</si>
  <si>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</si>
  <si>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</si>
  <si>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</si>
  <si>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</si>
  <si>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</si>
  <si>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</si>
  <si>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</si>
  <si>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</si>
  <si>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</si>
  <si>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</si>
  <si>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</si>
  <si>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</si>
  <si>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</si>
  <si>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</si>
  <si>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</si>
  <si>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</si>
  <si>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</si>
  <si>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</si>
  <si>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</si>
  <si>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</si>
  <si>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</si>
  <si>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</si>
  <si>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</si>
  <si>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</si>
  <si>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</si>
  <si>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</si>
  <si>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</si>
  <si>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</si>
  <si>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</si>
  <si>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</si>
  <si>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</si>
  <si>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</si>
  <si>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</si>
  <si>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</si>
  <si>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</si>
  <si>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</si>
  <si>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</si>
  <si>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</si>
  <si>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</si>
  <si>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</si>
  <si>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</si>
  <si>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</si>
  <si>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</si>
  <si>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</si>
  <si>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</si>
  <si>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</si>
  <si>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</si>
  <si>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</si>
  <si>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</si>
  <si>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</si>
  <si>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</si>
  <si>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</si>
  <si>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</si>
  <si>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</si>
  <si>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</si>
  <si>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</si>
  <si>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</si>
  <si>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</si>
  <si>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</si>
  <si>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</si>
  <si>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</si>
  <si>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</si>
  <si>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</si>
  <si>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</si>
  <si>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</si>
  <si>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</si>
  <si>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</si>
  <si>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</si>
  <si>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</si>
  <si>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</si>
  <si>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</si>
  <si>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</si>
  <si>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</si>
  <si>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</si>
  <si>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</si>
  <si>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</si>
  <si>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</si>
  <si>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</si>
  <si>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</si>
  <si>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</si>
  <si>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</si>
  <si>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</si>
  <si>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</si>
  <si>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</si>
  <si>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</si>
  <si>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</si>
  <si>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</si>
  <si>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</si>
  <si>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</si>
  <si>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</si>
  <si>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</si>
  <si>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</si>
  <si>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</si>
  <si>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</si>
  <si>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</si>
  <si>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</si>
  <si>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</si>
  <si>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</si>
  <si>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</si>
  <si>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</si>
  <si>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</si>
  <si>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</si>
  <si>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</si>
  <si>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</si>
  <si>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</si>
  <si>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</si>
  <si>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</si>
  <si>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</si>
  <si>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</si>
  <si>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</si>
  <si>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</si>
  <si>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</si>
  <si>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</si>
  <si>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</si>
  <si>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</si>
  <si>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</si>
  <si>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</si>
  <si>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</si>
  <si>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</si>
  <si>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</si>
  <si>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</si>
  <si>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</si>
  <si>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</si>
  <si>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</si>
  <si>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</si>
  <si>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</si>
  <si>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</si>
  <si>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</si>
  <si>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</si>
  <si>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</si>
  <si>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</si>
  <si>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</si>
  <si>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</si>
  <si>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</si>
  <si>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</si>
  <si>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</si>
  <si>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</si>
  <si>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</si>
  <si>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</si>
  <si>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</si>
  <si>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</si>
  <si>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</si>
  <si>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</si>
  <si>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</si>
  <si>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</si>
  <si>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</si>
  <si>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</si>
  <si>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</si>
  <si>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</si>
  <si>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</si>
  <si>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</si>
  <si>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</si>
  <si>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</si>
  <si>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</si>
  <si>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</si>
  <si>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</si>
  <si>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</si>
  <si>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</si>
  <si>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</si>
  <si>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</si>
  <si>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</si>
  <si>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</si>
  <si>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</si>
  <si>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</si>
  <si>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</si>
  <si>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</si>
  <si>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</si>
  <si>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</si>
  <si>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</si>
  <si>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</si>
  <si>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</si>
  <si>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</si>
  <si>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</si>
  <si>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</si>
  <si>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</si>
  <si>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</si>
  <si>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</si>
  <si>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</si>
  <si>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</si>
  <si>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</si>
  <si>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</si>
  <si>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</si>
  <si>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</si>
  <si>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</si>
  <si>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</si>
  <si>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</si>
  <si>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</si>
  <si>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</si>
  <si>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</si>
  <si>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</si>
  <si>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</si>
  <si>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</si>
  <si>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</si>
  <si>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</si>
  <si>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</si>
  <si>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</si>
  <si>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</si>
  <si>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</si>
  <si>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</si>
  <si>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</si>
  <si>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</si>
  <si>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</si>
  <si>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</si>
  <si>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</si>
  <si>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</si>
  <si>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</si>
  <si>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</si>
  <si>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</si>
  <si>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</si>
  <si>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</si>
  <si>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</si>
  <si>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</si>
  <si>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</si>
  <si>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</si>
  <si>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</si>
  <si>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</si>
  <si>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</si>
  <si>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</si>
  <si>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</si>
  <si>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</si>
  <si>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</si>
  <si>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</si>
  <si>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</si>
  <si>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</si>
  <si>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</si>
  <si>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</si>
  <si>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</si>
  <si>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</si>
  <si>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</si>
  <si>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</si>
  <si>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</si>
  <si>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</si>
  <si>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</si>
  <si>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</si>
  <si>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</si>
  <si>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</si>
  <si>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</si>
  <si>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</si>
  <si>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</si>
  <si>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</si>
  <si>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</si>
  <si>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</si>
  <si>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</si>
  <si>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</si>
  <si>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</si>
  <si>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</si>
  <si>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</si>
  <si>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</si>
  <si>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</si>
  <si>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</si>
  <si>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</si>
  <si>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</si>
  <si>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</si>
  <si>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</si>
  <si>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</si>
  <si>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</si>
  <si>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</si>
  <si>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</si>
  <si>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</si>
  <si>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</si>
  <si>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</si>
  <si>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</si>
  <si>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</si>
  <si>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</si>
  <si>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</si>
  <si>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</si>
  <si>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</si>
  <si>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</si>
  <si>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</si>
  <si>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</si>
  <si>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</si>
  <si>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</si>
  <si>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</si>
  <si>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</si>
  <si>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</si>
  <si>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</si>
  <si>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</si>
  <si>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</si>
  <si>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</si>
  <si>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</si>
  <si>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</si>
  <si>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</si>
  <si>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</si>
  <si>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</si>
  <si>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</si>
  <si>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</si>
  <si>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</si>
  <si>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</si>
  <si>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</si>
  <si>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</si>
  <si>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</si>
  <si>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</si>
  <si>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</si>
  <si>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</si>
  <si>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</si>
  <si>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</si>
  <si>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</si>
  <si>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</si>
  <si>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</si>
  <si>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</si>
  <si>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</si>
  <si>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</si>
  <si>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</si>
  <si>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</si>
  <si>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</si>
  <si>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</si>
  <si>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</si>
  <si>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</si>
  <si>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</si>
  <si>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</si>
  <si>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</si>
  <si>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</si>
  <si>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</si>
  <si>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</si>
  <si>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</si>
  <si>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</si>
  <si>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</si>
  <si>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</si>
  <si>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</si>
  <si>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</si>
  <si>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</si>
  <si>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</si>
  <si>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</si>
  <si>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</si>
  <si>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</si>
  <si>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</si>
  <si>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</si>
  <si>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</si>
  <si>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</si>
  <si>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</si>
  <si>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</si>
  <si>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</si>
  <si>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</si>
  <si>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</si>
  <si>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</si>
  <si>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</si>
  <si>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</si>
  <si>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</si>
  <si>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</si>
  <si>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</si>
  <si>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</si>
  <si>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</si>
  <si>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</si>
  <si>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</si>
  <si>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</si>
  <si>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</si>
  <si>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</si>
  <si>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</si>
  <si>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</si>
  <si>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</si>
  <si>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</si>
  <si>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</si>
  <si>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</si>
  <si>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</si>
  <si>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</si>
  <si>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</si>
  <si>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</si>
  <si>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</si>
  <si>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</si>
  <si>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</si>
  <si>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</si>
  <si>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</si>
  <si>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</si>
  <si>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</si>
  <si>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</si>
  <si>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</si>
  <si>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</si>
  <si>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</si>
  <si>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</si>
  <si>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</si>
  <si>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</si>
  <si>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</si>
  <si>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</si>
  <si>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</si>
  <si>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</si>
  <si>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</si>
  <si>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</si>
  <si>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</si>
  <si>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</si>
  <si>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</si>
  <si>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</si>
  <si>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</si>
  <si>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</si>
  <si>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</si>
  <si>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</si>
  <si>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</si>
  <si>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</si>
  <si>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</si>
  <si>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</si>
  <si>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</si>
  <si>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</si>
  <si>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</si>
  <si>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</si>
  <si>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</si>
  <si>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</si>
  <si>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</si>
  <si>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</si>
  <si>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</si>
  <si>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</si>
  <si>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</si>
  <si>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</si>
  <si>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</si>
  <si>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</si>
  <si>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</si>
  <si>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</si>
  <si>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</si>
  <si>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</si>
  <si>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</si>
  <si>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</si>
  <si>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</si>
  <si>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</si>
  <si>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</si>
  <si>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</si>
  <si>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</si>
  <si>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</si>
  <si>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</si>
  <si>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</si>
  <si>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</si>
  <si>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</si>
  <si>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</si>
  <si>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</si>
  <si>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</si>
  <si>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</si>
  <si>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</si>
  <si>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</si>
  <si>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</si>
  <si>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</si>
  <si>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</si>
  <si>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</si>
  <si>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</si>
  <si>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</si>
  <si>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</si>
  <si>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</si>
  <si>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</si>
  <si>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</si>
  <si>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</si>
  <si>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</si>
  <si>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</si>
  <si>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</si>
  <si>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</si>
  <si>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</si>
  <si>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</si>
  <si>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</si>
  <si>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</si>
  <si>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</si>
  <si>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</si>
  <si>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</si>
  <si>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</si>
  <si>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</si>
  <si>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</si>
  <si>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</si>
  <si>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</si>
  <si>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</si>
  <si>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</si>
  <si>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</si>
  <si>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</si>
  <si>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</si>
  <si>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</si>
  <si>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</si>
  <si>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</si>
  <si>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</si>
  <si>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</si>
  <si>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</si>
  <si>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</si>
  <si>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</si>
  <si>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</si>
  <si>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</si>
  <si>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</si>
  <si>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</si>
  <si>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</si>
  <si>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</si>
  <si>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</si>
  <si>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</si>
  <si>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</si>
  <si>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</si>
  <si>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</si>
  <si>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</si>
  <si>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</si>
  <si>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</si>
  <si>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</si>
  <si>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</si>
  <si>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</si>
  <si>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</si>
  <si>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</si>
  <si>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</si>
  <si>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</si>
  <si>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</si>
  <si>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</si>
  <si>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</si>
  <si>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</si>
  <si>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</si>
  <si>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</si>
  <si>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</si>
  <si>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</si>
  <si>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</si>
  <si>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</si>
  <si>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</si>
  <si>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</si>
  <si>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</si>
  <si>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</si>
  <si>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</si>
  <si>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</si>
  <si>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</si>
  <si>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</si>
  <si>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</si>
  <si>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</si>
  <si>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</si>
  <si>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</si>
  <si>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</si>
  <si>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</si>
  <si>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</si>
  <si>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</si>
  <si>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</si>
  <si>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</si>
  <si>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</si>
  <si>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</si>
  <si>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</si>
  <si>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</si>
  <si>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</si>
  <si>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</si>
  <si>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</si>
  <si>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</si>
  <si>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</si>
  <si>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</si>
  <si>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</si>
  <si>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</si>
  <si>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</si>
  <si>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</si>
  <si>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</si>
  <si>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</si>
  <si>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</si>
  <si>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</si>
  <si>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</si>
  <si>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</si>
  <si>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</si>
  <si>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</si>
  <si>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</si>
  <si>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</si>
  <si>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</si>
  <si>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</si>
  <si>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</si>
  <si>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</si>
  <si>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</si>
  <si>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</si>
  <si>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</si>
  <si>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</si>
  <si>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</si>
  <si>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</si>
  <si>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</si>
  <si>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</si>
  <si>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</si>
  <si>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</si>
  <si>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</si>
  <si>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</si>
  <si>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</si>
  <si>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</si>
  <si>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</si>
  <si>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</si>
  <si>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</si>
  <si>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</si>
  <si>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</si>
  <si>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</si>
  <si>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</si>
  <si>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</si>
  <si>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</si>
  <si>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</si>
  <si>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</si>
  <si>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</si>
  <si>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</si>
  <si>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</si>
  <si>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</si>
  <si>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</si>
  <si>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</si>
  <si>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</si>
  <si>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</si>
  <si>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</si>
  <si>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</si>
  <si>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</si>
  <si>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</si>
  <si>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</si>
  <si>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</si>
  <si>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</si>
  <si>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</si>
  <si>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</si>
  <si>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</si>
  <si>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</si>
  <si>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</si>
  <si>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</si>
  <si>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</si>
  <si>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</si>
  <si>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</si>
  <si>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</si>
  <si>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</si>
  <si>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</si>
  <si>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</si>
  <si>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</si>
  <si>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</si>
  <si>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</si>
  <si>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</si>
  <si>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</si>
  <si>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</si>
  <si>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</si>
  <si>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</si>
  <si>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</si>
  <si>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</si>
  <si>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</si>
  <si>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</si>
  <si>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</si>
  <si>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</si>
  <si>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</si>
  <si>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</si>
  <si>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</si>
  <si>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</si>
  <si>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</si>
  <si>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</si>
  <si>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</si>
  <si>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</si>
  <si>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</si>
  <si>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</si>
  <si>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</si>
  <si>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</si>
  <si>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</si>
  <si>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</si>
  <si>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</si>
  <si>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</si>
  <si>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</si>
  <si>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</si>
  <si>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</si>
  <si>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</si>
  <si>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</si>
  <si>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</si>
  <si>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</si>
  <si>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</si>
  <si>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</si>
  <si>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</si>
  <si>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</si>
  <si>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</si>
  <si>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</si>
  <si>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</si>
  <si>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</si>
  <si>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</si>
  <si>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</si>
  <si>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</si>
  <si>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</si>
  <si>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</si>
  <si>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</si>
  <si>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</si>
  <si>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</si>
  <si>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</si>
  <si>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</si>
  <si>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</si>
  <si>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</si>
  <si>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</si>
  <si>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</si>
  <si>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</si>
  <si>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</si>
  <si>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</si>
  <si>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</si>
  <si>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</si>
  <si>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</si>
  <si>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</si>
  <si>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</si>
  <si>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</si>
  <si>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</si>
  <si>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</si>
  <si>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</si>
  <si>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</si>
  <si>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</si>
  <si>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</si>
  <si>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</si>
  <si>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</si>
  <si>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</si>
  <si>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</si>
  <si>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</si>
  <si>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</si>
  <si>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</si>
  <si>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</si>
  <si>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</si>
  <si>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</si>
  <si>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</si>
  <si>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</si>
  <si>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</si>
  <si>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</si>
  <si>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</si>
  <si>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</si>
  <si>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</si>
  <si>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</si>
  <si>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</si>
  <si>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</si>
  <si>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</si>
  <si>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</si>
  <si>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</si>
  <si>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</si>
  <si>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</si>
  <si>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</si>
  <si>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</si>
  <si>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</si>
  <si>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</si>
  <si>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</si>
  <si>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</si>
  <si>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</si>
  <si>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</si>
  <si>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</si>
  <si>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</si>
  <si>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</si>
  <si>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</si>
  <si>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</si>
  <si>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</si>
  <si>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</si>
  <si>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</si>
  <si>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</si>
  <si>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</si>
  <si>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</si>
  <si>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</si>
  <si>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</si>
  <si>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</si>
  <si>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</si>
  <si>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</si>
  <si>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</si>
  <si>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</si>
  <si>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</si>
  <si>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</si>
  <si>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</si>
  <si>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</si>
  <si>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</si>
  <si>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</si>
  <si>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</si>
  <si>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</si>
  <si>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</si>
  <si>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</si>
  <si>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</si>
  <si>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</si>
  <si>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</si>
  <si>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</si>
  <si>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</si>
  <si>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</si>
  <si>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</si>
  <si>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</si>
  <si>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</si>
  <si>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</si>
  <si>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</si>
  <si>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</si>
  <si>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</si>
  <si>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</si>
  <si>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</si>
  <si>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</si>
  <si>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</si>
  <si>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</si>
  <si>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</si>
  <si>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</si>
  <si>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</si>
  <si>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</si>
  <si>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</si>
  <si>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</si>
  <si>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</si>
  <si>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</si>
  <si>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</si>
  <si>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</si>
  <si>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</si>
  <si>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</si>
  <si>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</si>
  <si>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</si>
  <si>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</si>
  <si>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</si>
  <si>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</si>
  <si>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</si>
  <si>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</si>
  <si>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</si>
  <si>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</si>
  <si>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</si>
  <si>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</si>
  <si>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</si>
  <si>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</si>
  <si>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</si>
  <si>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</si>
  <si>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</si>
  <si>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</si>
  <si>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</si>
  <si>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</si>
  <si>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</si>
  <si>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</si>
  <si>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</si>
  <si>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</si>
  <si>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</si>
  <si>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</si>
  <si>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</si>
  <si>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</si>
  <si>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</si>
  <si>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</si>
  <si>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</si>
  <si>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</si>
  <si>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</si>
  <si>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</si>
  <si>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</si>
  <si>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</si>
  <si>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</si>
  <si>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</si>
  <si>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</si>
  <si>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</si>
  <si>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</si>
  <si>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</si>
  <si>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</si>
  <si>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</si>
  <si>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</si>
  <si>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</si>
  <si>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</si>
  <si>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</si>
  <si>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</si>
  <si>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</si>
  <si>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</si>
  <si>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</si>
  <si>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</si>
  <si>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</si>
  <si>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</si>
  <si>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</si>
  <si>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</si>
  <si>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</si>
  <si>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</si>
  <si>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</si>
  <si>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</si>
  <si>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</si>
  <si>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</si>
  <si>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</si>
  <si>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</si>
  <si>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</si>
  <si>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</si>
  <si>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</si>
  <si>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</si>
  <si>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</si>
  <si>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</si>
  <si>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</si>
  <si>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</si>
  <si>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</si>
  <si>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</si>
  <si>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</si>
  <si>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</si>
  <si>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</si>
  <si>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</si>
  <si>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</si>
  <si>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</si>
  <si>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</si>
  <si>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</si>
  <si>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</si>
  <si>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</si>
  <si>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</si>
  <si>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</si>
  <si>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</si>
  <si>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</si>
  <si>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</si>
  <si>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</si>
  <si>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</si>
  <si>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</si>
  <si>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</si>
  <si>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</si>
  <si>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</si>
  <si>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</si>
  <si>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</si>
  <si>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</si>
  <si>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</si>
  <si>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</si>
  <si>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</si>
  <si>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</si>
  <si>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</si>
  <si>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</si>
  <si>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</si>
  <si>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</si>
  <si>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</si>
  <si>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</si>
  <si>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</si>
  <si>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</si>
  <si>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</si>
  <si>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</si>
  <si>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</si>
  <si>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</si>
  <si>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</si>
  <si>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</si>
  <si>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</si>
  <si>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</si>
  <si>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</si>
  <si>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</si>
  <si>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</si>
  <si>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</si>
  <si>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</si>
  <si>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</si>
  <si>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</si>
  <si>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</si>
  <si>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</si>
  <si>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</si>
  <si>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</si>
  <si>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</si>
  <si>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</si>
  <si>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</si>
  <si>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</si>
  <si>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</si>
  <si>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</si>
  <si>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</si>
  <si>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</si>
  <si>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</si>
  <si>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</si>
  <si>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</si>
  <si>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</si>
  <si>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</si>
  <si>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</si>
  <si>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</si>
  <si>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</si>
  <si>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</si>
  <si>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</si>
  <si>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</si>
  <si>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</si>
  <si>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</si>
  <si>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</si>
  <si>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</si>
  <si>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</si>
  <si>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</si>
  <si>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</si>
  <si>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</si>
  <si>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</si>
  <si>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</si>
  <si>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</si>
  <si>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</si>
  <si>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</si>
  <si>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</si>
  <si>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</si>
  <si>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</si>
  <si>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</si>
  <si>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</si>
  <si>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</si>
  <si>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</si>
  <si>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</si>
  <si>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</si>
  <si>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</si>
  <si>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</si>
  <si>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</si>
  <si>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</si>
  <si>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</si>
  <si>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</si>
  <si>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</si>
  <si>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</si>
  <si>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</si>
  <si>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</si>
  <si>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</si>
  <si>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</si>
  <si>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</si>
  <si>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</si>
  <si>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</si>
  <si>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</si>
  <si>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</si>
  <si>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</si>
  <si>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</si>
  <si>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</si>
  <si>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</si>
  <si>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</si>
  <si>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</si>
  <si>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</si>
  <si>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</si>
  <si>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</si>
  <si>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</si>
  <si>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</si>
  <si>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</si>
  <si>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</si>
  <si>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</si>
  <si>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</si>
  <si>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</si>
  <si>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</si>
  <si>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</si>
  <si>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</si>
  <si>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</si>
  <si>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</si>
  <si>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</si>
  <si>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</si>
  <si>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</si>
  <si>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</si>
  <si>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</si>
  <si>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</si>
  <si>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</si>
  <si>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</si>
  <si>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</si>
  <si>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</si>
  <si>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</si>
  <si>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</si>
  <si>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</si>
  <si>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</si>
  <si>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</si>
  <si>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</si>
  <si>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</si>
  <si>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</si>
  <si>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</si>
  <si>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</si>
  <si>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</si>
  <si>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</si>
  <si>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</si>
  <si>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</si>
  <si>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</si>
  <si>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</si>
  <si>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</si>
  <si>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</si>
  <si>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</si>
  <si>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</si>
  <si>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</si>
  <si>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</si>
  <si>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</si>
  <si>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</si>
  <si>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</si>
  <si>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</si>
  <si>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</si>
  <si>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</si>
  <si>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</si>
  <si>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</si>
  <si>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</si>
  <si>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</si>
  <si>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</si>
  <si>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</si>
  <si>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</si>
  <si>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</si>
  <si>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</si>
  <si>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</si>
  <si>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</si>
  <si>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</si>
  <si>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</si>
  <si>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</si>
  <si>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</si>
  <si>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</si>
  <si>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</si>
  <si>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</si>
  <si>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</si>
  <si>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</si>
  <si>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</si>
  <si>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</si>
  <si>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</si>
  <si>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</si>
  <si>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</si>
  <si>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</si>
  <si>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</si>
  <si>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</si>
  <si>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</si>
  <si>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</si>
  <si>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</si>
  <si>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</si>
  <si>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</si>
  <si>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</si>
  <si>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</si>
  <si>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</si>
  <si>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</si>
  <si>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</si>
  <si>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</si>
  <si>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</si>
  <si>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</si>
  <si>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</si>
  <si>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</si>
  <si>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</si>
  <si>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</si>
  <si>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</si>
  <si>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</si>
  <si>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</si>
  <si>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</si>
  <si>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</si>
  <si>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</si>
  <si>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</si>
  <si>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</si>
  <si>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</si>
  <si>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</si>
  <si>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</si>
  <si>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</si>
  <si>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</si>
  <si>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</si>
  <si>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</si>
  <si>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</si>
  <si>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</si>
  <si>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</si>
  <si>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</si>
  <si>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</si>
  <si>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</si>
  <si>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</si>
  <si>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</si>
  <si>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</si>
  <si>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</si>
  <si>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</si>
  <si>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</si>
  <si>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</si>
  <si>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</si>
  <si>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</si>
  <si>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</si>
  <si>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</si>
  <si>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</si>
  <si>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</si>
  <si>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</si>
  <si>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</si>
  <si>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</si>
  <si>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</si>
  <si>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</si>
  <si>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</si>
  <si>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</si>
  <si>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</si>
  <si>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</si>
  <si>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</si>
  <si>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</si>
  <si>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</si>
  <si>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</si>
  <si>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</si>
  <si>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</si>
  <si>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</si>
  <si>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</si>
  <si>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</si>
  <si>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</si>
  <si>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</si>
  <si>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</si>
  <si>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</si>
  <si>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</si>
  <si>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</si>
  <si>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</si>
  <si>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</si>
  <si>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</si>
  <si>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</si>
  <si>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</si>
  <si>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</si>
  <si>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</si>
  <si>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</si>
  <si>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</si>
  <si>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</si>
  <si>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</si>
  <si>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</si>
  <si>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</si>
  <si>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</si>
  <si>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</si>
  <si>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</si>
  <si>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</si>
  <si>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</si>
  <si>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</si>
  <si>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</si>
  <si>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</si>
  <si>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</si>
  <si>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</si>
  <si>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</si>
  <si>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</si>
  <si>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</si>
  <si>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</si>
  <si>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</si>
  <si>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</si>
  <si>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</si>
  <si>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</si>
  <si>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</si>
  <si>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</si>
  <si>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</si>
  <si>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</si>
  <si>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</si>
  <si>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</si>
  <si>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</si>
  <si>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</si>
  <si>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</si>
  <si>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</si>
  <si>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</si>
  <si>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</si>
  <si>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</si>
  <si>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</si>
  <si>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</si>
  <si>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</si>
  <si>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</si>
  <si>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</si>
  <si>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</si>
  <si>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</si>
  <si>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</si>
  <si>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</si>
  <si>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</si>
  <si>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</si>
  <si>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</si>
  <si>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</si>
  <si>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</si>
  <si>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</si>
  <si>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</si>
  <si>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</si>
  <si>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</si>
  <si>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</si>
  <si>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</si>
  <si>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</si>
  <si>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</si>
  <si>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</si>
  <si>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</si>
  <si>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</si>
  <si>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</si>
  <si>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</si>
  <si>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</si>
  <si>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</si>
  <si>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</si>
  <si>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</si>
  <si>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</si>
  <si>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</si>
  <si>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</si>
  <si>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</si>
  <si>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</si>
  <si>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</si>
  <si>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</si>
  <si>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</si>
  <si>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</si>
  <si>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</si>
  <si>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</si>
  <si>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</si>
  <si>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</si>
  <si>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</si>
  <si>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</si>
  <si>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</si>
  <si>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</si>
  <si>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</si>
  <si>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</si>
  <si>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</si>
  <si>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</si>
  <si>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</si>
  <si>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</si>
  <si>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</si>
  <si>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</si>
  <si>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</si>
  <si>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</si>
  <si>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</si>
  <si>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</si>
  <si>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</si>
  <si>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</si>
  <si>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</si>
  <si>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</si>
  <si>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</si>
  <si>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</si>
  <si>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</si>
  <si>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</si>
  <si>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</si>
  <si>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</si>
  <si>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</si>
  <si>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</si>
  <si>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</si>
  <si>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</si>
  <si>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</si>
  <si>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</si>
  <si>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</si>
  <si>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</si>
  <si>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</si>
  <si>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</si>
  <si>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</si>
  <si>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</si>
  <si>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</si>
  <si>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</si>
  <si>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</si>
  <si>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</si>
  <si>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</si>
  <si>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</si>
  <si>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</si>
  <si>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</si>
  <si>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</si>
  <si>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</si>
  <si>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</si>
  <si>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</si>
  <si>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</si>
  <si>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</si>
  <si>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</si>
  <si>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</si>
  <si>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</si>
  <si>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</si>
  <si>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</si>
  <si>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</si>
  <si>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</si>
  <si>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</si>
  <si>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</si>
  <si>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</si>
  <si>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</si>
  <si>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</si>
  <si>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</si>
  <si>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</si>
  <si>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</si>
  <si>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</si>
  <si>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</si>
  <si>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</si>
  <si>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</si>
  <si>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</si>
  <si>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</si>
  <si>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</si>
  <si>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</si>
  <si>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</si>
  <si>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</si>
  <si>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</si>
  <si>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</si>
  <si>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</si>
  <si>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</si>
  <si>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</si>
  <si>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</si>
  <si>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</si>
  <si>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</si>
  <si>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</si>
  <si>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</si>
  <si>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</si>
  <si>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</si>
  <si>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</si>
  <si>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</si>
  <si>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</si>
  <si>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</si>
  <si>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</si>
  <si>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</si>
  <si>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</si>
  <si>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</si>
  <si>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</si>
  <si>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</si>
  <si>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</si>
  <si>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</si>
  <si>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</si>
  <si>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</si>
  <si>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</si>
  <si>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</si>
  <si>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</si>
  <si>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</si>
  <si>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</si>
  <si>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</si>
  <si>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</si>
  <si>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</si>
  <si>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</si>
  <si>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</si>
  <si>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</si>
  <si>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</si>
  <si>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</si>
  <si>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</si>
  <si>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</si>
  <si>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</si>
  <si>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</si>
  <si>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</si>
  <si>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</si>
  <si>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</si>
  <si>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</si>
  <si>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</si>
  <si>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</si>
  <si>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</si>
  <si>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</si>
  <si>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</si>
  <si>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</si>
  <si>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</si>
  <si>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</si>
  <si>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</si>
  <si>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</si>
  <si>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</si>
  <si>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</si>
  <si>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</si>
  <si>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</si>
  <si>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</si>
  <si>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</si>
  <si>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</si>
  <si>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</si>
  <si>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</si>
  <si>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</si>
  <si>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</si>
  <si>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</si>
  <si>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</si>
  <si>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</si>
  <si>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</si>
  <si>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</si>
  <si>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</si>
  <si>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</si>
  <si>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</si>
  <si>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</si>
  <si>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</si>
  <si>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</si>
  <si>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</si>
  <si>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</si>
  <si>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</si>
  <si>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</si>
  <si>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</si>
  <si>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</si>
  <si>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</si>
  <si>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</si>
  <si>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</si>
  <si>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</si>
  <si>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</si>
  <si>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</si>
  <si>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</si>
  <si>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</si>
  <si>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</si>
  <si>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</si>
  <si>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</si>
  <si>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</si>
  <si>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</si>
  <si>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</si>
  <si>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</si>
  <si>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</si>
  <si>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</si>
  <si>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</si>
  <si>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</si>
  <si>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</si>
  <si>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</si>
  <si>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</si>
  <si>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</si>
  <si>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</si>
  <si>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</si>
  <si>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</si>
  <si>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</si>
  <si>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</si>
  <si>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</si>
  <si>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</si>
  <si>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</si>
  <si>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</si>
  <si>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</si>
  <si>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</si>
  <si>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</si>
  <si>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</si>
  <si>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</si>
  <si>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</si>
  <si>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</si>
  <si>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</si>
  <si>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</si>
  <si>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</si>
  <si>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</si>
  <si>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</si>
  <si>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</si>
  <si>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</si>
  <si>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</si>
  <si>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</si>
  <si>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</si>
  <si>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</si>
  <si>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</si>
  <si>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</si>
  <si>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</si>
  <si>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</si>
  <si>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</si>
  <si>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</si>
  <si>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</si>
  <si>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</si>
  <si>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</si>
  <si>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</si>
  <si>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</si>
  <si>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</si>
  <si>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</si>
  <si>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</si>
  <si>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</si>
  <si>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</si>
  <si>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</si>
  <si>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</si>
  <si>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</si>
  <si>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</si>
  <si>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</si>
  <si>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</si>
  <si>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</si>
  <si>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</si>
  <si>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</si>
  <si>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</si>
  <si>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</si>
  <si>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</si>
  <si>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</si>
  <si>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</si>
  <si>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</si>
  <si>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</si>
  <si>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</si>
  <si>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</si>
  <si>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</si>
  <si>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</si>
  <si>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</si>
  <si>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</si>
  <si>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</si>
  <si>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</si>
  <si>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</si>
  <si>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</si>
  <si>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</si>
  <si>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</si>
  <si>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</si>
  <si>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</si>
  <si>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</si>
  <si>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</si>
  <si>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</si>
  <si>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</si>
  <si>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</si>
  <si>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</si>
  <si>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</si>
  <si>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</si>
  <si>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</si>
  <si>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</si>
  <si>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</si>
  <si>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</si>
  <si>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</si>
  <si>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</si>
  <si>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</si>
  <si>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</si>
  <si>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</si>
  <si>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</si>
  <si>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</si>
  <si>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</si>
  <si>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</si>
  <si>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</si>
  <si>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</si>
  <si>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</si>
  <si>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</si>
  <si>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</si>
  <si>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</si>
  <si>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</si>
  <si>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</si>
  <si>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</si>
  <si>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</si>
  <si>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</si>
  <si>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</si>
  <si>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</si>
  <si>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</si>
  <si>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</si>
  <si>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</si>
  <si>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</si>
  <si>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</si>
  <si>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</si>
  <si>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</si>
  <si>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</si>
  <si>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</si>
  <si>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</si>
  <si>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</si>
  <si>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</si>
  <si>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</si>
  <si>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</si>
  <si>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</si>
  <si>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</si>
  <si>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</si>
  <si>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</si>
  <si>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</si>
  <si>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</si>
  <si>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</si>
  <si>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</si>
  <si>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</si>
  <si>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</si>
  <si>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</si>
  <si>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</si>
  <si>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</si>
  <si>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</si>
  <si>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</si>
  <si>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</si>
  <si>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</si>
  <si>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</si>
  <si>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</si>
  <si>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</si>
  <si>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</si>
  <si>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</si>
  <si>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</si>
  <si>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</si>
  <si>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</si>
  <si>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</si>
  <si>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</si>
  <si>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</si>
  <si>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</si>
  <si>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</si>
  <si>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</si>
  <si>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</si>
  <si>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</si>
  <si>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</si>
  <si>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</si>
  <si>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</si>
  <si>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</si>
  <si>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</si>
  <si>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</si>
  <si>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</si>
  <si>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</si>
  <si>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</si>
  <si>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</si>
  <si>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</si>
  <si>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</si>
  <si>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</si>
  <si>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</si>
  <si>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</si>
  <si>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</si>
  <si>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</si>
  <si>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</si>
  <si>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</si>
  <si>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</si>
  <si>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</si>
  <si>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</si>
  <si>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</si>
  <si>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</si>
  <si>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</si>
  <si>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</si>
  <si>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</si>
  <si>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</si>
  <si>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</si>
  <si>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</si>
  <si>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</si>
  <si>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</si>
  <si>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</si>
  <si>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</si>
  <si>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</si>
  <si>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</si>
  <si>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</si>
  <si>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</si>
  <si>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</si>
  <si>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</si>
  <si>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</si>
  <si>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</si>
  <si>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</si>
  <si>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</si>
  <si>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</si>
  <si>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</si>
  <si>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</si>
  <si>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</si>
  <si>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</si>
  <si>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</si>
  <si>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</si>
  <si>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</si>
  <si>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</si>
  <si>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</si>
  <si>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</si>
  <si>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</si>
  <si>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</si>
  <si>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</si>
  <si>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</si>
  <si>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</si>
  <si>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</si>
  <si>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</si>
  <si>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</si>
  <si>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</si>
  <si>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</si>
  <si>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</si>
  <si>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</si>
  <si>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</si>
  <si>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</si>
  <si>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</si>
  <si>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</si>
  <si>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</si>
  <si>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</si>
  <si>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</si>
  <si>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</si>
  <si>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</si>
  <si>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</si>
  <si>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</si>
  <si>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</si>
  <si>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</si>
  <si>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</si>
  <si>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</si>
  <si>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</si>
  <si>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</si>
  <si>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</si>
  <si>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</si>
  <si>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</si>
  <si>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</si>
  <si>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</si>
  <si>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</si>
  <si>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</si>
  <si>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</si>
  <si>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</si>
  <si>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</si>
  <si>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</si>
  <si>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</si>
  <si>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</si>
  <si>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</si>
  <si>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</si>
  <si>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</si>
  <si>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</si>
  <si>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</si>
  <si>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</si>
  <si>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</si>
  <si>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</si>
  <si>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</si>
  <si>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</si>
  <si>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</si>
  <si>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</si>
  <si>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</si>
  <si>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</si>
  <si>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</si>
  <si>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</si>
  <si>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</si>
  <si>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</si>
  <si>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</si>
  <si>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</si>
  <si>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</si>
  <si>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</si>
  <si>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</si>
  <si>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</si>
  <si>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</si>
  <si>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</si>
  <si>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</si>
  <si>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</si>
  <si>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</si>
  <si>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</si>
  <si>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</si>
  <si>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Randolph</t>
  </si>
  <si>
    <t>1525 Locust St.</t>
  </si>
  <si>
    <t>Red Bud</t>
  </si>
  <si>
    <t>Egyptian Group Insurance Trust</t>
  </si>
  <si>
    <t>PSIC</t>
  </si>
  <si>
    <t>Page 11, Line 107:  Recylcing - $2,693 plus Other - $1,742 equals $4,435.</t>
  </si>
  <si>
    <t>Page 14, Line 265:  ORS - $17,697.</t>
  </si>
  <si>
    <t>Red Bud Community Unit School District No. 132</t>
  </si>
  <si>
    <t>USDA</t>
  </si>
  <si>
    <t>Passed Through ISBE</t>
  </si>
  <si>
    <t xml:space="preserve">  Commodities</t>
  </si>
  <si>
    <t xml:space="preserve">  DOD Fresh</t>
  </si>
  <si>
    <t xml:space="preserve">  School Lunch Program</t>
  </si>
  <si>
    <t>2018-4210</t>
  </si>
  <si>
    <t>2019-4210</t>
  </si>
  <si>
    <t xml:space="preserve">  School Breakfast Program</t>
  </si>
  <si>
    <t>2018-4220</t>
  </si>
  <si>
    <t>2019-4220</t>
  </si>
  <si>
    <t>TOTAL USDA</t>
  </si>
  <si>
    <t>U.S. DEPT. OF EDUCATION</t>
  </si>
  <si>
    <t xml:space="preserve">  (M) IDEA Pre-School</t>
  </si>
  <si>
    <t>84.173A</t>
  </si>
  <si>
    <t>2018-4600</t>
  </si>
  <si>
    <t>2019-4600</t>
  </si>
  <si>
    <t xml:space="preserve">  (M) IDEA Flow Through</t>
  </si>
  <si>
    <t>84.027A</t>
  </si>
  <si>
    <t>2018-4620</t>
  </si>
  <si>
    <t>2019-4620</t>
  </si>
  <si>
    <t>TOTAL ISBE</t>
  </si>
  <si>
    <t>Passed Through IDHS</t>
  </si>
  <si>
    <t xml:space="preserve">  Step Grant</t>
  </si>
  <si>
    <t>84.126A</t>
  </si>
  <si>
    <t>X46CXF00027</t>
  </si>
  <si>
    <t>TOTAL DEPT. OF EDUCATION</t>
  </si>
  <si>
    <t>U.S. DEPT. OF HEALTH &amp; HUMAN SERVICES</t>
  </si>
  <si>
    <t>Passed Through IDHFS</t>
  </si>
  <si>
    <t xml:space="preserve">  Medicaid Matching</t>
  </si>
  <si>
    <t>2018-4991</t>
  </si>
  <si>
    <t>2019-4991</t>
  </si>
  <si>
    <t>TOTAL DEPT. OF HEALTH &amp; HUMAN SERVICES</t>
  </si>
  <si>
    <t>TOTAL FEDERAL FINANCIAL ASSISTANCE</t>
  </si>
  <si>
    <r>
      <t xml:space="preserve">The accompanying Schedule of Expenditures of Federal Awards includes the federal grant activity of </t>
    </r>
    <r>
      <rPr>
        <b/>
        <sz val="9"/>
        <rFont val="Calibri"/>
        <family val="2"/>
        <scheme val="minor"/>
      </rPr>
      <t>Perandoe Special Education District</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</si>
  <si>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IDEA FLOW THROUGH</t>
  </si>
  <si>
    <t xml:space="preserve">  Chester Non-High #122</t>
  </si>
  <si>
    <t xml:space="preserve">  Chester #139</t>
  </si>
  <si>
    <t xml:space="preserve">  Coulterville #1</t>
  </si>
  <si>
    <t xml:space="preserve">  Prairie du Rocher #134</t>
  </si>
  <si>
    <t xml:space="preserve">  Red Bud #132</t>
  </si>
  <si>
    <t xml:space="preserve">  Sparta #140</t>
  </si>
  <si>
    <t xml:space="preserve">  Steeleville #138</t>
  </si>
  <si>
    <t xml:space="preserve">  Valmeyer #3</t>
  </si>
  <si>
    <t xml:space="preserve">  Waterloo #5</t>
  </si>
  <si>
    <r>
      <t xml:space="preserve">Of the federal expenditures presented in the schedule, </t>
    </r>
    <r>
      <rPr>
        <b/>
        <sz val="9"/>
        <rFont val="Calibri"/>
        <family val="2"/>
        <scheme val="minor"/>
      </rPr>
      <t>Perandoe Special Education District</t>
    </r>
    <r>
      <rPr>
        <sz val="9"/>
        <rFont val="Calibri"/>
        <family val="2"/>
        <scheme val="minor"/>
      </rPr>
      <t xml:space="preserve"> provided federal awards to subrecipients as follows:</t>
    </r>
  </si>
  <si>
    <t>Unmodified</t>
  </si>
  <si>
    <t>IDEA Special Education</t>
  </si>
  <si>
    <t>NONE</t>
  </si>
  <si>
    <t>Perandoe Spec Educ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</si>
</sst>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467591</xdr:colOff>
          <xdr:row>4</xdr:row>
          <xdr:rowOff>25977</xdr:rowOff>
        </xdr:from>
        <xdr:to>
          <xdr:col>1</xdr:col>
          <xdr:colOff>1334366</xdr:colOff>
          <xdr:row>8</xdr:row>
          <xdr:rowOff>83127</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2071</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2071</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45079132061</v>
      </c>
      <c r="B13" s="2016"/>
      <c r="C13" s="2016"/>
      <c r="D13" s="2016"/>
      <c r="E13" s="2016"/>
      <c r="F13" s="2016"/>
      <c r="G13" s="2016"/>
      <c r="H13" s="2017"/>
      <c r="I13" s="31"/>
      <c r="J13" s="30"/>
      <c r="K13" s="28"/>
      <c r="L13" s="30"/>
      <c r="M13" s="30"/>
      <c r="N13" s="30"/>
      <c r="O13" s="30"/>
      <c r="P13" s="30"/>
      <c r="Q13" s="30"/>
      <c r="R13" s="30"/>
      <c r="S13" s="30"/>
      <c r="T13" s="2020" t="s">
        <v>2063</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2072</v>
      </c>
      <c r="B15" s="2018"/>
      <c r="C15" s="2018"/>
      <c r="D15" s="2018"/>
      <c r="E15" s="2018"/>
      <c r="F15" s="2018"/>
      <c r="G15" s="2018"/>
      <c r="H15" s="2019"/>
      <c r="T15" s="2024" t="s">
        <v>2062</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2128</v>
      </c>
      <c r="B17" s="1975"/>
      <c r="C17" s="1975"/>
      <c r="D17" s="1975"/>
      <c r="E17" s="1975"/>
      <c r="F17" s="1975"/>
      <c r="G17" s="1975"/>
      <c r="H17" s="2000"/>
      <c r="T17" s="2031" t="s">
        <v>2064</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2073</v>
      </c>
      <c r="B19" s="1960"/>
      <c r="C19" s="1960"/>
      <c r="D19" s="1960"/>
      <c r="E19" s="1960"/>
      <c r="F19" s="1960"/>
      <c r="G19" s="1960"/>
      <c r="H19" s="1940"/>
      <c r="I19" s="30"/>
      <c r="J19" s="99"/>
      <c r="K19" s="40"/>
      <c r="L19" s="38"/>
      <c r="M19" s="112" t="s">
        <v>315</v>
      </c>
      <c r="P19" s="27"/>
      <c r="Q19" s="27"/>
      <c r="R19" s="27"/>
      <c r="S19" s="31"/>
      <c r="T19" s="2014" t="s">
        <v>2065</v>
      </c>
      <c r="U19" s="1939"/>
      <c r="V19" s="1939"/>
      <c r="W19" s="1940"/>
      <c r="X19" s="2029" t="s">
        <v>2066</v>
      </c>
      <c r="Y19" s="2030"/>
      <c r="Z19" s="2027">
        <v>62226</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2074</v>
      </c>
      <c r="B21" s="1939"/>
      <c r="C21" s="1939"/>
      <c r="D21" s="1939"/>
      <c r="E21" s="1939"/>
      <c r="F21" s="1939"/>
      <c r="G21" s="1939"/>
      <c r="H21" s="1940"/>
      <c r="I21" s="1994" t="s">
        <v>678</v>
      </c>
      <c r="J21" s="1989"/>
      <c r="K21" s="1989"/>
      <c r="L21" s="1989"/>
      <c r="M21" s="1989"/>
      <c r="N21" s="1989"/>
      <c r="O21" s="1989"/>
      <c r="P21" s="1989"/>
      <c r="Q21" s="1989"/>
      <c r="R21" s="1989"/>
      <c r="S21" s="1995"/>
      <c r="T21" s="2038" t="s">
        <v>2067</v>
      </c>
      <c r="U21" s="2039"/>
      <c r="V21" s="2039"/>
      <c r="W21" s="2039"/>
      <c r="X21" s="2044" t="s">
        <v>2068</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c r="B23" s="1992"/>
      <c r="C23" s="1992"/>
      <c r="D23" s="1992"/>
      <c r="E23" s="1992"/>
      <c r="F23" s="1992"/>
      <c r="G23" s="1992"/>
      <c r="H23" s="1993"/>
      <c r="T23" s="1974" t="s">
        <v>2069</v>
      </c>
      <c r="U23" s="2037"/>
      <c r="V23" s="2037"/>
      <c r="W23" s="2037"/>
      <c r="X23" s="2041">
        <v>44530</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62278</v>
      </c>
      <c r="B25" s="1939"/>
      <c r="C25" s="1939"/>
      <c r="D25" s="1939"/>
      <c r="E25" s="1939"/>
      <c r="F25" s="1939"/>
      <c r="G25" s="1939"/>
      <c r="H25" s="1940"/>
      <c r="I25" s="113"/>
      <c r="J25" s="1963"/>
      <c r="K25" s="1963"/>
      <c r="L25" s="1963"/>
      <c r="M25" s="1963"/>
      <c r="N25" s="1963"/>
      <c r="O25" s="1963"/>
      <c r="P25" s="1963"/>
      <c r="Q25" s="1963"/>
      <c r="R25" s="1963"/>
      <c r="S25" s="1964"/>
      <c r="T25" s="2034" t="s">
        <v>2070</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c r="B42" s="1958"/>
      <c r="C42" s="1959"/>
      <c r="D42" s="1957"/>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8" sqref="A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2063</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8" sqref="A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6585425</v>
      </c>
      <c r="E16" s="356"/>
      <c r="F16" s="1733">
        <f>SUM('Acct Summary 7-8'!C17,'Acct Summary 7-8'!D17,'Acct Summary 7-8'!F17)</f>
        <v>6707803</v>
      </c>
      <c r="G16" s="356"/>
      <c r="H16" s="1733">
        <f>SUM(D16-F16)</f>
        <v>-122378</v>
      </c>
      <c r="I16" s="222"/>
      <c r="J16" s="1733">
        <f>SUM('Acct Summary 7-8'!C81,'Acct Summary 7-8'!D81,'Acct Summary 7-8'!F81,'Acct Summary 7-8'!I81)</f>
        <v>2369833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Perandoe Spec Educ District</v>
      </c>
      <c r="E7" s="391"/>
      <c r="G7" s="252"/>
      <c r="H7" s="387"/>
      <c r="I7" s="387"/>
      <c r="J7" s="387"/>
      <c r="K7" s="387"/>
      <c r="L7" s="329"/>
      <c r="M7" s="329"/>
      <c r="N7" s="329"/>
      <c r="O7" s="329"/>
      <c r="P7" s="329"/>
    </row>
    <row r="8" spans="1:18" ht="12.75" x14ac:dyDescent="0.2">
      <c r="A8" s="329"/>
      <c r="B8" s="329"/>
      <c r="C8" s="389" t="s">
        <v>1125</v>
      </c>
      <c r="D8" s="392">
        <f>COVER!A13</f>
        <v>45079132061</v>
      </c>
      <c r="E8" s="393"/>
      <c r="G8" s="329"/>
      <c r="H8" s="329"/>
      <c r="I8" s="329"/>
      <c r="J8" s="329"/>
      <c r="K8" s="329"/>
      <c r="L8" s="329"/>
      <c r="M8" s="329"/>
      <c r="N8" s="329"/>
      <c r="O8" s="329"/>
      <c r="P8" s="329"/>
    </row>
    <row r="9" spans="1:18" ht="12.75" x14ac:dyDescent="0.2">
      <c r="A9" s="329"/>
      <c r="B9" s="329"/>
      <c r="C9" s="389" t="s">
        <v>713</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2369833</v>
      </c>
      <c r="I12" s="404"/>
      <c r="J12" s="404"/>
      <c r="K12" s="405">
        <f>TRUNC((H12/H13*100000),5)/100000</f>
        <v>0.35986029750000004</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6585425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6707803</v>
      </c>
      <c r="I17" s="404"/>
      <c r="J17" s="416"/>
      <c r="K17" s="405">
        <f>TRUNC((H17/H18*100000),5)/100000</f>
        <v>1.0185831590000001</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6585425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13.9836449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2369833</v>
      </c>
      <c r="I24" s="422"/>
      <c r="J24" s="422"/>
      <c r="K24" s="423">
        <f>TRUNC(((H24/H25*100000)/100000),2)</f>
        <v>127.18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18632.786110000001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2369833</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2369833</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51015</v>
      </c>
      <c r="N16" s="484"/>
    </row>
    <row r="17" spans="1:14" s="485" customFormat="1" ht="12.75" customHeight="1" x14ac:dyDescent="0.2">
      <c r="A17" s="482" t="s">
        <v>1403</v>
      </c>
      <c r="B17" s="483">
        <v>230</v>
      </c>
      <c r="C17" s="477"/>
      <c r="D17" s="477"/>
      <c r="E17" s="477"/>
      <c r="F17" s="477"/>
      <c r="G17" s="477"/>
      <c r="H17" s="477"/>
      <c r="I17" s="477"/>
      <c r="J17" s="477"/>
      <c r="K17" s="477"/>
      <c r="L17" s="477"/>
      <c r="M17" s="467">
        <v>586713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458633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1096361</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2369833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1096361</v>
      </c>
      <c r="N40" s="497"/>
    </row>
    <row r="41" spans="1:14" ht="13.5" customHeight="1" thickBot="1" x14ac:dyDescent="0.25">
      <c r="A41" s="1736" t="s">
        <v>655</v>
      </c>
      <c r="B41" s="1706"/>
      <c r="C41" s="1688">
        <f>(SUM(C34,C37,C38,C39))</f>
        <v>2369833</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1096361</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3762969</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408573</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2413883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6585425</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1892735</v>
      </c>
      <c r="D9" s="516"/>
      <c r="E9" s="481"/>
      <c r="F9" s="481"/>
      <c r="G9" s="517"/>
      <c r="H9" s="481"/>
      <c r="I9" s="509" t="s">
        <v>1169</v>
      </c>
      <c r="J9" s="478"/>
      <c r="K9" s="481"/>
      <c r="L9" s="347"/>
    </row>
    <row r="10" spans="1:13" s="519" customFormat="1" ht="13.5" thickBot="1" x14ac:dyDescent="0.25">
      <c r="A10" s="1736" t="s">
        <v>1173</v>
      </c>
      <c r="B10" s="1709"/>
      <c r="C10" s="1688">
        <f>SUM(C8:C9)</f>
        <v>8478160</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1750310</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3428731</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1528762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6707803</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1892735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8600538</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3" t="s">
        <v>1655</v>
      </c>
      <c r="B20" s="2124"/>
      <c r="C20" s="1746">
        <f>C8-C17</f>
        <v>-122378</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-122378</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2492211</v>
      </c>
      <c r="D79" s="535"/>
      <c r="E79" s="535"/>
      <c r="F79" s="535"/>
      <c r="G79" s="535"/>
      <c r="H79" s="535"/>
      <c r="I79" s="535"/>
      <c r="J79" s="535"/>
      <c r="K79" s="535"/>
      <c r="L79" s="347"/>
    </row>
    <row r="80" spans="1:12" x14ac:dyDescent="0.2">
      <c r="A80" s="2125" t="s">
        <v>1793</v>
      </c>
      <c r="B80" s="2126"/>
      <c r="C80" s="467"/>
      <c r="D80" s="467"/>
      <c r="E80" s="467"/>
      <c r="F80" s="467"/>
      <c r="G80" s="467"/>
      <c r="H80" s="467"/>
      <c r="I80" s="467"/>
      <c r="J80" s="467"/>
      <c r="K80" s="467"/>
      <c r="L80" s="347"/>
    </row>
    <row r="81" spans="1:12" ht="13.5" thickBot="1" x14ac:dyDescent="0.25">
      <c r="A81" s="2117" t="s">
        <v>1948</v>
      </c>
      <c r="B81" s="2118"/>
      <c r="C81" s="1688">
        <f>(SUM(C78:C80))</f>
        <v>2369833</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-122378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-5.1639925682526996E-2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 activePane="bottomLeft" state="frozen"/>
      <selection activeCell="A8" sqref="A8"/>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1800</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1799827</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1799827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2473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2473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1675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1675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1000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353716</v>
      </c>
      <c r="D98" s="466"/>
      <c r="E98" s="512"/>
      <c r="F98" s="466"/>
      <c r="G98" s="512"/>
      <c r="H98" s="512"/>
      <c r="I98" s="510"/>
      <c r="J98" s="512"/>
      <c r="K98" s="512"/>
    </row>
    <row r="99" spans="1:12" ht="12.75" customHeight="1" x14ac:dyDescent="0.2">
      <c r="A99" s="463" t="s">
        <v>821</v>
      </c>
      <c r="B99" s="470">
        <v>1950</v>
      </c>
      <c r="C99" s="489">
        <v>8389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1591454</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4435</v>
      </c>
      <c r="D107" s="466"/>
      <c r="E107" s="466"/>
      <c r="F107" s="466"/>
      <c r="G107" s="466"/>
      <c r="H107" s="466"/>
      <c r="I107" s="466"/>
      <c r="J107" s="467"/>
      <c r="K107" s="466"/>
    </row>
    <row r="108" spans="1:12" ht="12.75" customHeight="1" thickBot="1" x14ac:dyDescent="0.25">
      <c r="A108" s="1708" t="s">
        <v>487</v>
      </c>
      <c r="B108" s="1712"/>
      <c r="C108" s="1707">
        <f>SUM(C95:C107)</f>
        <v>1958994</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3762969</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407441</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407441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1132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1132</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408573</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1801</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33593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21427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55020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55026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1786423</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1841449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63449</v>
      </c>
      <c r="D263" s="576"/>
      <c r="E263" s="468"/>
      <c r="F263" s="576"/>
      <c r="G263" s="576"/>
      <c r="H263" s="468"/>
      <c r="I263" s="468"/>
      <c r="J263" s="468"/>
      <c r="K263" s="468"/>
    </row>
    <row r="264" spans="1:11" ht="12.75" customHeight="1" thickTop="1" thickBot="1" x14ac:dyDescent="0.25">
      <c r="A264" s="463" t="s">
        <v>377</v>
      </c>
      <c r="B264" s="470">
        <v>4992</v>
      </c>
      <c r="C264" s="575">
        <v>436268</v>
      </c>
      <c r="D264" s="576"/>
      <c r="E264" s="468"/>
      <c r="F264" s="576"/>
      <c r="G264" s="576"/>
      <c r="H264" s="468"/>
      <c r="I264" s="468"/>
      <c r="J264" s="468"/>
      <c r="K264" s="468"/>
    </row>
    <row r="265" spans="1:11" s="593" customFormat="1" ht="12.75" customHeight="1" thickTop="1" thickBot="1" x14ac:dyDescent="0.25">
      <c r="A265" s="563" t="s">
        <v>75</v>
      </c>
      <c r="B265" s="557">
        <v>4999</v>
      </c>
      <c r="C265" s="575">
        <v>17697</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2413883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2413883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6585425</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8" sqref="A8"/>
      <selection pane="bottomLeft" activeCell="A8" sqref="A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1288267</v>
      </c>
      <c r="D8" s="466">
        <v>430912</v>
      </c>
      <c r="E8" s="466">
        <v>19120</v>
      </c>
      <c r="F8" s="466">
        <v>12011</v>
      </c>
      <c r="G8" s="466"/>
      <c r="H8" s="466"/>
      <c r="I8" s="467"/>
      <c r="J8" s="467"/>
      <c r="K8" s="1671">
        <f t="shared" si="0"/>
        <v>1750310</v>
      </c>
      <c r="L8" s="466">
        <v>1803960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1288267</v>
      </c>
      <c r="D33" s="1670">
        <f t="shared" ref="D33:L33" si="1">SUM(D5:D32)</f>
        <v>430912</v>
      </c>
      <c r="E33" s="1670">
        <f t="shared" si="1"/>
        <v>19120</v>
      </c>
      <c r="F33" s="1670">
        <f t="shared" si="1"/>
        <v>12011</v>
      </c>
      <c r="G33" s="1670">
        <f t="shared" si="1"/>
        <v>0</v>
      </c>
      <c r="H33" s="1670">
        <f t="shared" si="1"/>
        <v>0</v>
      </c>
      <c r="I33" s="1670">
        <f t="shared" si="1"/>
        <v>0</v>
      </c>
      <c r="J33" s="1670">
        <f t="shared" si="1"/>
        <v>0</v>
      </c>
      <c r="K33" s="1670">
        <f t="shared" si="1"/>
        <v>1750310</v>
      </c>
      <c r="L33" s="1670">
        <f t="shared" si="1"/>
        <v>1803960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690173</v>
      </c>
      <c r="D36" s="481">
        <v>193825</v>
      </c>
      <c r="E36" s="481">
        <v>4003</v>
      </c>
      <c r="F36" s="481">
        <v>4420</v>
      </c>
      <c r="G36" s="481"/>
      <c r="H36" s="481"/>
      <c r="I36" s="467"/>
      <c r="J36" s="467"/>
      <c r="K36" s="1671">
        <f t="shared" ref="K36:K41" si="2">SUM(C36:J36)</f>
        <v>892421</v>
      </c>
      <c r="L36" s="466">
        <v>903635</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246593</v>
      </c>
      <c r="D38" s="466">
        <v>73040</v>
      </c>
      <c r="E38" s="466">
        <v>10358</v>
      </c>
      <c r="F38" s="466">
        <v>3523</v>
      </c>
      <c r="G38" s="466"/>
      <c r="H38" s="466"/>
      <c r="I38" s="467"/>
      <c r="J38" s="467"/>
      <c r="K38" s="1671">
        <f t="shared" si="2"/>
        <v>333514</v>
      </c>
      <c r="L38" s="466">
        <v>322824</v>
      </c>
    </row>
    <row r="39" spans="1:14" x14ac:dyDescent="0.2">
      <c r="A39" s="1504" t="s">
        <v>199</v>
      </c>
      <c r="B39" s="614">
        <v>2140</v>
      </c>
      <c r="C39" s="466">
        <v>461295</v>
      </c>
      <c r="D39" s="466">
        <v>131034</v>
      </c>
      <c r="E39" s="466">
        <v>5734</v>
      </c>
      <c r="F39" s="466">
        <v>8270</v>
      </c>
      <c r="G39" s="466"/>
      <c r="H39" s="466"/>
      <c r="I39" s="467"/>
      <c r="J39" s="467"/>
      <c r="K39" s="1671">
        <f t="shared" si="2"/>
        <v>606333</v>
      </c>
      <c r="L39" s="466">
        <v>610830</v>
      </c>
    </row>
    <row r="40" spans="1:14" x14ac:dyDescent="0.2">
      <c r="A40" s="1504" t="s">
        <v>200</v>
      </c>
      <c r="B40" s="614">
        <v>2150</v>
      </c>
      <c r="C40" s="466">
        <v>73204</v>
      </c>
      <c r="D40" s="466">
        <v>25317</v>
      </c>
      <c r="E40" s="466">
        <v>5909</v>
      </c>
      <c r="F40" s="466">
        <v>1686</v>
      </c>
      <c r="G40" s="466"/>
      <c r="H40" s="466"/>
      <c r="I40" s="467">
        <v>4792</v>
      </c>
      <c r="J40" s="467"/>
      <c r="K40" s="1671">
        <f t="shared" si="2"/>
        <v>110908</v>
      </c>
      <c r="L40" s="466">
        <v>118065</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1471265</v>
      </c>
      <c r="D42" s="1670">
        <f t="shared" ref="D42:L42" si="3">SUM(D36:D41)</f>
        <v>423216</v>
      </c>
      <c r="E42" s="1670">
        <f t="shared" si="3"/>
        <v>26004</v>
      </c>
      <c r="F42" s="1670">
        <f t="shared" si="3"/>
        <v>17899</v>
      </c>
      <c r="G42" s="1670">
        <f t="shared" si="3"/>
        <v>0</v>
      </c>
      <c r="H42" s="1670">
        <f t="shared" si="3"/>
        <v>0</v>
      </c>
      <c r="I42" s="1670">
        <f t="shared" si="3"/>
        <v>4792</v>
      </c>
      <c r="J42" s="1670">
        <f t="shared" si="3"/>
        <v>0</v>
      </c>
      <c r="K42" s="1670">
        <f t="shared" si="3"/>
        <v>1943176</v>
      </c>
      <c r="L42" s="1670">
        <f t="shared" si="3"/>
        <v>1955354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27951</v>
      </c>
      <c r="D44" s="481">
        <v>14001</v>
      </c>
      <c r="E44" s="481">
        <v>42298</v>
      </c>
      <c r="F44" s="481">
        <v>4545</v>
      </c>
      <c r="G44" s="481"/>
      <c r="H44" s="481"/>
      <c r="I44" s="467"/>
      <c r="J44" s="467"/>
      <c r="K44" s="1672">
        <f>SUM(C44:J44)</f>
        <v>88795</v>
      </c>
      <c r="L44" s="481">
        <v>102474</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27951</v>
      </c>
      <c r="D47" s="1670">
        <f t="shared" ref="D47:K47" si="4">SUM(D44:D46)</f>
        <v>14001</v>
      </c>
      <c r="E47" s="1670">
        <f t="shared" si="4"/>
        <v>42298</v>
      </c>
      <c r="F47" s="1670">
        <f t="shared" si="4"/>
        <v>4545</v>
      </c>
      <c r="G47" s="1670">
        <f t="shared" si="4"/>
        <v>0</v>
      </c>
      <c r="H47" s="1670">
        <f t="shared" si="4"/>
        <v>0</v>
      </c>
      <c r="I47" s="1670">
        <f t="shared" si="4"/>
        <v>0</v>
      </c>
      <c r="J47" s="1670">
        <f t="shared" si="4"/>
        <v>0</v>
      </c>
      <c r="K47" s="1670">
        <f t="shared" si="4"/>
        <v>88795</v>
      </c>
      <c r="L47" s="1670">
        <f>SUM(L44:L46)</f>
        <v>102474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456712</v>
      </c>
      <c r="D50" s="466">
        <v>120915</v>
      </c>
      <c r="E50" s="466">
        <v>186924</v>
      </c>
      <c r="F50" s="466">
        <v>68760</v>
      </c>
      <c r="G50" s="466">
        <v>7423</v>
      </c>
      <c r="H50" s="466"/>
      <c r="I50" s="467"/>
      <c r="J50" s="467"/>
      <c r="K50" s="1672">
        <f>SUM(C50:J50)</f>
        <v>840734</v>
      </c>
      <c r="L50" s="466">
        <v>810807</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456712</v>
      </c>
      <c r="D53" s="1670">
        <f t="shared" ref="D53:L53" si="5">SUM(D49:D52)</f>
        <v>120915</v>
      </c>
      <c r="E53" s="1670">
        <f t="shared" si="5"/>
        <v>186924</v>
      </c>
      <c r="F53" s="1670">
        <f t="shared" si="5"/>
        <v>68760</v>
      </c>
      <c r="G53" s="1670">
        <f t="shared" si="5"/>
        <v>7423</v>
      </c>
      <c r="H53" s="1670">
        <f t="shared" si="5"/>
        <v>0</v>
      </c>
      <c r="I53" s="1670">
        <f t="shared" si="5"/>
        <v>0</v>
      </c>
      <c r="J53" s="1670">
        <f t="shared" si="5"/>
        <v>0</v>
      </c>
      <c r="K53" s="1670">
        <f t="shared" si="5"/>
        <v>840734</v>
      </c>
      <c r="L53" s="1670">
        <f t="shared" si="5"/>
        <v>810807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57783</v>
      </c>
      <c r="D60" s="466">
        <v>15869</v>
      </c>
      <c r="E60" s="466"/>
      <c r="F60" s="466"/>
      <c r="G60" s="466"/>
      <c r="H60" s="466"/>
      <c r="I60" s="467"/>
      <c r="J60" s="467"/>
      <c r="K60" s="1672">
        <f t="shared" si="7"/>
        <v>73652</v>
      </c>
      <c r="L60" s="466">
        <v>73657</v>
      </c>
      <c r="M60" s="609"/>
      <c r="N60" s="609"/>
    </row>
    <row r="61" spans="1:14" s="343" customFormat="1" x14ac:dyDescent="0.2">
      <c r="A61" s="1504" t="s">
        <v>197</v>
      </c>
      <c r="B61" s="614">
        <v>2540</v>
      </c>
      <c r="C61" s="466">
        <v>50240</v>
      </c>
      <c r="D61" s="466">
        <v>16589</v>
      </c>
      <c r="E61" s="466">
        <v>228483</v>
      </c>
      <c r="F61" s="466">
        <v>33420</v>
      </c>
      <c r="G61" s="466"/>
      <c r="H61" s="466"/>
      <c r="I61" s="467"/>
      <c r="J61" s="467"/>
      <c r="K61" s="1672">
        <f t="shared" si="7"/>
        <v>328732</v>
      </c>
      <c r="L61" s="466">
        <v>335270</v>
      </c>
      <c r="M61" s="609"/>
      <c r="N61" s="609"/>
    </row>
    <row r="62" spans="1:14" s="343" customFormat="1" x14ac:dyDescent="0.2">
      <c r="A62" s="1504" t="s">
        <v>953</v>
      </c>
      <c r="B62" s="614">
        <v>2550</v>
      </c>
      <c r="C62" s="466"/>
      <c r="D62" s="466"/>
      <c r="E62" s="466">
        <v>13813</v>
      </c>
      <c r="F62" s="466">
        <v>1911</v>
      </c>
      <c r="G62" s="466">
        <v>25865</v>
      </c>
      <c r="H62" s="466"/>
      <c r="I62" s="467"/>
      <c r="J62" s="467"/>
      <c r="K62" s="1672">
        <f t="shared" si="7"/>
        <v>41589</v>
      </c>
      <c r="L62" s="466">
        <v>41115</v>
      </c>
      <c r="M62" s="609"/>
      <c r="N62" s="609"/>
    </row>
    <row r="63" spans="1:14" s="609" customFormat="1" x14ac:dyDescent="0.2">
      <c r="A63" s="1504" t="s">
        <v>100</v>
      </c>
      <c r="B63" s="614">
        <v>2560</v>
      </c>
      <c r="C63" s="466">
        <v>38342</v>
      </c>
      <c r="D63" s="466">
        <v>16917</v>
      </c>
      <c r="E63" s="466">
        <v>8513</v>
      </c>
      <c r="F63" s="466">
        <v>34586</v>
      </c>
      <c r="G63" s="466"/>
      <c r="H63" s="466"/>
      <c r="I63" s="467"/>
      <c r="J63" s="467"/>
      <c r="K63" s="1672">
        <f t="shared" si="7"/>
        <v>98358</v>
      </c>
      <c r="L63" s="466">
        <v>101470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146365</v>
      </c>
      <c r="D65" s="1670">
        <f t="shared" ref="D65:L65" si="8">SUM(D59:D64)</f>
        <v>49375</v>
      </c>
      <c r="E65" s="1670">
        <f t="shared" si="8"/>
        <v>250809</v>
      </c>
      <c r="F65" s="1670">
        <f t="shared" si="8"/>
        <v>69917</v>
      </c>
      <c r="G65" s="1670">
        <f t="shared" si="8"/>
        <v>25865</v>
      </c>
      <c r="H65" s="1670">
        <f t="shared" si="8"/>
        <v>0</v>
      </c>
      <c r="I65" s="1670">
        <f t="shared" si="8"/>
        <v>0</v>
      </c>
      <c r="J65" s="1670">
        <f t="shared" si="8"/>
        <v>0</v>
      </c>
      <c r="K65" s="1670">
        <f t="shared" si="8"/>
        <v>542331</v>
      </c>
      <c r="L65" s="1670">
        <f t="shared" si="8"/>
        <v>551512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13695</v>
      </c>
      <c r="F70" s="466"/>
      <c r="G70" s="466"/>
      <c r="H70" s="466"/>
      <c r="I70" s="467"/>
      <c r="J70" s="467"/>
      <c r="K70" s="1672">
        <f>SUM(C70:J70)</f>
        <v>13695</v>
      </c>
      <c r="L70" s="466">
        <v>13679</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13695</v>
      </c>
      <c r="F72" s="1670">
        <f t="shared" si="9"/>
        <v>0</v>
      </c>
      <c r="G72" s="1670">
        <f t="shared" si="9"/>
        <v>0</v>
      </c>
      <c r="H72" s="1670">
        <f t="shared" si="9"/>
        <v>0</v>
      </c>
      <c r="I72" s="1670">
        <f t="shared" si="9"/>
        <v>0</v>
      </c>
      <c r="J72" s="1670">
        <f t="shared" si="9"/>
        <v>0</v>
      </c>
      <c r="K72" s="1670">
        <f t="shared" si="9"/>
        <v>13695</v>
      </c>
      <c r="L72" s="1670">
        <f>SUM(L67:L71)</f>
        <v>13679</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2102293</v>
      </c>
      <c r="D74" s="1677">
        <f t="shared" ref="D74:K74" si="10">SUM(D42,D47,D53,D57,D65,D72,D73)</f>
        <v>607507</v>
      </c>
      <c r="E74" s="1677">
        <f t="shared" si="10"/>
        <v>519730</v>
      </c>
      <c r="F74" s="1677">
        <f t="shared" si="10"/>
        <v>161121</v>
      </c>
      <c r="G74" s="1677">
        <f t="shared" si="10"/>
        <v>33288</v>
      </c>
      <c r="H74" s="1677">
        <f t="shared" si="10"/>
        <v>0</v>
      </c>
      <c r="I74" s="1677">
        <f t="shared" si="10"/>
        <v>4792</v>
      </c>
      <c r="J74" s="1677">
        <f t="shared" si="10"/>
        <v>0</v>
      </c>
      <c r="K74" s="1677">
        <f t="shared" si="10"/>
        <v>3428731</v>
      </c>
      <c r="L74" s="1677">
        <f>SUM(L42,L47,L53,L57,L65,L72,L73)</f>
        <v>3433826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50403</v>
      </c>
      <c r="F79" s="616"/>
      <c r="G79" s="616"/>
      <c r="H79" s="466">
        <v>1478359</v>
      </c>
      <c r="I79" s="477"/>
      <c r="J79" s="477"/>
      <c r="K79" s="1671">
        <f t="shared" si="11"/>
        <v>1528762</v>
      </c>
      <c r="L79" s="466">
        <v>1558790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50403</v>
      </c>
      <c r="F84" s="616"/>
      <c r="G84" s="616"/>
      <c r="H84" s="1670">
        <f>SUM(H78:H83)</f>
        <v>1478359</v>
      </c>
      <c r="I84" s="477"/>
      <c r="J84" s="477"/>
      <c r="K84" s="1670">
        <f>SUM(K78:K83)</f>
        <v>1528762</v>
      </c>
      <c r="L84" s="1670">
        <f>SUM(L78:L83)</f>
        <v>1558790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50403</v>
      </c>
      <c r="F102" s="616"/>
      <c r="G102" s="616"/>
      <c r="H102" s="1677">
        <f>SUM(H84,H92,H100,H101)</f>
        <v>1478359</v>
      </c>
      <c r="I102" s="477"/>
      <c r="J102" s="477"/>
      <c r="K102" s="1677">
        <f>SUM(K84,K92,K100,K101)</f>
        <v>1528762</v>
      </c>
      <c r="L102" s="1677">
        <f>SUM(L84,L92,L100,L101)</f>
        <v>1558790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3390560</v>
      </c>
      <c r="D114" s="1670">
        <f t="shared" ref="D114:K114" si="13">SUM(D33,D74,D75,D102,D112,D113)</f>
        <v>1038419</v>
      </c>
      <c r="E114" s="1670">
        <f t="shared" si="13"/>
        <v>589253</v>
      </c>
      <c r="F114" s="1670">
        <f t="shared" si="13"/>
        <v>173132</v>
      </c>
      <c r="G114" s="1670">
        <f t="shared" si="13"/>
        <v>33288</v>
      </c>
      <c r="H114" s="1670">
        <f>SUM(H33,H74,H75,H102,H112,H113)</f>
        <v>1478359</v>
      </c>
      <c r="I114" s="1670">
        <f t="shared" si="13"/>
        <v>4792</v>
      </c>
      <c r="J114" s="1670">
        <f t="shared" si="13"/>
        <v>0</v>
      </c>
      <c r="K114" s="1670">
        <f t="shared" si="13"/>
        <v>6707803</v>
      </c>
      <c r="L114" s="1670">
        <f>SUM(L33,L74,L75,L102,L112,L113)</f>
        <v>6796576</v>
      </c>
    </row>
    <row r="115" spans="1:14" ht="13.5" thickTop="1" x14ac:dyDescent="0.2">
      <c r="A115" s="2153" t="s">
        <v>996</v>
      </c>
      <c r="B115" s="2154"/>
      <c r="C115" s="618"/>
      <c r="D115" s="618"/>
      <c r="E115" s="618"/>
      <c r="F115" s="618"/>
      <c r="G115" s="618"/>
      <c r="H115" s="618"/>
      <c r="I115" s="618"/>
      <c r="J115" s="618"/>
      <c r="K115" s="1684">
        <f>'Revenues 9-14'!C268-'Expenditures 15-22'!K114</f>
        <v>-122378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3" t="s">
        <v>996</v>
      </c>
      <c r="B175" s="215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3" t="s">
        <v>996</v>
      </c>
      <c r="B211" s="215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3" t="s">
        <v>996</v>
      </c>
      <c r="B296" s="215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996</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1800</v>
      </c>
      <c r="B2" s="1528" t="s">
        <v>1949</v>
      </c>
      <c r="C2" s="714" t="s">
        <v>1950</v>
      </c>
      <c r="D2" s="714" t="s">
        <v>1951</v>
      </c>
      <c r="E2" s="714" t="s">
        <v>1952</v>
      </c>
      <c r="F2" s="714" t="s">
        <v>1953</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8" sqref="A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1800</v>
      </c>
      <c r="B2" s="2208"/>
      <c r="C2" s="1884" t="s">
        <v>1954</v>
      </c>
      <c r="D2" s="723" t="s">
        <v>1955</v>
      </c>
      <c r="E2" s="723" t="s">
        <v>1956</v>
      </c>
      <c r="F2" s="1884"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1810</v>
      </c>
      <c r="K2" s="762" t="s">
        <v>138</v>
      </c>
    </row>
    <row r="3" spans="1:11" x14ac:dyDescent="0.2">
      <c r="A3" s="2233" t="s">
        <v>1962</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1811</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0</v>
      </c>
      <c r="I12" s="1758">
        <f>SUM(I5:I11)</f>
        <v>0</v>
      </c>
      <c r="J12" s="1758">
        <f>SUM(J5:J11)</f>
        <v>0</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1807</v>
      </c>
      <c r="B19" s="2223"/>
      <c r="C19" s="2223"/>
      <c r="D19" s="2223"/>
      <c r="E19" s="2224"/>
      <c r="F19" s="789" t="s">
        <v>933</v>
      </c>
      <c r="G19" s="782"/>
      <c r="H19" s="782"/>
      <c r="I19" s="782"/>
      <c r="J19" s="765"/>
      <c r="K19" s="795"/>
    </row>
    <row r="20" spans="1:11" x14ac:dyDescent="0.2">
      <c r="A20" s="2225" t="s">
        <v>1812</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1813</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0</v>
      </c>
      <c r="I23" s="1758">
        <f>SUM(I14:I16,I21,I22)</f>
        <v>0</v>
      </c>
      <c r="J23" s="1758">
        <f>SUM(J14:J16,J21,J22)</f>
        <v>0</v>
      </c>
      <c r="K23" s="1758">
        <f>SUM(K14:K16,K21,K22)</f>
        <v>0</v>
      </c>
    </row>
    <row r="24" spans="1:11" ht="14.25" thickTop="1" thickBot="1" x14ac:dyDescent="0.25">
      <c r="A24" s="2245" t="s">
        <v>1963</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8" sqref="A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1907</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51015</v>
      </c>
      <c r="D5" s="841"/>
      <c r="E5" s="841"/>
      <c r="F5" s="1760">
        <f>(C5+D5)-E5</f>
        <v>51015</v>
      </c>
      <c r="G5" s="837"/>
      <c r="H5" s="842"/>
      <c r="I5" s="842"/>
      <c r="J5" s="842"/>
      <c r="K5" s="793"/>
      <c r="L5" s="1769">
        <f>F5-K5</f>
        <v>51015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742128</v>
      </c>
      <c r="D8" s="844"/>
      <c r="E8" s="844">
        <v>155415</v>
      </c>
      <c r="F8" s="1760">
        <f>(C8+D8)-E8</f>
        <v>586713</v>
      </c>
      <c r="G8" s="843">
        <v>50</v>
      </c>
      <c r="H8" s="765">
        <v>230818</v>
      </c>
      <c r="I8" s="765">
        <v>16223</v>
      </c>
      <c r="J8" s="765">
        <v>14994</v>
      </c>
      <c r="K8" s="1769">
        <f>(H8+I8)-J8</f>
        <v>232047</v>
      </c>
      <c r="L8" s="1769">
        <f>F8-K8</f>
        <v>354666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41198</v>
      </c>
      <c r="D10" s="846"/>
      <c r="E10" s="846">
        <v>41198</v>
      </c>
      <c r="F10" s="1764">
        <f>(C10+D10)-E10</f>
        <v>0</v>
      </c>
      <c r="G10" s="843">
        <v>20</v>
      </c>
      <c r="H10" s="847">
        <v>6180</v>
      </c>
      <c r="I10" s="847"/>
      <c r="J10" s="847">
        <v>6180</v>
      </c>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566291</v>
      </c>
      <c r="D12" s="844"/>
      <c r="E12" s="844">
        <v>176755</v>
      </c>
      <c r="F12" s="1760">
        <f>(C12+D12)-E12</f>
        <v>389536</v>
      </c>
      <c r="G12" s="843">
        <v>10</v>
      </c>
      <c r="H12" s="765">
        <v>473751</v>
      </c>
      <c r="I12" s="765">
        <v>24864</v>
      </c>
      <c r="J12" s="765">
        <v>176755</v>
      </c>
      <c r="K12" s="1769">
        <f>(H12+I12)-J12</f>
        <v>321860</v>
      </c>
      <c r="L12" s="1769">
        <f>F12-K12</f>
        <v>67676</v>
      </c>
    </row>
    <row r="13" spans="1:14" ht="14.25" thickTop="1" thickBot="1" x14ac:dyDescent="0.25">
      <c r="A13" s="848" t="s">
        <v>1122</v>
      </c>
      <c r="B13" s="840">
        <v>252</v>
      </c>
      <c r="C13" s="844">
        <v>24281</v>
      </c>
      <c r="D13" s="844">
        <v>25865</v>
      </c>
      <c r="E13" s="844"/>
      <c r="F13" s="1760">
        <f>(C13+D13)-E13</f>
        <v>50146</v>
      </c>
      <c r="G13" s="843">
        <v>5</v>
      </c>
      <c r="H13" s="765">
        <v>14568</v>
      </c>
      <c r="I13" s="765">
        <v>10029</v>
      </c>
      <c r="J13" s="765"/>
      <c r="K13" s="1769">
        <f>(H13+I13)-J13</f>
        <v>24597</v>
      </c>
      <c r="L13" s="1769">
        <f>F13-K13</f>
        <v>25549</v>
      </c>
    </row>
    <row r="14" spans="1:14" ht="14.25" thickTop="1" thickBot="1" x14ac:dyDescent="0.25">
      <c r="A14" s="848" t="s">
        <v>1123</v>
      </c>
      <c r="B14" s="840">
        <v>253</v>
      </c>
      <c r="C14" s="765">
        <v>11528</v>
      </c>
      <c r="D14" s="765">
        <v>7423</v>
      </c>
      <c r="E14" s="765"/>
      <c r="F14" s="1760">
        <f>(C14+D14)-E14</f>
        <v>18951</v>
      </c>
      <c r="G14" s="843">
        <v>3</v>
      </c>
      <c r="H14" s="765">
        <v>1921</v>
      </c>
      <c r="I14" s="765">
        <v>6316</v>
      </c>
      <c r="J14" s="765"/>
      <c r="K14" s="1769">
        <f>(H14+I14)-J14</f>
        <v>8237</v>
      </c>
      <c r="L14" s="1769">
        <f>F14-K14</f>
        <v>10714</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1436441</v>
      </c>
      <c r="D16" s="1760">
        <f>SUM(D3,D5:D6,D8:D10,D12:D15)</f>
        <v>33288</v>
      </c>
      <c r="E16" s="1760">
        <f>SUM(E3,E5:E6,E8:E10,E12:E15)</f>
        <v>373368</v>
      </c>
      <c r="F16" s="1760">
        <f>SUM(F3,F5:F6,F8:F10,F12:F15)</f>
        <v>1096361</v>
      </c>
      <c r="G16" s="843"/>
      <c r="H16" s="1760">
        <f>SUM(H3,H6,H8:H10,H12:H14,)</f>
        <v>727238</v>
      </c>
      <c r="I16" s="1760">
        <f>SUM(I3,I6,I8:I10,I12:I14,)</f>
        <v>57432</v>
      </c>
      <c r="J16" s="1760">
        <f>SUM(J3,J6,J8:J10,J12:J14,)</f>
        <v>197929</v>
      </c>
      <c r="K16" s="1760">
        <f>(H16+I16)-J16</f>
        <v>586741</v>
      </c>
      <c r="L16" s="1760">
        <f>F16-K16</f>
        <v>509620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4792</v>
      </c>
      <c r="G17" s="837">
        <v>10</v>
      </c>
      <c r="H17" s="769"/>
      <c r="I17" s="1769">
        <f>F17/G17</f>
        <v>479.2</v>
      </c>
      <c r="J17" s="769"/>
      <c r="K17" s="795"/>
      <c r="L17" s="795"/>
    </row>
    <row r="18" spans="1:12" ht="14.25" thickTop="1" thickBot="1" x14ac:dyDescent="0.25">
      <c r="A18" s="1767" t="s">
        <v>685</v>
      </c>
      <c r="B18" s="1768"/>
      <c r="C18" s="771"/>
      <c r="D18" s="771"/>
      <c r="E18" s="771"/>
      <c r="F18" s="850"/>
      <c r="G18" s="851"/>
      <c r="H18" s="773"/>
      <c r="I18" s="1760">
        <f>SUM(I16,I17)</f>
        <v>57911.199999999997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8" sqref="A8"/>
      <selection pane="bottomLeft" activeCell="A8" sqref="A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6707803</v>
      </c>
      <c r="G8" s="865"/>
    </row>
    <row r="9" spans="1:7" x14ac:dyDescent="0.2">
      <c r="A9" s="869" t="s">
        <v>460</v>
      </c>
      <c r="B9" s="870" t="s">
        <v>1875</v>
      </c>
      <c r="C9" s="871"/>
      <c r="D9" s="869" t="s">
        <v>501</v>
      </c>
      <c r="E9" s="868"/>
      <c r="F9" s="1909">
        <f>'Expenditures 15-22'!K151</f>
        <v>0</v>
      </c>
      <c r="G9" s="872"/>
    </row>
    <row r="10" spans="1:7" x14ac:dyDescent="0.2">
      <c r="A10" s="869" t="s">
        <v>499</v>
      </c>
      <c r="B10" s="870" t="s">
        <v>1876</v>
      </c>
      <c r="C10" s="871"/>
      <c r="D10" s="869" t="s">
        <v>501</v>
      </c>
      <c r="E10" s="868"/>
      <c r="F10" s="1909">
        <f>'Expenditures 15-22'!K174</f>
        <v>0</v>
      </c>
      <c r="G10" s="872"/>
    </row>
    <row r="11" spans="1:7" x14ac:dyDescent="0.2">
      <c r="A11" s="869" t="s">
        <v>461</v>
      </c>
      <c r="B11" s="870" t="s">
        <v>1877</v>
      </c>
      <c r="C11" s="871"/>
      <c r="D11" s="869" t="s">
        <v>501</v>
      </c>
      <c r="E11" s="868"/>
      <c r="F11" s="1909">
        <f>'Expenditures 15-22'!K210</f>
        <v>0</v>
      </c>
      <c r="G11" s="872"/>
    </row>
    <row r="12" spans="1:7" x14ac:dyDescent="0.2">
      <c r="A12" s="869" t="s">
        <v>462</v>
      </c>
      <c r="B12" s="870" t="s">
        <v>1878</v>
      </c>
      <c r="C12" s="871"/>
      <c r="D12" s="869" t="s">
        <v>501</v>
      </c>
      <c r="E12" s="868"/>
      <c r="F12" s="1909">
        <f>'Expenditures 15-22'!K295</f>
        <v>0</v>
      </c>
      <c r="G12" s="872"/>
    </row>
    <row r="13" spans="1:7" x14ac:dyDescent="0.2">
      <c r="A13" s="869" t="s">
        <v>106</v>
      </c>
      <c r="B13" s="870" t="s">
        <v>1879</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6707803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1528762</v>
      </c>
      <c r="G53" s="865"/>
    </row>
    <row r="54" spans="1:7" x14ac:dyDescent="0.2">
      <c r="A54" s="869" t="s">
        <v>459</v>
      </c>
      <c r="B54" s="869" t="s">
        <v>1476</v>
      </c>
      <c r="C54" s="889" t="s">
        <v>982</v>
      </c>
      <c r="D54" s="885" t="s">
        <v>1095</v>
      </c>
      <c r="E54" s="868"/>
      <c r="F54" s="1913">
        <f>'Expenditures 15-22'!G114</f>
        <v>33288</v>
      </c>
      <c r="G54" s="865"/>
    </row>
    <row r="55" spans="1:7" x14ac:dyDescent="0.2">
      <c r="A55" s="869" t="s">
        <v>459</v>
      </c>
      <c r="B55" s="869" t="s">
        <v>1477</v>
      </c>
      <c r="C55" s="889" t="s">
        <v>982</v>
      </c>
      <c r="D55" s="885" t="s">
        <v>291</v>
      </c>
      <c r="E55" s="868"/>
      <c r="F55" s="1913">
        <f>'Expenditures 15-22'!I114</f>
        <v>4792</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0</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1566842</v>
      </c>
      <c r="G76" s="865"/>
    </row>
    <row r="77" spans="1:8" s="893" customFormat="1" ht="12" customHeight="1" thickTop="1" thickBot="1" x14ac:dyDescent="0.25">
      <c r="A77" s="1779"/>
      <c r="B77" s="1776"/>
      <c r="C77" s="1772"/>
      <c r="D77" s="1777" t="s">
        <v>1898</v>
      </c>
      <c r="E77" s="1774"/>
      <c r="F77" s="1780">
        <f>(F14-F76)</f>
        <v>5140961</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1899</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1675</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353716</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1591454</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1132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55020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1786423</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63449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436268</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17697</v>
      </c>
      <c r="G170" s="927"/>
    </row>
    <row r="171" spans="1:7" x14ac:dyDescent="0.2">
      <c r="A171" s="1918" t="s">
        <v>5</v>
      </c>
      <c r="B171" s="1919" t="s">
        <v>1918</v>
      </c>
      <c r="C171" s="1920">
        <v>3100</v>
      </c>
      <c r="D171" s="1921" t="s">
        <v>1920</v>
      </c>
      <c r="E171" s="906"/>
      <c r="F171" s="1906"/>
      <c r="G171" s="927"/>
    </row>
    <row r="172" spans="1:7" x14ac:dyDescent="0.2">
      <c r="A172" s="1918" t="s">
        <v>664</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4306834</v>
      </c>
    </row>
    <row r="175" spans="1:7" ht="12" customHeight="1" x14ac:dyDescent="0.2">
      <c r="A175" s="1770"/>
      <c r="B175" s="1784"/>
      <c r="C175" s="1785"/>
      <c r="D175" s="1786" t="s">
        <v>2055</v>
      </c>
      <c r="E175" s="1787"/>
      <c r="F175" s="1789">
        <f>'PCTC-OEPP 27-28'!F77-F174</f>
        <v>834127</v>
      </c>
    </row>
    <row r="176" spans="1:7" ht="12" customHeight="1" x14ac:dyDescent="0.2">
      <c r="A176" s="1770"/>
      <c r="B176" s="1784"/>
      <c r="C176" s="1785"/>
      <c r="D176" s="1786" t="s">
        <v>1815</v>
      </c>
      <c r="E176" s="1787"/>
      <c r="F176" s="1789">
        <f>'Cap Outlay Deprec 26'!I18</f>
        <v>57911.199999999997</v>
      </c>
    </row>
    <row r="177" spans="1:7" ht="12" customHeight="1" x14ac:dyDescent="0.2">
      <c r="A177" s="1770"/>
      <c r="B177" s="1784"/>
      <c r="C177" s="1785"/>
      <c r="D177" s="1786" t="s">
        <v>2056</v>
      </c>
      <c r="E177" s="1787"/>
      <c r="F177" s="1789">
        <f>F175+F176</f>
        <v>892038.2</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8" sqref="A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1816</v>
      </c>
      <c r="B4" s="2268"/>
      <c r="C4" s="2268"/>
      <c r="D4" s="2268"/>
      <c r="E4" s="2268"/>
      <c r="F4" s="2268"/>
      <c r="G4" s="2269"/>
    </row>
    <row r="5" spans="1:7" x14ac:dyDescent="0.25">
      <c r="A5" s="2270"/>
      <c r="B5" s="2271"/>
      <c r="C5" s="2271"/>
      <c r="D5" s="2271"/>
      <c r="E5" s="2271"/>
      <c r="F5" s="2271"/>
      <c r="G5" s="2272"/>
    </row>
    <row r="6" spans="1:7" ht="18.75" x14ac:dyDescent="0.25">
      <c r="A6" s="1534" t="s">
        <v>1817</v>
      </c>
      <c r="B6" s="1535"/>
      <c r="C6" s="1535"/>
      <c r="D6" s="1535"/>
      <c r="E6" s="1535"/>
      <c r="F6" s="1535"/>
      <c r="G6" s="1536"/>
    </row>
    <row r="7" spans="1:7" ht="30.75" customHeight="1" x14ac:dyDescent="0.25">
      <c r="A7" s="2273" t="s">
        <v>1930</v>
      </c>
      <c r="B7" s="2274"/>
      <c r="C7" s="2274"/>
      <c r="D7" s="2274"/>
      <c r="E7" s="2274"/>
      <c r="F7" s="2274"/>
      <c r="G7" s="2275"/>
    </row>
    <row r="8" spans="1:7" ht="15.75" customHeight="1" x14ac:dyDescent="0.25">
      <c r="A8" s="2276" t="s">
        <v>1905</v>
      </c>
      <c r="B8" s="2277"/>
      <c r="C8" s="2277"/>
      <c r="D8" s="2277"/>
      <c r="E8" s="2277"/>
      <c r="F8" s="2277"/>
      <c r="G8" s="2278"/>
    </row>
    <row r="9" spans="1:7" ht="35.25" customHeight="1" x14ac:dyDescent="0.25">
      <c r="A9" s="2273" t="s">
        <v>1933</v>
      </c>
      <c r="B9" s="2274"/>
      <c r="C9" s="2274"/>
      <c r="D9" s="2274"/>
      <c r="E9" s="2274"/>
      <c r="F9" s="2274"/>
      <c r="G9" s="2275"/>
    </row>
    <row r="10" spans="1:7" ht="15" customHeight="1" x14ac:dyDescent="0.25">
      <c r="A10" s="1537" t="s">
        <v>1818</v>
      </c>
      <c r="B10" s="1538"/>
      <c r="C10" s="1538"/>
      <c r="D10" s="1538"/>
      <c r="E10" s="1538"/>
      <c r="F10" s="1538"/>
      <c r="G10" s="1539"/>
    </row>
    <row r="11" spans="1:7" ht="17.25" customHeight="1" x14ac:dyDescent="0.25">
      <c r="A11" s="2273" t="s">
        <v>1932</v>
      </c>
      <c r="B11" s="2274"/>
      <c r="C11" s="2274"/>
      <c r="D11" s="2274"/>
      <c r="E11" s="2274"/>
      <c r="F11" s="2274"/>
      <c r="G11" s="2275"/>
    </row>
    <row r="12" spans="1:7" ht="15" customHeight="1" x14ac:dyDescent="0.25">
      <c r="A12" s="1537" t="s">
        <v>1823</v>
      </c>
      <c r="B12" s="1538"/>
      <c r="C12" s="1538"/>
      <c r="D12" s="1538"/>
      <c r="E12" s="1538"/>
      <c r="F12" s="1538"/>
      <c r="G12" s="1539"/>
    </row>
    <row r="13" spans="1:7" ht="32.25" customHeight="1" x14ac:dyDescent="0.25">
      <c r="A13" s="2264" t="s">
        <v>1974</v>
      </c>
      <c r="B13" s="2265"/>
      <c r="C13" s="2265"/>
      <c r="D13" s="2265"/>
      <c r="E13" s="2265"/>
      <c r="F13" s="2265"/>
      <c r="G13" s="2266"/>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8" sqref="A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43099</v>
      </c>
      <c r="F10" s="974"/>
      <c r="G10" s="975"/>
      <c r="H10" s="162"/>
      <c r="I10" s="162"/>
    </row>
    <row r="11" spans="1:9" s="668" customFormat="1" ht="22.5" customHeight="1" x14ac:dyDescent="0.2">
      <c r="A11" s="2284" t="s">
        <v>1975</v>
      </c>
      <c r="B11" s="2285"/>
      <c r="C11" s="2285"/>
      <c r="D11" s="2286"/>
      <c r="E11" s="977">
        <v>2945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1750310</v>
      </c>
      <c r="F19" s="1799"/>
      <c r="G19" s="1801">
        <f>'Expenditures 15-22'!K33-SUM('Expenditures 15-22'!G33,'Expenditures 15-22'!I33)+'Expenditures 15-22'!D229</f>
        <v>1750310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1938384</v>
      </c>
      <c r="F21" s="1802"/>
      <c r="G21" s="1805">
        <f>'Expenditures 15-22'!K42-SUM('Expenditures 15-22'!G42,'Expenditures 15-22'!I42)+'Expenditures 15-22'!K120-SUM('Expenditures 15-22'!G120,'Expenditures 15-22'!I120)+'Expenditures 15-22'!K180-SUM('Expenditures 15-22'!G180,'Expenditures 15-22'!I180)+'Expenditures 15-22'!D238</f>
        <v>1938384</v>
      </c>
      <c r="H21" s="987"/>
      <c r="I21" s="162"/>
    </row>
    <row r="22" spans="1:9" s="668" customFormat="1" ht="12" customHeight="1" x14ac:dyDescent="0.2">
      <c r="A22" s="994" t="s">
        <v>564</v>
      </c>
      <c r="B22" s="995"/>
      <c r="C22" s="993">
        <v>2200</v>
      </c>
      <c r="D22" s="1802"/>
      <c r="E22" s="1804">
        <f>'Expenditures 15-22'!K47-SUM('Expenditures 15-22'!G47,'Expenditures 15-22'!I47)+'Expenditures 15-22'!D243</f>
        <v>88795</v>
      </c>
      <c r="F22" s="1802"/>
      <c r="G22" s="1805">
        <f>'Expenditures 15-22'!K47-SUM('Expenditures 15-22'!G47,'Expenditures 15-22'!I47)+'Expenditures 15-22'!D243</f>
        <v>88795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833311</v>
      </c>
      <c r="F23" s="1802"/>
      <c r="G23" s="1804">
        <f>'Expenditures 15-22'!K53-SUM('Expenditures 15-22'!G53,'Expenditures 15-22'!I53)+'Expenditures 15-22'!D257+'Expenditures 15-22'!K330-SUM('Expenditures 15-22'!G330,'Expenditures 15-22'!I330)</f>
        <v>833311</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73652</v>
      </c>
      <c r="E27" s="1804">
        <f>E8</f>
        <v>0</v>
      </c>
      <c r="F27" s="1804">
        <f>'Expenditures 15-22'!K60-SUM('Expenditures 15-22'!G60,'Expenditures 15-22'!I60)+'Expenditures 15-22'!D264-E8</f>
        <v>73652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328732</v>
      </c>
      <c r="F28" s="1806">
        <f>'Expenditures 15-22'!K61-SUM('Expenditures 15-22'!G61,'Expenditures 15-22'!I61)+'Expenditures 15-22'!K124-SUM('Expenditures 15-22'!G124,'Expenditures 15-22'!I124)+'Expenditures 15-22'!D266-E9</f>
        <v>328732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15724</v>
      </c>
      <c r="F29" s="1802"/>
      <c r="G29" s="1805">
        <f>'Expenditures 15-22'!K62-SUM('Expenditures 15-22'!G62,'Expenditures 15-22'!I62)+'Expenditures 15-22'!K125-SUM('Expenditures 15-22'!G125,'Expenditures 15-22'!I125)+'Expenditures 15-22'!K182-SUM('Expenditures 15-22'!G182,'Expenditures 15-22'!I182)+'Expenditures 15-22'!D267</f>
        <v>15724</v>
      </c>
      <c r="H29" s="985"/>
    </row>
    <row r="30" spans="1:9" ht="12" customHeight="1" x14ac:dyDescent="0.2">
      <c r="A30" s="994" t="s">
        <v>100</v>
      </c>
      <c r="B30" s="997"/>
      <c r="C30" s="993">
        <v>2560</v>
      </c>
      <c r="D30" s="1802"/>
      <c r="E30" s="1804">
        <f>'Expenditures 15-22'!K63-SUM('Expenditures 15-22'!G63,'Expenditures 15-22'!I63)+'Expenditures 15-22'!D268-E10</f>
        <v>55259</v>
      </c>
      <c r="F30" s="1802"/>
      <c r="G30" s="1804">
        <f>'Expenditures 15-22'!K63-SUM('Expenditures 15-22'!G63,'Expenditures 15-22'!I63)+'Expenditures 15-22'!D268-E10</f>
        <v>55259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13695</v>
      </c>
      <c r="E36" s="1804">
        <f>E13</f>
        <v>0</v>
      </c>
      <c r="F36" s="1804">
        <f>'Expenditures 15-22'!K70-SUM('Expenditures 15-22'!G70,'Expenditures 15-22'!I70)+'Expenditures 15-22'!D275-E13</f>
        <v>13695</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87347</v>
      </c>
      <c r="E41" s="1806">
        <f>SUM(E19:E40)</f>
        <v>5010515</v>
      </c>
      <c r="F41" s="1806">
        <f>SUM(F19:F39)</f>
        <v>416079</v>
      </c>
      <c r="G41" s="1806">
        <f>SUM(G19:G40)</f>
        <v>4681783</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87347</v>
      </c>
      <c r="F43" s="1807" t="s">
        <v>473</v>
      </c>
      <c r="G43" s="1808">
        <f>F41</f>
        <v>416079</v>
      </c>
    </row>
    <row r="44" spans="1:7" ht="12" customHeight="1" x14ac:dyDescent="0.2">
      <c r="A44" s="987"/>
      <c r="B44" s="162"/>
      <c r="C44" s="1001"/>
      <c r="D44" s="1807" t="s">
        <v>474</v>
      </c>
      <c r="E44" s="1808">
        <f>E41</f>
        <v>5010515</v>
      </c>
      <c r="F44" s="1807" t="s">
        <v>474</v>
      </c>
      <c r="G44" s="1808">
        <f>G41</f>
        <v>4681783</v>
      </c>
    </row>
    <row r="45" spans="1:7" ht="12" customHeight="1" x14ac:dyDescent="0.2">
      <c r="A45" s="987"/>
      <c r="B45" s="162"/>
      <c r="C45" s="162"/>
      <c r="D45" s="1809" t="s">
        <v>1006</v>
      </c>
      <c r="E45" s="1810">
        <f>(E43/E44)</f>
        <v>1.7432738949988175E-2</v>
      </c>
      <c r="F45" s="1809" t="s">
        <v>1006</v>
      </c>
      <c r="G45" s="1810">
        <f>(G43/G44)</f>
        <v>8.8871910552026867E-2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8" sqref="A8"/>
      <selection pane="bottomLeft" activeCell="A8" sqref="A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Perandoe Spec Educ District</v>
      </c>
      <c r="D6" s="2305"/>
      <c r="E6" s="2305"/>
      <c r="F6" s="1852"/>
    </row>
    <row r="7" spans="1:10" ht="11.25" customHeight="1" thickBot="1" x14ac:dyDescent="0.3">
      <c r="A7" s="1850"/>
      <c r="B7" s="1851"/>
      <c r="C7" s="2306">
        <f>COVER!A13</f>
        <v>45079132061</v>
      </c>
      <c r="D7" s="2306"/>
      <c r="E7" s="2306"/>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2071</v>
      </c>
      <c r="D14" s="1865" t="s">
        <v>2071</v>
      </c>
      <c r="E14" s="1868"/>
      <c r="F14" s="1867" t="s">
        <v>2075</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2071</v>
      </c>
      <c r="D19" s="1865" t="s">
        <v>2071</v>
      </c>
      <c r="E19" s="1868"/>
      <c r="F19" s="1867" t="s">
        <v>2076</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Perandoe Spec Educ District</v>
      </c>
      <c r="J6" s="2315"/>
      <c r="Q6" s="1664"/>
    </row>
    <row r="7" spans="1:17" x14ac:dyDescent="0.2">
      <c r="A7" s="2316" t="s">
        <v>869</v>
      </c>
      <c r="B7" s="2317"/>
      <c r="C7" s="2317"/>
      <c r="D7" s="2317"/>
      <c r="E7" s="2318"/>
      <c r="F7" s="1017"/>
      <c r="G7" s="1009"/>
      <c r="H7" s="1016" t="s">
        <v>372</v>
      </c>
      <c r="I7" s="2319">
        <f>COVER!A13</f>
        <v>45079132061</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840734</v>
      </c>
      <c r="F12" s="1039"/>
      <c r="G12" s="1811">
        <f t="shared" ref="G12:G18" si="0">SUM(E12:F12)</f>
        <v>840734</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840734</v>
      </c>
      <c r="F19" s="1813">
        <f t="shared" si="2"/>
        <v>0</v>
      </c>
      <c r="G19" s="1813">
        <f t="shared" si="2"/>
        <v>840734</v>
      </c>
      <c r="H19" s="1813">
        <f t="shared" si="2"/>
        <v>0</v>
      </c>
      <c r="I19" s="1813">
        <f t="shared" si="2"/>
        <v>0</v>
      </c>
      <c r="J19" s="1813">
        <f t="shared" si="2"/>
        <v>0</v>
      </c>
    </row>
    <row r="20" spans="1:10" ht="13.5" thickTop="1" x14ac:dyDescent="0.2">
      <c r="A20" s="1035">
        <v>9</v>
      </c>
      <c r="B20" s="2326" t="s">
        <v>1979</v>
      </c>
      <c r="C20" s="2326"/>
      <c r="D20" s="2327"/>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2077</v>
      </c>
    </row>
    <row r="6" spans="1:2" x14ac:dyDescent="0.2">
      <c r="A6" s="1068">
        <v>2</v>
      </c>
      <c r="B6" s="329" t="s">
        <v>2078</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Perandoe Spec Educ District</v>
      </c>
    </row>
    <row r="65" spans="2:2" x14ac:dyDescent="0.2">
      <c r="B65" s="1070">
        <f>COVER!A13</f>
        <v>45079132061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8" sqref="A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autoPict="0" r:id="rId5">
            <anchor moveWithCells="1">
              <from>
                <xdr:col>1</xdr:col>
                <xdr:colOff>466725</xdr:colOff>
                <xdr:row>4</xdr:row>
                <xdr:rowOff>28575</xdr:rowOff>
              </from>
              <to>
                <xdr:col>1</xdr:col>
                <xdr:colOff>1333500</xdr:colOff>
                <xdr:row>8</xdr:row>
                <xdr:rowOff>85725</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1986</v>
      </c>
      <c r="B4" s="2354"/>
      <c r="C4" s="2354"/>
      <c r="D4" s="2354"/>
      <c r="E4" s="2354"/>
      <c r="F4" s="2355"/>
      <c r="G4" s="1074"/>
      <c r="H4" s="1074"/>
    </row>
    <row r="5" spans="1:8" ht="14.25" customHeight="1" x14ac:dyDescent="0.2">
      <c r="A5" s="2356" t="s">
        <v>1982</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6585425</v>
      </c>
      <c r="C8" s="1815">
        <f>'Acct Summary 7-8'!D8</f>
        <v>0</v>
      </c>
      <c r="D8" s="1815">
        <f>'Acct Summary 7-8'!F8</f>
        <v>0</v>
      </c>
      <c r="E8" s="1815">
        <f>'Acct Summary 7-8'!I8</f>
        <v>0</v>
      </c>
      <c r="F8" s="1815">
        <f>SUM(B8:E8)</f>
        <v>6585425</v>
      </c>
    </row>
    <row r="9" spans="1:8" s="1079" customFormat="1" ht="14.25" customHeight="1" thickBot="1" x14ac:dyDescent="0.25">
      <c r="A9" s="1078" t="s">
        <v>1369</v>
      </c>
      <c r="B9" s="1816">
        <f>'Acct Summary 7-8'!C17</f>
        <v>6707803</v>
      </c>
      <c r="C9" s="1816">
        <f>'Acct Summary 7-8'!D17</f>
        <v>0</v>
      </c>
      <c r="D9" s="1816">
        <f>'Acct Summary 7-8'!F17</f>
        <v>0</v>
      </c>
      <c r="E9" s="1815"/>
      <c r="F9" s="1815">
        <f>SUM(B9:E9)</f>
        <v>6707803</v>
      </c>
    </row>
    <row r="10" spans="1:8" s="1079" customFormat="1" ht="14.25" thickTop="1" thickBot="1" x14ac:dyDescent="0.25">
      <c r="A10" s="1080" t="s">
        <v>1370</v>
      </c>
      <c r="B10" s="1817">
        <f>(B8-B9)</f>
        <v>-122378</v>
      </c>
      <c r="C10" s="1817">
        <f>(C8-C9)</f>
        <v>0</v>
      </c>
      <c r="D10" s="1817">
        <f>(D8-D9)</f>
        <v>0</v>
      </c>
      <c r="E10" s="1816">
        <f>(E8-E9)</f>
        <v>0</v>
      </c>
      <c r="F10" s="1818">
        <f>SUM(F8-F9)</f>
        <v>-122378</v>
      </c>
    </row>
    <row r="11" spans="1:8" s="1079" customFormat="1" ht="14.25" thickTop="1" thickBot="1" x14ac:dyDescent="0.25">
      <c r="A11" s="1081" t="s">
        <v>1983</v>
      </c>
      <c r="B11" s="1819">
        <f>'Acct Summary 7-8'!C81</f>
        <v>2369833</v>
      </c>
      <c r="C11" s="1819">
        <f>'Acct Summary 7-8'!D81</f>
        <v>0</v>
      </c>
      <c r="D11" s="1819">
        <f>'Acct Summary 7-8'!F81</f>
        <v>0</v>
      </c>
      <c r="E11" s="1819">
        <f>'Acct Summary 7-8'!I81</f>
        <v>0</v>
      </c>
      <c r="F11" s="1820">
        <f>SUM(B11:E11)</f>
        <v>2369833</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8" sqref="A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45079132061</v>
      </c>
    </row>
    <row r="3" spans="1:2" x14ac:dyDescent="0.2">
      <c r="A3" t="s">
        <v>956</v>
      </c>
      <c r="B3" s="138" t="str">
        <f>COVER!A15</f>
        <v>Randolph</v>
      </c>
    </row>
    <row r="4" spans="1:2" x14ac:dyDescent="0.2">
      <c r="A4" t="s">
        <v>1007</v>
      </c>
      <c r="B4" s="138" t="str">
        <f>COVER!A17</f>
        <v>Perandoe Spec Educ District</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2369833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2369833</v>
      </c>
      <c r="D92" s="2" t="str">
        <f t="shared" si="0"/>
        <v>Error?</v>
      </c>
    </row>
    <row r="93" spans="1:4" x14ac:dyDescent="0.2">
      <c r="A93" s="5">
        <v>32</v>
      </c>
      <c r="B93" s="138">
        <f>'Assets-Liab 5-6'!C41</f>
        <v>2369833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51015</v>
      </c>
      <c r="D273" s="2" t="str">
        <f t="shared" si="3"/>
        <v>Error?</v>
      </c>
    </row>
    <row r="274" spans="1:4" x14ac:dyDescent="0.2">
      <c r="A274" s="5">
        <v>213</v>
      </c>
      <c r="B274" s="138">
        <f>'Assets-Liab 5-6'!M17</f>
        <v>586713</v>
      </c>
      <c r="D274" s="2" t="str">
        <f t="shared" si="3"/>
        <v>Error?</v>
      </c>
    </row>
    <row r="275" spans="1:4" x14ac:dyDescent="0.2">
      <c r="A275" s="5">
        <v>214</v>
      </c>
      <c r="B275" s="138">
        <f>'Assets-Liab 5-6'!M18</f>
        <v>0</v>
      </c>
      <c r="D275" s="2" t="str">
        <f t="shared" si="3"/>
        <v>Error?</v>
      </c>
    </row>
    <row r="276" spans="1:4" x14ac:dyDescent="0.2">
      <c r="A276" s="5">
        <v>215</v>
      </c>
      <c r="B276" s="138">
        <f>'Assets-Liab 5-6'!M19</f>
        <v>458633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1096361</v>
      </c>
      <c r="C279" s="2" t="s">
        <v>573</v>
      </c>
      <c r="D279" s="2" t="str">
        <f t="shared" si="3"/>
        <v>Error?</v>
      </c>
    </row>
    <row r="280" spans="1:4" x14ac:dyDescent="0.2">
      <c r="A280" s="5">
        <v>219</v>
      </c>
      <c r="B280" s="138">
        <f>'Assets-Liab 5-6'!M40</f>
        <v>1096361</v>
      </c>
      <c r="D280" s="2" t="str">
        <f t="shared" si="3"/>
        <v>Error?</v>
      </c>
    </row>
    <row r="281" spans="1:4" x14ac:dyDescent="0.2">
      <c r="A281" s="5">
        <v>220</v>
      </c>
      <c r="B281" s="138">
        <f>'Assets-Liab 5-6'!M41</f>
        <v>1096361</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1288267</v>
      </c>
      <c r="C720" s="2" t="s">
        <v>573</v>
      </c>
      <c r="D720" s="2" t="str">
        <f t="shared" si="10"/>
        <v>Error?</v>
      </c>
    </row>
    <row r="721" spans="1:4" x14ac:dyDescent="0.2">
      <c r="A721" s="5">
        <v>660</v>
      </c>
      <c r="B721" s="138">
        <f>'Expenditures 15-22'!C36</f>
        <v>690173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246593</v>
      </c>
      <c r="D723" s="2" t="str">
        <f t="shared" si="10"/>
        <v>Error?</v>
      </c>
    </row>
    <row r="724" spans="1:4" x14ac:dyDescent="0.2">
      <c r="A724" s="5">
        <v>663</v>
      </c>
      <c r="B724" s="138">
        <f>'Expenditures 15-22'!C39</f>
        <v>461295</v>
      </c>
      <c r="D724" s="2" t="str">
        <f t="shared" si="10"/>
        <v>Error?</v>
      </c>
    </row>
    <row r="725" spans="1:4" x14ac:dyDescent="0.2">
      <c r="A725" s="5">
        <v>664</v>
      </c>
      <c r="B725" s="138">
        <f>'Expenditures 15-22'!C40</f>
        <v>73204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1471265</v>
      </c>
      <c r="C727" s="2" t="s">
        <v>573</v>
      </c>
      <c r="D727" s="2" t="str">
        <f t="shared" si="10"/>
        <v>Error?</v>
      </c>
    </row>
    <row r="728" spans="1:4" x14ac:dyDescent="0.2">
      <c r="A728" s="5">
        <v>667</v>
      </c>
      <c r="B728" s="138">
        <f>'Expenditures 15-22'!C44</f>
        <v>27951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27951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456712</v>
      </c>
      <c r="D733" s="2" t="str">
        <f t="shared" si="10"/>
        <v>Error?</v>
      </c>
    </row>
    <row r="734" spans="1:4" x14ac:dyDescent="0.2">
      <c r="A734" s="5">
        <v>673</v>
      </c>
      <c r="B734" s="138">
        <f>'Expenditures 15-22'!C53</f>
        <v>456712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57783</v>
      </c>
      <c r="D739" s="2" t="str">
        <f t="shared" si="10"/>
        <v>Error?</v>
      </c>
    </row>
    <row r="740" spans="1:4" x14ac:dyDescent="0.2">
      <c r="A740" s="5">
        <v>679</v>
      </c>
      <c r="B740" s="138">
        <f>'Expenditures 15-22'!C61</f>
        <v>50240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38342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146365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2102293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3390560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430912</v>
      </c>
      <c r="C778" s="2" t="s">
        <v>573</v>
      </c>
      <c r="D778" s="2" t="str">
        <f t="shared" si="11"/>
        <v>Error?</v>
      </c>
    </row>
    <row r="779" spans="1:4" x14ac:dyDescent="0.2">
      <c r="A779" s="5">
        <v>718</v>
      </c>
      <c r="B779" s="138">
        <f>'Expenditures 15-22'!D36</f>
        <v>193825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73040</v>
      </c>
      <c r="D781" s="2" t="str">
        <f t="shared" si="11"/>
        <v>Error?</v>
      </c>
    </row>
    <row r="782" spans="1:4" x14ac:dyDescent="0.2">
      <c r="A782" s="5">
        <v>721</v>
      </c>
      <c r="B782" s="138">
        <f>'Expenditures 15-22'!D39</f>
        <v>131034</v>
      </c>
      <c r="D782" s="2" t="str">
        <f t="shared" si="11"/>
        <v>Error?</v>
      </c>
    </row>
    <row r="783" spans="1:4" x14ac:dyDescent="0.2">
      <c r="A783" s="5">
        <v>722</v>
      </c>
      <c r="B783" s="138">
        <f>'Expenditures 15-22'!D40</f>
        <v>25317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423216</v>
      </c>
      <c r="C785" s="2" t="s">
        <v>573</v>
      </c>
      <c r="D785" s="2" t="str">
        <f t="shared" si="11"/>
        <v>Error?</v>
      </c>
    </row>
    <row r="786" spans="1:4" x14ac:dyDescent="0.2">
      <c r="A786" s="5">
        <v>725</v>
      </c>
      <c r="B786" s="138">
        <f>'Expenditures 15-22'!D44</f>
        <v>14001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14001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120915</v>
      </c>
      <c r="D791" s="2" t="str">
        <f t="shared" si="11"/>
        <v>Error?</v>
      </c>
    </row>
    <row r="792" spans="1:4" x14ac:dyDescent="0.2">
      <c r="A792" s="5">
        <v>731</v>
      </c>
      <c r="B792" s="138">
        <f>'Expenditures 15-22'!D53</f>
        <v>120915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15869</v>
      </c>
      <c r="D797" s="2" t="str">
        <f t="shared" si="11"/>
        <v>Error?</v>
      </c>
    </row>
    <row r="798" spans="1:4" x14ac:dyDescent="0.2">
      <c r="A798" s="5">
        <v>737</v>
      </c>
      <c r="B798" s="138">
        <f>'Expenditures 15-22'!D61</f>
        <v>16589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16917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49375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607507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1038419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19120</v>
      </c>
      <c r="C836" s="2" t="s">
        <v>573</v>
      </c>
      <c r="D836" s="2" t="str">
        <f t="shared" si="12"/>
        <v>Error?</v>
      </c>
    </row>
    <row r="837" spans="1:4" x14ac:dyDescent="0.2">
      <c r="A837" s="5">
        <v>776</v>
      </c>
      <c r="B837" s="138">
        <f>'Expenditures 15-22'!E36</f>
        <v>4003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10358</v>
      </c>
      <c r="D839" s="2" t="str">
        <f t="shared" si="12"/>
        <v>Error?</v>
      </c>
    </row>
    <row r="840" spans="1:4" x14ac:dyDescent="0.2">
      <c r="A840" s="5">
        <v>779</v>
      </c>
      <c r="B840" s="138">
        <f>'Expenditures 15-22'!E39</f>
        <v>5734</v>
      </c>
      <c r="D840" s="2" t="str">
        <f t="shared" si="12"/>
        <v>Error?</v>
      </c>
    </row>
    <row r="841" spans="1:4" x14ac:dyDescent="0.2">
      <c r="A841" s="5">
        <v>780</v>
      </c>
      <c r="B841" s="138">
        <f>'Expenditures 15-22'!E40</f>
        <v>5909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26004</v>
      </c>
      <c r="C843" s="2" t="s">
        <v>573</v>
      </c>
      <c r="D843" s="2" t="str">
        <f t="shared" si="12"/>
        <v>Error?</v>
      </c>
    </row>
    <row r="844" spans="1:4" x14ac:dyDescent="0.2">
      <c r="A844" s="5">
        <v>783</v>
      </c>
      <c r="B844" s="138">
        <f>'Expenditures 15-22'!E44</f>
        <v>42298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42298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186924</v>
      </c>
      <c r="D849" s="2" t="str">
        <f t="shared" si="12"/>
        <v>Error?</v>
      </c>
    </row>
    <row r="850" spans="1:4" x14ac:dyDescent="0.2">
      <c r="A850" s="5">
        <v>789</v>
      </c>
      <c r="B850" s="138">
        <f>'Expenditures 15-22'!E53</f>
        <v>186924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228483</v>
      </c>
      <c r="D856" s="2" t="str">
        <f t="shared" si="12"/>
        <v>Error?</v>
      </c>
    </row>
    <row r="857" spans="1:4" x14ac:dyDescent="0.2">
      <c r="A857" s="5">
        <v>796</v>
      </c>
      <c r="B857" s="138">
        <f>'Expenditures 15-22'!E62</f>
        <v>13813</v>
      </c>
      <c r="D857" s="2" t="str">
        <f t="shared" si="12"/>
        <v>Error?</v>
      </c>
    </row>
    <row r="858" spans="1:4" x14ac:dyDescent="0.2">
      <c r="A858" s="5">
        <v>797</v>
      </c>
      <c r="B858" s="138">
        <f>'Expenditures 15-22'!E63</f>
        <v>8513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250809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13695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13695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519730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589253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12011</v>
      </c>
      <c r="C894" s="2" t="s">
        <v>573</v>
      </c>
      <c r="D894" s="2" t="str">
        <f t="shared" si="12"/>
        <v>Error?</v>
      </c>
    </row>
    <row r="895" spans="1:4" x14ac:dyDescent="0.2">
      <c r="A895" s="5">
        <v>834</v>
      </c>
      <c r="B895" s="138">
        <f>'Expenditures 15-22'!F36</f>
        <v>4420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3523</v>
      </c>
      <c r="D897" s="2" t="str">
        <f t="shared" si="13"/>
        <v>Error?</v>
      </c>
    </row>
    <row r="898" spans="1:4" x14ac:dyDescent="0.2">
      <c r="A898" s="5">
        <v>837</v>
      </c>
      <c r="B898" s="138">
        <f>'Expenditures 15-22'!F39</f>
        <v>8270</v>
      </c>
      <c r="D898" s="2" t="str">
        <f t="shared" si="13"/>
        <v>Error?</v>
      </c>
    </row>
    <row r="899" spans="1:4" x14ac:dyDescent="0.2">
      <c r="A899" s="5">
        <v>838</v>
      </c>
      <c r="B899" s="138">
        <f>'Expenditures 15-22'!F40</f>
        <v>1686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17899</v>
      </c>
      <c r="C901" s="2" t="s">
        <v>573</v>
      </c>
      <c r="D901" s="2" t="str">
        <f t="shared" si="13"/>
        <v>Error?</v>
      </c>
    </row>
    <row r="902" spans="1:4" x14ac:dyDescent="0.2">
      <c r="A902" s="5">
        <v>841</v>
      </c>
      <c r="B902" s="138">
        <f>'Expenditures 15-22'!F44</f>
        <v>4545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4545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68760</v>
      </c>
      <c r="D907" s="2" t="str">
        <f t="shared" si="13"/>
        <v>Error?</v>
      </c>
    </row>
    <row r="908" spans="1:4" x14ac:dyDescent="0.2">
      <c r="A908" s="5">
        <v>847</v>
      </c>
      <c r="B908" s="138">
        <f>'Expenditures 15-22'!F53</f>
        <v>68760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33420</v>
      </c>
      <c r="D914" s="2" t="str">
        <f t="shared" si="13"/>
        <v>Error?</v>
      </c>
    </row>
    <row r="915" spans="1:4" x14ac:dyDescent="0.2">
      <c r="A915" s="5">
        <v>854</v>
      </c>
      <c r="B915" s="138">
        <f>'Expenditures 15-22'!F62</f>
        <v>1911</v>
      </c>
      <c r="D915" s="2" t="str">
        <f t="shared" si="13"/>
        <v>Error?</v>
      </c>
    </row>
    <row r="916" spans="1:4" x14ac:dyDescent="0.2">
      <c r="A916" s="5">
        <v>855</v>
      </c>
      <c r="B916" s="138">
        <f>'Expenditures 15-22'!F63</f>
        <v>34586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69917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161121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173132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7423</v>
      </c>
      <c r="D965" s="2" t="str">
        <f t="shared" si="14"/>
        <v>Error?</v>
      </c>
    </row>
    <row r="966" spans="1:4" x14ac:dyDescent="0.2">
      <c r="A966" s="5">
        <v>905</v>
      </c>
      <c r="B966" s="138">
        <f>'Expenditures 15-22'!G53</f>
        <v>7423</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25865</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25865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33288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33288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1478359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1478359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1750310</v>
      </c>
      <c r="C1108" s="2" t="s">
        <v>573</v>
      </c>
      <c r="D1108" s="2" t="str">
        <f t="shared" si="16"/>
        <v>Error?</v>
      </c>
    </row>
    <row r="1109" spans="1:4" x14ac:dyDescent="0.2">
      <c r="A1109" s="5">
        <v>1048</v>
      </c>
      <c r="B1109" s="138">
        <f>'Expenditures 15-22'!K36</f>
        <v>892421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333514</v>
      </c>
      <c r="C1111" s="2" t="s">
        <v>573</v>
      </c>
      <c r="D1111" s="2" t="str">
        <f t="shared" si="16"/>
        <v>Error?</v>
      </c>
    </row>
    <row r="1112" spans="1:4" x14ac:dyDescent="0.2">
      <c r="A1112" s="5">
        <v>1051</v>
      </c>
      <c r="B1112" s="138">
        <f>'Expenditures 15-22'!K39</f>
        <v>606333</v>
      </c>
      <c r="C1112" s="2" t="s">
        <v>573</v>
      </c>
      <c r="D1112" s="2" t="str">
        <f t="shared" si="16"/>
        <v>Error?</v>
      </c>
    </row>
    <row r="1113" spans="1:4" x14ac:dyDescent="0.2">
      <c r="A1113" s="5">
        <v>1052</v>
      </c>
      <c r="B1113" s="138">
        <f>'Expenditures 15-22'!K40</f>
        <v>110908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1943176</v>
      </c>
      <c r="C1115" s="2" t="s">
        <v>573</v>
      </c>
      <c r="D1115" s="2" t="str">
        <f t="shared" si="16"/>
        <v>Error?</v>
      </c>
    </row>
    <row r="1116" spans="1:4" x14ac:dyDescent="0.2">
      <c r="A1116" s="5">
        <v>1055</v>
      </c>
      <c r="B1116" s="138">
        <f>'Expenditures 15-22'!K44</f>
        <v>88795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88795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840734</v>
      </c>
      <c r="C1121" s="2" t="s">
        <v>573</v>
      </c>
      <c r="D1121" s="2" t="str">
        <f t="shared" si="16"/>
        <v>Error?</v>
      </c>
    </row>
    <row r="1122" spans="1:4" x14ac:dyDescent="0.2">
      <c r="A1122" s="5">
        <v>1061</v>
      </c>
      <c r="B1122" s="138">
        <f>'Expenditures 15-22'!K53</f>
        <v>840734</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73652</v>
      </c>
      <c r="C1127" s="2" t="s">
        <v>573</v>
      </c>
      <c r="D1127" s="2" t="str">
        <f t="shared" si="16"/>
        <v>Error?</v>
      </c>
    </row>
    <row r="1128" spans="1:4" x14ac:dyDescent="0.2">
      <c r="A1128" s="5">
        <v>1067</v>
      </c>
      <c r="B1128" s="138">
        <f>'Expenditures 15-22'!K61</f>
        <v>328732</v>
      </c>
      <c r="C1128" s="2" t="s">
        <v>573</v>
      </c>
      <c r="D1128" s="2" t="str">
        <f t="shared" si="16"/>
        <v>Error?</v>
      </c>
    </row>
    <row r="1129" spans="1:4" x14ac:dyDescent="0.2">
      <c r="A1129" s="5">
        <v>1068</v>
      </c>
      <c r="B1129" s="138">
        <f>'Expenditures 15-22'!K62</f>
        <v>41589</v>
      </c>
      <c r="C1129" s="2" t="s">
        <v>573</v>
      </c>
      <c r="D1129" s="2" t="str">
        <f t="shared" si="16"/>
        <v>Error?</v>
      </c>
    </row>
    <row r="1130" spans="1:4" x14ac:dyDescent="0.2">
      <c r="A1130" s="5">
        <v>1069</v>
      </c>
      <c r="B1130" s="138">
        <f>'Expenditures 15-22'!K63</f>
        <v>98358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542331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13695</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13695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3428731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1528762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6707803</v>
      </c>
      <c r="C1152" s="2" t="s">
        <v>573</v>
      </c>
      <c r="D1152" s="2" t="str">
        <f t="shared" si="17"/>
        <v>Error?</v>
      </c>
    </row>
    <row r="1153" spans="1:4" x14ac:dyDescent="0.2">
      <c r="A1153" s="5">
        <v>1092</v>
      </c>
      <c r="B1153" s="138">
        <f>'Expenditures 15-22'!K115</f>
        <v>-122378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2492211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2369833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51015</v>
      </c>
      <c r="D2008" s="2" t="str">
        <f t="shared" si="30"/>
        <v>Error?</v>
      </c>
    </row>
    <row r="2009" spans="1:4" x14ac:dyDescent="0.2">
      <c r="A2009" s="5">
        <v>1948</v>
      </c>
      <c r="B2009" s="138">
        <f>'Cap Outlay Deprec 26'!C8</f>
        <v>742128</v>
      </c>
      <c r="D2009" s="2" t="str">
        <f t="shared" si="30"/>
        <v>Error?</v>
      </c>
    </row>
    <row r="2010" spans="1:4" x14ac:dyDescent="0.2">
      <c r="A2010" s="5">
        <v>1949</v>
      </c>
      <c r="B2010" s="138">
        <f>'Cap Outlay Deprec 26'!C10</f>
        <v>41198</v>
      </c>
      <c r="D2010" s="2" t="str">
        <f t="shared" si="30"/>
        <v>Error?</v>
      </c>
    </row>
    <row r="2011" spans="1:4" x14ac:dyDescent="0.2">
      <c r="A2011" s="5">
        <v>1950</v>
      </c>
      <c r="B2011" s="138">
        <f>'Cap Outlay Deprec 26'!C12</f>
        <v>566291</v>
      </c>
      <c r="D2011" s="2" t="str">
        <f t="shared" si="30"/>
        <v>Error?</v>
      </c>
    </row>
    <row r="2012" spans="1:4" x14ac:dyDescent="0.2">
      <c r="A2012" s="5">
        <v>1951</v>
      </c>
      <c r="B2012" s="138">
        <f>'Cap Outlay Deprec 26'!C13</f>
        <v>24281</v>
      </c>
      <c r="D2012" s="2" t="str">
        <f t="shared" si="30"/>
        <v>Error?</v>
      </c>
    </row>
    <row r="2013" spans="1:4" x14ac:dyDescent="0.2">
      <c r="A2013" s="5">
        <v>1952</v>
      </c>
      <c r="B2013" s="138">
        <f>'Cap Outlay Deprec 26'!C16</f>
        <v>1436441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25865</v>
      </c>
      <c r="D2018" s="2" t="str">
        <f t="shared" si="30"/>
        <v>Error?</v>
      </c>
    </row>
    <row r="2019" spans="1:4" x14ac:dyDescent="0.2">
      <c r="A2019" s="5">
        <v>1958</v>
      </c>
      <c r="B2019" s="138">
        <f>'Cap Outlay Deprec 26'!D16</f>
        <v>33288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155415</v>
      </c>
      <c r="D2021" s="2" t="str">
        <f t="shared" si="30"/>
        <v>Error?</v>
      </c>
    </row>
    <row r="2022" spans="1:4" x14ac:dyDescent="0.2">
      <c r="A2022" s="5">
        <v>1961</v>
      </c>
      <c r="B2022" s="138">
        <f>'Cap Outlay Deprec 26'!E10</f>
        <v>41198</v>
      </c>
      <c r="D2022" s="2" t="str">
        <f t="shared" si="30"/>
        <v>Error?</v>
      </c>
    </row>
    <row r="2023" spans="1:4" x14ac:dyDescent="0.2">
      <c r="A2023" s="5">
        <v>1962</v>
      </c>
      <c r="B2023" s="138">
        <f>'Cap Outlay Deprec 26'!E12</f>
        <v>176755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373368</v>
      </c>
      <c r="C2025" s="2" t="s">
        <v>573</v>
      </c>
      <c r="D2025" s="2" t="str">
        <f t="shared" si="30"/>
        <v>Error?</v>
      </c>
    </row>
    <row r="2026" spans="1:4" x14ac:dyDescent="0.2">
      <c r="A2026" s="5">
        <v>1965</v>
      </c>
      <c r="B2026" s="138">
        <f>'Cap Outlay Deprec 26'!F5</f>
        <v>51015</v>
      </c>
      <c r="C2026" s="2" t="s">
        <v>573</v>
      </c>
      <c r="D2026" s="2" t="str">
        <f t="shared" si="30"/>
        <v>Error?</v>
      </c>
    </row>
    <row r="2027" spans="1:4" x14ac:dyDescent="0.2">
      <c r="A2027" s="5">
        <v>1966</v>
      </c>
      <c r="B2027" s="138">
        <f>'Cap Outlay Deprec 26'!F8</f>
        <v>586713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389536</v>
      </c>
      <c r="C2029" s="2" t="s">
        <v>573</v>
      </c>
      <c r="D2029" s="2" t="str">
        <f t="shared" si="30"/>
        <v>Error?</v>
      </c>
    </row>
    <row r="2030" spans="1:4" x14ac:dyDescent="0.2">
      <c r="A2030" s="5">
        <v>1969</v>
      </c>
      <c r="B2030" s="138">
        <f>'Cap Outlay Deprec 26'!F13</f>
        <v>50146</v>
      </c>
      <c r="C2030" s="2" t="s">
        <v>573</v>
      </c>
      <c r="D2030" s="2" t="str">
        <f t="shared" si="30"/>
        <v>Error?</v>
      </c>
    </row>
    <row r="2031" spans="1:4" x14ac:dyDescent="0.2">
      <c r="A2031" s="5">
        <v>1970</v>
      </c>
      <c r="B2031" s="138">
        <f>'Cap Outlay Deprec 26'!F16</f>
        <v>1096361</v>
      </c>
      <c r="C2031" s="2" t="s">
        <v>573</v>
      </c>
      <c r="D2031" s="2" t="str">
        <f t="shared" si="30"/>
        <v>Error?</v>
      </c>
    </row>
    <row r="2032" spans="1:4" x14ac:dyDescent="0.2">
      <c r="A2032" s="10">
        <v>1971</v>
      </c>
      <c r="D2032" s="2" t="str">
        <f t="shared" si="30"/>
        <v>OK</v>
      </c>
    </row>
    <row r="2033" spans="1:4" x14ac:dyDescent="0.2">
      <c r="A2033" s="5">
        <v>1972</v>
      </c>
      <c r="B2033" s="138">
        <f>'Cap Outlay Deprec 26'!H8</f>
        <v>230818</v>
      </c>
      <c r="D2033" s="2" t="str">
        <f t="shared" si="30"/>
        <v>Error?</v>
      </c>
    </row>
    <row r="2034" spans="1:4" x14ac:dyDescent="0.2">
      <c r="A2034" s="5">
        <v>1973</v>
      </c>
      <c r="B2034" s="138">
        <f>'Cap Outlay Deprec 26'!H10</f>
        <v>6180</v>
      </c>
      <c r="D2034" s="2" t="str">
        <f t="shared" si="30"/>
        <v>Error?</v>
      </c>
    </row>
    <row r="2035" spans="1:4" x14ac:dyDescent="0.2">
      <c r="A2035" s="5">
        <v>1974</v>
      </c>
      <c r="B2035" s="138">
        <f>'Cap Outlay Deprec 26'!H12</f>
        <v>473751</v>
      </c>
      <c r="D2035" s="2" t="str">
        <f t="shared" si="30"/>
        <v>Error?</v>
      </c>
    </row>
    <row r="2036" spans="1:4" x14ac:dyDescent="0.2">
      <c r="A2036" s="5">
        <v>1975</v>
      </c>
      <c r="B2036" s="138">
        <f>'Cap Outlay Deprec 26'!H13</f>
        <v>14568</v>
      </c>
      <c r="D2036" s="2" t="str">
        <f t="shared" si="30"/>
        <v>Error?</v>
      </c>
    </row>
    <row r="2037" spans="1:4" x14ac:dyDescent="0.2">
      <c r="A2037" s="5">
        <v>1976</v>
      </c>
      <c r="B2037" s="138">
        <f>'Cap Outlay Deprec 26'!H16</f>
        <v>727238</v>
      </c>
      <c r="C2037" s="2" t="s">
        <v>573</v>
      </c>
      <c r="D2037" s="2" t="str">
        <f t="shared" si="30"/>
        <v>Error?</v>
      </c>
    </row>
    <row r="2038" spans="1:4" x14ac:dyDescent="0.2">
      <c r="A2038" s="10">
        <v>1977</v>
      </c>
      <c r="D2038" s="2" t="str">
        <f t="shared" si="30"/>
        <v>OK</v>
      </c>
    </row>
    <row r="2039" spans="1:4" x14ac:dyDescent="0.2">
      <c r="A2039" s="5">
        <v>1978</v>
      </c>
      <c r="B2039" s="138">
        <f>'Cap Outlay Deprec 26'!I8</f>
        <v>16223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24864</v>
      </c>
      <c r="D2041" s="2" t="str">
        <f t="shared" si="30"/>
        <v>Error?</v>
      </c>
    </row>
    <row r="2042" spans="1:4" x14ac:dyDescent="0.2">
      <c r="A2042" s="5">
        <v>1981</v>
      </c>
      <c r="B2042" s="138">
        <f>'Cap Outlay Deprec 26'!I13</f>
        <v>10029</v>
      </c>
      <c r="D2042" s="2" t="str">
        <f t="shared" si="30"/>
        <v>Error?</v>
      </c>
    </row>
    <row r="2043" spans="1:4" x14ac:dyDescent="0.2">
      <c r="A2043" s="5">
        <v>1982</v>
      </c>
      <c r="B2043" s="138">
        <f>'Cap Outlay Deprec 26'!I16</f>
        <v>57432</v>
      </c>
      <c r="C2043" s="2" t="s">
        <v>573</v>
      </c>
      <c r="D2043" s="2" t="str">
        <f t="shared" si="30"/>
        <v>Error?</v>
      </c>
    </row>
    <row r="2044" spans="1:4" x14ac:dyDescent="0.2">
      <c r="A2044" s="10">
        <v>1983</v>
      </c>
      <c r="D2044" s="2" t="str">
        <f t="shared" si="30"/>
        <v>OK</v>
      </c>
    </row>
    <row r="2045" spans="1:4" x14ac:dyDescent="0.2">
      <c r="A2045" s="5">
        <v>1984</v>
      </c>
      <c r="B2045" s="138">
        <f>'Cap Outlay Deprec 26'!J8</f>
        <v>14994</v>
      </c>
      <c r="D2045" s="2" t="str">
        <f t="shared" si="30"/>
        <v>Error?</v>
      </c>
    </row>
    <row r="2046" spans="1:4" x14ac:dyDescent="0.2">
      <c r="A2046" s="5">
        <v>1985</v>
      </c>
      <c r="B2046" s="138">
        <f>'Cap Outlay Deprec 26'!J10</f>
        <v>6180</v>
      </c>
      <c r="D2046" s="2" t="str">
        <f t="shared" si="30"/>
        <v>Error?</v>
      </c>
    </row>
    <row r="2047" spans="1:4" x14ac:dyDescent="0.2">
      <c r="A2047" s="5">
        <v>1986</v>
      </c>
      <c r="B2047" s="138">
        <f>'Cap Outlay Deprec 26'!J12</f>
        <v>176755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197929</v>
      </c>
      <c r="C2049" s="2" t="s">
        <v>573</v>
      </c>
      <c r="D2049" s="2" t="str">
        <f t="shared" si="31"/>
        <v>Error?</v>
      </c>
    </row>
    <row r="2050" spans="1:4" x14ac:dyDescent="0.2">
      <c r="A2050" s="10">
        <v>1989</v>
      </c>
      <c r="D2050" s="2" t="str">
        <f t="shared" si="31"/>
        <v>OK</v>
      </c>
    </row>
    <row r="2051" spans="1:4" x14ac:dyDescent="0.2">
      <c r="A2051" s="5">
        <v>1990</v>
      </c>
      <c r="B2051" s="138">
        <f>'Cap Outlay Deprec 26'!K8</f>
        <v>232047</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321860</v>
      </c>
      <c r="C2053" s="2" t="s">
        <v>573</v>
      </c>
      <c r="D2053" s="2" t="str">
        <f t="shared" si="31"/>
        <v>Error?</v>
      </c>
    </row>
    <row r="2054" spans="1:4" x14ac:dyDescent="0.2">
      <c r="A2054" s="5">
        <v>1993</v>
      </c>
      <c r="B2054" s="138">
        <f>'Cap Outlay Deprec 26'!K13</f>
        <v>24597</v>
      </c>
      <c r="C2054" s="2" t="s">
        <v>573</v>
      </c>
      <c r="D2054" s="2" t="str">
        <f t="shared" si="31"/>
        <v>Error?</v>
      </c>
    </row>
    <row r="2055" spans="1:4" x14ac:dyDescent="0.2">
      <c r="A2055" s="5">
        <v>1994</v>
      </c>
      <c r="B2055" s="138">
        <f>'Cap Outlay Deprec 26'!K16</f>
        <v>586741</v>
      </c>
      <c r="C2055" s="2" t="s">
        <v>573</v>
      </c>
      <c r="D2055" s="2" t="str">
        <f t="shared" si="31"/>
        <v>Error?</v>
      </c>
    </row>
    <row r="2056" spans="1:4" x14ac:dyDescent="0.2">
      <c r="A2056" s="5">
        <v>1995</v>
      </c>
      <c r="B2056" s="138">
        <f>'Cap Outlay Deprec 26'!L5</f>
        <v>51015</v>
      </c>
      <c r="C2056" s="2" t="s">
        <v>573</v>
      </c>
      <c r="D2056" s="2" t="str">
        <f t="shared" si="31"/>
        <v>Error?</v>
      </c>
    </row>
    <row r="2057" spans="1:4" x14ac:dyDescent="0.2">
      <c r="A2057" s="5">
        <v>1996</v>
      </c>
      <c r="B2057" s="138">
        <f>'Cap Outlay Deprec 26'!L8</f>
        <v>354666</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67676</v>
      </c>
      <c r="C2059" s="2" t="s">
        <v>573</v>
      </c>
      <c r="D2059" s="2" t="str">
        <f t="shared" si="31"/>
        <v>Error?</v>
      </c>
    </row>
    <row r="2060" spans="1:4" x14ac:dyDescent="0.2">
      <c r="A2060" s="5">
        <v>1999</v>
      </c>
      <c r="B2060" s="138">
        <f>'Cap Outlay Deprec 26'!L13</f>
        <v>25549</v>
      </c>
      <c r="C2060" s="2" t="s">
        <v>573</v>
      </c>
      <c r="D2060" s="2" t="str">
        <f t="shared" si="31"/>
        <v>Error?</v>
      </c>
    </row>
    <row r="2061" spans="1:4" x14ac:dyDescent="0.2">
      <c r="A2061" s="5">
        <v>2000</v>
      </c>
      <c r="B2061" s="138">
        <f>'Cap Outlay Deprec 26'!L16</f>
        <v>509620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1478359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1528762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3762969</v>
      </c>
      <c r="C2551" s="2" t="s">
        <v>573</v>
      </c>
      <c r="D2551" s="2" t="str">
        <f t="shared" si="38"/>
        <v>Error?</v>
      </c>
    </row>
    <row r="2552" spans="1:4" x14ac:dyDescent="0.2">
      <c r="A2552" s="10">
        <v>2491</v>
      </c>
      <c r="D2552" s="2" t="str">
        <f t="shared" si="38"/>
        <v>OK</v>
      </c>
    </row>
    <row r="2553" spans="1:4" x14ac:dyDescent="0.2">
      <c r="A2553" s="5">
        <v>2492</v>
      </c>
      <c r="B2553" s="138">
        <f>'Acct Summary 7-8'!C6</f>
        <v>408573</v>
      </c>
      <c r="C2553" s="2" t="s">
        <v>573</v>
      </c>
      <c r="D2553" s="2" t="str">
        <f t="shared" si="38"/>
        <v>Error?</v>
      </c>
    </row>
    <row r="2554" spans="1:4" x14ac:dyDescent="0.2">
      <c r="A2554" s="5">
        <v>2493</v>
      </c>
      <c r="B2554" s="138">
        <f>'Acct Summary 7-8'!C7</f>
        <v>2413883</v>
      </c>
      <c r="C2554" s="2" t="s">
        <v>573</v>
      </c>
      <c r="D2554" s="2" t="str">
        <f t="shared" si="38"/>
        <v>Error?</v>
      </c>
    </row>
    <row r="2555" spans="1:4" x14ac:dyDescent="0.2">
      <c r="A2555" s="5">
        <v>2494</v>
      </c>
      <c r="B2555" s="138">
        <f>'Acct Summary 7-8'!C8</f>
        <v>6585425</v>
      </c>
      <c r="C2555" s="2" t="s">
        <v>573</v>
      </c>
      <c r="D2555" s="2" t="str">
        <f t="shared" si="38"/>
        <v>Error?</v>
      </c>
    </row>
    <row r="2556" spans="1:4" x14ac:dyDescent="0.2">
      <c r="A2556" s="5">
        <v>2495</v>
      </c>
      <c r="B2556" s="138">
        <f>'Acct Summary 7-8'!C12</f>
        <v>1750310</v>
      </c>
      <c r="C2556" s="2" t="s">
        <v>573</v>
      </c>
      <c r="D2556" s="2" t="str">
        <f t="shared" si="38"/>
        <v>Error?</v>
      </c>
    </row>
    <row r="2557" spans="1:4" x14ac:dyDescent="0.2">
      <c r="A2557" s="5">
        <v>2496</v>
      </c>
      <c r="B2557" s="138">
        <f>'Acct Summary 7-8'!C13</f>
        <v>3428731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1528762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6707803</v>
      </c>
      <c r="C2561" s="2" t="s">
        <v>573</v>
      </c>
      <c r="D2561" s="2" t="str">
        <f t="shared" si="39"/>
        <v>Error?</v>
      </c>
    </row>
    <row r="2562" spans="1:4" x14ac:dyDescent="0.2">
      <c r="A2562" s="5">
        <v>2501</v>
      </c>
      <c r="B2562" s="138">
        <f>'Acct Summary 7-8'!C20</f>
        <v>-122378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50403</v>
      </c>
      <c r="C2789" s="2" t="s">
        <v>573</v>
      </c>
      <c r="D2789" s="2" t="str">
        <f t="shared" si="42"/>
        <v>Error?</v>
      </c>
    </row>
    <row r="2790" spans="1:4" x14ac:dyDescent="0.2">
      <c r="A2790" s="5">
        <v>2729</v>
      </c>
      <c r="B2790" s="138">
        <f>'Expenditures 15-22'!E102</f>
        <v>50403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50403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1478359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1528762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-122378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1288267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430912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19120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12011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1750310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2369833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43099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1892735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8478160</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1892735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8600538</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2369833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63449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436268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1591454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17697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1799827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1799827</v>
      </c>
      <c r="C5087" s="2" t="s">
        <v>573</v>
      </c>
      <c r="D5087" s="2" t="str">
        <f t="shared" si="78"/>
        <v>Error?</v>
      </c>
    </row>
    <row r="5088" spans="1:4" x14ac:dyDescent="0.2">
      <c r="A5088" s="5">
        <v>5027</v>
      </c>
      <c r="B5088" s="138">
        <f>'Revenues 9-14'!C65</f>
        <v>2473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2473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1675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1675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353716</v>
      </c>
      <c r="D5115" s="2" t="str">
        <f t="shared" si="78"/>
        <v>Error?</v>
      </c>
    </row>
    <row r="5116" spans="1:4" x14ac:dyDescent="0.2">
      <c r="A5116" s="5">
        <v>5055</v>
      </c>
      <c r="B5116" s="138">
        <f>'Revenues 9-14'!C99</f>
        <v>8389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4435</v>
      </c>
      <c r="D5119" s="2" t="str">
        <f t="shared" ref="D5119:D5182" si="79">IF(ISBLANK(B5119),"OK",IF(A5119-B5119=0,"OK","Error?"))</f>
        <v>Error?</v>
      </c>
    </row>
    <row r="5120" spans="1:4" x14ac:dyDescent="0.2">
      <c r="A5120" s="5">
        <v>5059</v>
      </c>
      <c r="B5120" s="138">
        <f>'Revenues 9-14'!C108</f>
        <v>1958994</v>
      </c>
      <c r="C5120" s="2" t="s">
        <v>573</v>
      </c>
      <c r="D5120" s="2" t="str">
        <f t="shared" si="79"/>
        <v>Error?</v>
      </c>
    </row>
    <row r="5121" spans="1:4" x14ac:dyDescent="0.2">
      <c r="A5121" s="5">
        <v>5060</v>
      </c>
      <c r="B5121" s="138">
        <f>'Revenues 9-14'!C109</f>
        <v>3762969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407441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407441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1132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408573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33593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21427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55020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55026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1786423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1841449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2413883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2413883</v>
      </c>
      <c r="C5326" s="2" t="s">
        <v>573</v>
      </c>
      <c r="D5326" s="2" t="str">
        <f t="shared" si="82"/>
        <v>Error?</v>
      </c>
    </row>
    <row r="5327" spans="1:5" x14ac:dyDescent="0.2">
      <c r="A5327" s="5">
        <v>5266</v>
      </c>
      <c r="B5327" s="138">
        <f>'Revenues 9-14'!C268</f>
        <v>6585425</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2945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-122378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-5.1639925682526996E-2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4792</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4792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4792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4792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11528</v>
      </c>
      <c r="D7615" s="2" t="str">
        <f t="shared" ref="D7615:D7678" si="124">IF(ISBLANK(B7615),"OK",IF(A7615-B7615=0,"OK","Error?"))</f>
        <v>Error?</v>
      </c>
      <c r="E7615" s="2" t="s">
        <v>19</v>
      </c>
    </row>
    <row r="7616" spans="1:5" x14ac:dyDescent="0.2">
      <c r="A7616">
        <f t="shared" si="123"/>
        <v>7555</v>
      </c>
      <c r="B7616" s="138">
        <f>'Cap Outlay Deprec 26'!D14</f>
        <v>7423</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18951</v>
      </c>
      <c r="D7618" s="2" t="str">
        <f t="shared" si="124"/>
        <v>Error?</v>
      </c>
      <c r="E7618" s="2" t="s">
        <v>19</v>
      </c>
    </row>
    <row r="7619" spans="1:5" x14ac:dyDescent="0.2">
      <c r="A7619">
        <f t="shared" si="123"/>
        <v>7558</v>
      </c>
      <c r="B7619" s="138">
        <f>'Cap Outlay Deprec 26'!H14</f>
        <v>1921</v>
      </c>
      <c r="D7619" s="2" t="str">
        <f t="shared" si="124"/>
        <v>Error?</v>
      </c>
      <c r="E7619" s="2" t="s">
        <v>19</v>
      </c>
    </row>
    <row r="7620" spans="1:5" x14ac:dyDescent="0.2">
      <c r="A7620">
        <f t="shared" si="123"/>
        <v>7559</v>
      </c>
      <c r="B7620" s="138">
        <f>'Cap Outlay Deprec 26'!I14</f>
        <v>6316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8237</v>
      </c>
      <c r="D7622" s="2" t="str">
        <f t="shared" si="124"/>
        <v>Error?</v>
      </c>
      <c r="E7622" s="2" t="s">
        <v>19</v>
      </c>
    </row>
    <row r="7623" spans="1:5" x14ac:dyDescent="0.2">
      <c r="A7623">
        <f t="shared" si="123"/>
        <v>7562</v>
      </c>
      <c r="B7623" s="138">
        <f>'Cap Outlay Deprec 26'!L14</f>
        <v>10714</v>
      </c>
      <c r="D7623" s="2" t="str">
        <f t="shared" si="124"/>
        <v>Error?</v>
      </c>
      <c r="E7623" s="2" t="s">
        <v>19</v>
      </c>
    </row>
    <row r="7624" spans="1:5" x14ac:dyDescent="0.2">
      <c r="A7624">
        <f t="shared" si="123"/>
        <v>7563</v>
      </c>
      <c r="B7624" s="138">
        <f>'Cap Outlay Deprec 26'!F17</f>
        <v>4792</v>
      </c>
      <c r="D7624" s="2" t="str">
        <f t="shared" si="124"/>
        <v>Error?</v>
      </c>
      <c r="E7624" s="2" t="s">
        <v>19</v>
      </c>
    </row>
    <row r="7625" spans="1:5" x14ac:dyDescent="0.2">
      <c r="A7625">
        <f t="shared" si="123"/>
        <v>7564</v>
      </c>
      <c r="B7625" s="138">
        <f>'Cap Outlay Deprec 26'!I17</f>
        <v>479.2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57911.199999999997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8" sqref="A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Perandoe Spec Educ District</v>
      </c>
      <c r="B7" s="2382"/>
      <c r="C7" s="2382"/>
      <c r="D7" s="2419"/>
      <c r="E7" s="2420">
        <f>COVER!A13</f>
        <v>45079132061</v>
      </c>
      <c r="F7" s="2421"/>
      <c r="G7" s="2388" t="str">
        <f>COVER!T23</f>
        <v>066-005248</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t="s">
        <v>2079</v>
      </c>
      <c r="B9" s="2392"/>
      <c r="C9" s="2392"/>
      <c r="D9" s="2392"/>
      <c r="E9" s="2392"/>
      <c r="F9" s="2393"/>
      <c r="G9" s="2394" t="str">
        <f>COVER!T13</f>
        <v>Moore &amp; Simonin, PC</v>
      </c>
      <c r="H9" s="2395"/>
      <c r="I9" s="2395"/>
      <c r="J9" s="2395"/>
      <c r="K9" s="2395"/>
      <c r="L9" s="2396"/>
    </row>
    <row r="10" spans="1:29" ht="13.5" customHeight="1" x14ac:dyDescent="0.2">
      <c r="A10" s="2378">
        <f>COVER!A38</f>
        <v>0</v>
      </c>
      <c r="B10" s="2379"/>
      <c r="C10" s="2379"/>
      <c r="D10" s="2379"/>
      <c r="E10" s="2379"/>
      <c r="F10" s="2380"/>
      <c r="G10" s="2394" t="str">
        <f>COVER!T17</f>
        <v>3636 North Belt West</v>
      </c>
      <c r="H10" s="2407"/>
      <c r="I10" s="2407"/>
      <c r="J10" s="2407"/>
      <c r="K10" s="2407"/>
      <c r="L10" s="2408"/>
    </row>
    <row r="11" spans="1:29" ht="13.5" customHeight="1" x14ac:dyDescent="0.2">
      <c r="A11" s="1184" t="s">
        <v>1519</v>
      </c>
      <c r="B11" s="1185"/>
      <c r="C11" s="1186"/>
      <c r="D11" s="1191"/>
      <c r="E11" s="1186"/>
      <c r="F11" s="1190"/>
      <c r="G11" s="2394" t="str">
        <f>COVER!T19</f>
        <v>Belleville</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mooresimonin@mrsaccountants.com</v>
      </c>
      <c r="J13" s="2416"/>
      <c r="K13" s="2416"/>
      <c r="L13" s="2417"/>
    </row>
    <row r="14" spans="1:29" ht="13.5" customHeight="1" x14ac:dyDescent="0.2">
      <c r="A14" s="2394" t="str">
        <f>COVER!A19</f>
        <v>1525 Locust St.</v>
      </c>
      <c r="B14" s="2407"/>
      <c r="C14" s="2407"/>
      <c r="D14" s="2407"/>
      <c r="E14" s="2407"/>
      <c r="F14" s="2408"/>
      <c r="G14" s="1195" t="s">
        <v>1185</v>
      </c>
      <c r="H14" s="1193"/>
      <c r="I14" s="1193"/>
      <c r="J14" s="1193"/>
      <c r="K14" s="1193"/>
      <c r="L14" s="1194"/>
    </row>
    <row r="15" spans="1:29" ht="13.5" customHeight="1" x14ac:dyDescent="0.2">
      <c r="A15" s="2394" t="str">
        <f>COVER!A21</f>
        <v>Red Bud</v>
      </c>
      <c r="B15" s="2407"/>
      <c r="C15" s="2407"/>
      <c r="D15" s="2407"/>
      <c r="E15" s="2407"/>
      <c r="F15" s="2408"/>
      <c r="G15" s="2404" t="str">
        <f>COVER!T15</f>
        <v>Robert E. Moore, CPA</v>
      </c>
      <c r="H15" s="2405"/>
      <c r="I15" s="2405"/>
      <c r="J15" s="2405"/>
      <c r="K15" s="2405"/>
      <c r="L15" s="2406"/>
    </row>
    <row r="16" spans="1:29" ht="12.2" customHeight="1" x14ac:dyDescent="0.2">
      <c r="A16" s="2384">
        <f>COVER!A25</f>
        <v>62278</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618-233-5049</v>
      </c>
      <c r="H18" s="2382"/>
      <c r="I18" s="2382"/>
      <c r="J18" s="2382"/>
      <c r="K18" s="2381" t="str">
        <f>COVER!X21</f>
        <v>618-233-1061</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8" sqref="A8"/>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Perandoe Spec Educ District</v>
      </c>
      <c r="B1" s="2418"/>
      <c r="C1" s="2418"/>
      <c r="D1" s="2418"/>
    </row>
    <row r="2" spans="1:11" s="1212" customFormat="1" ht="12.75" x14ac:dyDescent="0.2">
      <c r="A2" s="2423">
        <f>'Single Audit Cover'!E7</f>
        <v>45079132061</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6" zoomScale="110" zoomScaleNormal="110" zoomScaleSheetLayoutView="100" workbookViewId="0">
      <selection activeCell="A8" sqref="A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Perandoe Spec Educ District</v>
      </c>
      <c r="B1" s="2426"/>
      <c r="C1" s="2426"/>
      <c r="D1" s="2426"/>
      <c r="E1" s="2426"/>
    </row>
    <row r="2" spans="1:5" x14ac:dyDescent="0.2">
      <c r="A2" s="2427">
        <f>'Single Audit Cover'!E7</f>
        <v>45079132061</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2413883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2945</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-436268</v>
      </c>
    </row>
    <row r="19" spans="1:4" ht="13.5" thickBot="1" x14ac:dyDescent="0.25">
      <c r="A19" s="1262" t="s">
        <v>1235</v>
      </c>
      <c r="D19" s="1263">
        <f>SUM(D10:D17)</f>
        <v>1980560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1980560</v>
      </c>
    </row>
    <row r="33" spans="1:4" x14ac:dyDescent="0.2">
      <c r="D33" s="1266"/>
    </row>
    <row r="34" spans="1:4" x14ac:dyDescent="0.2">
      <c r="A34" s="317" t="s">
        <v>1232</v>
      </c>
    </row>
    <row r="35" spans="1:4" x14ac:dyDescent="0.2">
      <c r="A35" s="317" t="s">
        <v>1231</v>
      </c>
      <c r="B35" s="1255" t="s">
        <v>1230</v>
      </c>
      <c r="D35" s="1267">
        <v>1980560</v>
      </c>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1980560</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Perandoe Spec Educ District</v>
      </c>
      <c r="C1" s="2430"/>
      <c r="D1" s="2430"/>
      <c r="E1" s="2430"/>
      <c r="F1" s="2430"/>
      <c r="G1" s="2430"/>
      <c r="H1" s="2430"/>
      <c r="I1" s="2430"/>
      <c r="J1" s="2430"/>
      <c r="K1" s="2430"/>
      <c r="L1" s="2430"/>
      <c r="M1" s="2430"/>
    </row>
    <row r="2" spans="2:14" ht="15" x14ac:dyDescent="0.2">
      <c r="B2" s="2431">
        <f>'Single Audit Cover'!E7</f>
        <v>45079132061</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2080</v>
      </c>
      <c r="C11" s="1335"/>
      <c r="D11" s="1336"/>
      <c r="E11" s="1337"/>
      <c r="F11" s="1337"/>
      <c r="G11" s="1337"/>
      <c r="H11" s="1337"/>
      <c r="I11" s="1337"/>
      <c r="J11" s="1337"/>
      <c r="K11" s="1337"/>
      <c r="L11" s="1337">
        <f>+G11+I11+K11</f>
        <v>0</v>
      </c>
      <c r="M11" s="1337"/>
    </row>
    <row r="12" spans="2:14" ht="20.100000000000001" customHeight="1" x14ac:dyDescent="0.2">
      <c r="B12" s="1334" t="s">
        <v>2081</v>
      </c>
      <c r="C12" s="1338"/>
      <c r="D12" s="1339"/>
      <c r="E12" s="1340"/>
      <c r="F12" s="1340"/>
      <c r="G12" s="1340"/>
      <c r="H12" s="1340"/>
      <c r="I12" s="1340"/>
      <c r="J12" s="1340"/>
      <c r="K12" s="1340"/>
      <c r="L12" s="1337">
        <f t="shared" ref="L12:L27" si="0">+G12+I12+K12</f>
        <v>0</v>
      </c>
      <c r="M12" s="1340"/>
    </row>
    <row r="13" spans="2:14" ht="20.100000000000001" customHeight="1" x14ac:dyDescent="0.2">
      <c r="B13" s="1334" t="s">
        <v>2082</v>
      </c>
      <c r="C13" s="1338">
        <v>10.555</v>
      </c>
      <c r="D13" s="1339"/>
      <c r="E13" s="1340">
        <v>3111</v>
      </c>
      <c r="F13" s="1340">
        <v>2945</v>
      </c>
      <c r="G13" s="1340">
        <v>3111</v>
      </c>
      <c r="H13" s="1340"/>
      <c r="I13" s="1340">
        <v>2945</v>
      </c>
      <c r="J13" s="1340"/>
      <c r="K13" s="1340"/>
      <c r="L13" s="1337">
        <f t="shared" si="0"/>
        <v>6056</v>
      </c>
      <c r="M13" s="1340"/>
    </row>
    <row r="14" spans="2:14" ht="20.100000000000001" customHeight="1" x14ac:dyDescent="0.2">
      <c r="B14" s="1334" t="s">
        <v>2083</v>
      </c>
      <c r="C14" s="1338">
        <v>10.555</v>
      </c>
      <c r="D14" s="1339"/>
      <c r="E14" s="1340">
        <v>250</v>
      </c>
      <c r="F14" s="1340"/>
      <c r="G14" s="1340">
        <v>250</v>
      </c>
      <c r="H14" s="1340"/>
      <c r="I14" s="1340"/>
      <c r="J14" s="1340"/>
      <c r="K14" s="1340"/>
      <c r="L14" s="1337">
        <f t="shared" si="0"/>
        <v>250</v>
      </c>
      <c r="M14" s="1340"/>
    </row>
    <row r="15" spans="2:14" ht="20.100000000000001" customHeight="1" x14ac:dyDescent="0.2">
      <c r="B15" s="1334" t="s">
        <v>2084</v>
      </c>
      <c r="C15" s="1338">
        <v>10.555</v>
      </c>
      <c r="D15" s="1339" t="s">
        <v>2085</v>
      </c>
      <c r="E15" s="1340">
        <v>20555</v>
      </c>
      <c r="F15" s="1340">
        <v>5915</v>
      </c>
      <c r="G15" s="1340">
        <v>20555</v>
      </c>
      <c r="H15" s="1340"/>
      <c r="I15" s="1340">
        <v>5915</v>
      </c>
      <c r="J15" s="1340"/>
      <c r="K15" s="1340"/>
      <c r="L15" s="1337">
        <f t="shared" si="0"/>
        <v>26470</v>
      </c>
      <c r="M15" s="1340"/>
    </row>
    <row r="16" spans="2:14" ht="20.100000000000001" customHeight="1" x14ac:dyDescent="0.2">
      <c r="B16" s="1334"/>
      <c r="C16" s="1338"/>
      <c r="D16" s="1339" t="s">
        <v>2086</v>
      </c>
      <c r="E16" s="1340"/>
      <c r="F16" s="1340">
        <v>27678</v>
      </c>
      <c r="G16" s="1340"/>
      <c r="H16" s="1340"/>
      <c r="I16" s="1340">
        <v>27678</v>
      </c>
      <c r="J16" s="1340"/>
      <c r="K16" s="1340"/>
      <c r="L16" s="1337">
        <f t="shared" si="0"/>
        <v>27678</v>
      </c>
      <c r="M16" s="1340"/>
    </row>
    <row r="17" spans="2:14" ht="20.100000000000001" customHeight="1" x14ac:dyDescent="0.2">
      <c r="B17" s="1334" t="s">
        <v>2087</v>
      </c>
      <c r="C17" s="1338">
        <v>10.553000000000001</v>
      </c>
      <c r="D17" s="1339" t="s">
        <v>2088</v>
      </c>
      <c r="E17" s="1340">
        <v>12041</v>
      </c>
      <c r="F17" s="1340">
        <v>3606</v>
      </c>
      <c r="G17" s="1340">
        <v>12041</v>
      </c>
      <c r="H17" s="1340"/>
      <c r="I17" s="1340">
        <v>3606</v>
      </c>
      <c r="J17" s="1340"/>
      <c r="K17" s="1340"/>
      <c r="L17" s="1337">
        <f t="shared" si="0"/>
        <v>15647</v>
      </c>
      <c r="M17" s="1340"/>
    </row>
    <row r="18" spans="2:14" ht="20.100000000000001" customHeight="1" x14ac:dyDescent="0.2">
      <c r="B18" s="1334"/>
      <c r="C18" s="1338"/>
      <c r="D18" s="1339" t="s">
        <v>2089</v>
      </c>
      <c r="E18" s="1340"/>
      <c r="F18" s="1340">
        <v>17821</v>
      </c>
      <c r="G18" s="1340"/>
      <c r="H18" s="1340"/>
      <c r="I18" s="1340">
        <v>17821</v>
      </c>
      <c r="J18" s="1340"/>
      <c r="K18" s="1340"/>
      <c r="L18" s="1337">
        <f t="shared" si="0"/>
        <v>17821</v>
      </c>
      <c r="M18" s="1340"/>
    </row>
    <row r="19" spans="2:14" ht="20.100000000000001" customHeight="1" x14ac:dyDescent="0.2">
      <c r="B19" s="1334" t="s">
        <v>2090</v>
      </c>
      <c r="C19" s="1338"/>
      <c r="D19" s="1339"/>
      <c r="E19" s="1340">
        <v>35957</v>
      </c>
      <c r="F19" s="1340">
        <v>57965</v>
      </c>
      <c r="G19" s="1340">
        <v>35957</v>
      </c>
      <c r="H19" s="1340"/>
      <c r="I19" s="1340">
        <v>57965</v>
      </c>
      <c r="J19" s="1340"/>
      <c r="K19" s="1340"/>
      <c r="L19" s="1337">
        <f t="shared" si="0"/>
        <v>93922</v>
      </c>
      <c r="M19" s="1340"/>
    </row>
    <row r="20" spans="2:14" ht="20.100000000000001" customHeight="1" x14ac:dyDescent="0.2">
      <c r="B20" s="1334" t="s">
        <v>2091</v>
      </c>
      <c r="C20" s="1338"/>
      <c r="D20" s="1339"/>
      <c r="E20" s="1340"/>
      <c r="F20" s="1340"/>
      <c r="G20" s="1340"/>
      <c r="H20" s="1340"/>
      <c r="I20" s="1340"/>
      <c r="J20" s="1340"/>
      <c r="K20" s="1340"/>
      <c r="L20" s="1337">
        <f t="shared" si="0"/>
        <v>0</v>
      </c>
      <c r="M20" s="1340"/>
    </row>
    <row r="21" spans="2:14" ht="20.100000000000001" customHeight="1" x14ac:dyDescent="0.2">
      <c r="B21" s="1334" t="s">
        <v>2081</v>
      </c>
      <c r="C21" s="1338"/>
      <c r="D21" s="1339"/>
      <c r="E21" s="1340"/>
      <c r="F21" s="1340"/>
      <c r="G21" s="1340"/>
      <c r="H21" s="1340"/>
      <c r="I21" s="1340"/>
      <c r="J21" s="1340"/>
      <c r="K21" s="1340"/>
      <c r="L21" s="1337">
        <f t="shared" si="0"/>
        <v>0</v>
      </c>
      <c r="M21" s="1340"/>
    </row>
    <row r="22" spans="2:14" ht="20.100000000000001" customHeight="1" x14ac:dyDescent="0.2">
      <c r="B22" s="1334" t="s">
        <v>2092</v>
      </c>
      <c r="C22" s="1338" t="s">
        <v>2093</v>
      </c>
      <c r="D22" s="1339" t="s">
        <v>2094</v>
      </c>
      <c r="E22" s="1340">
        <v>34943</v>
      </c>
      <c r="F22" s="1340">
        <v>6515</v>
      </c>
      <c r="G22" s="1340">
        <v>38041</v>
      </c>
      <c r="H22" s="1340"/>
      <c r="I22" s="1340">
        <v>3417</v>
      </c>
      <c r="J22" s="1340"/>
      <c r="K22" s="1340"/>
      <c r="L22" s="1337">
        <f t="shared" si="0"/>
        <v>41458</v>
      </c>
      <c r="M22" s="1340">
        <v>44137</v>
      </c>
    </row>
    <row r="23" spans="2:14" ht="20.100000000000001" customHeight="1" x14ac:dyDescent="0.2">
      <c r="B23" s="1334"/>
      <c r="C23" s="1338"/>
      <c r="D23" s="1339" t="s">
        <v>2095</v>
      </c>
      <c r="E23" s="1340"/>
      <c r="F23" s="1340">
        <v>48511</v>
      </c>
      <c r="G23" s="1340"/>
      <c r="H23" s="1340"/>
      <c r="I23" s="1340">
        <v>53848</v>
      </c>
      <c r="J23" s="1340"/>
      <c r="K23" s="1340">
        <v>5772</v>
      </c>
      <c r="L23" s="1337">
        <f t="shared" si="0"/>
        <v>59620</v>
      </c>
      <c r="M23" s="1340">
        <v>62622</v>
      </c>
    </row>
    <row r="24" spans="2:14" ht="20.100000000000001" customHeight="1" x14ac:dyDescent="0.2">
      <c r="B24" s="1334" t="s">
        <v>2096</v>
      </c>
      <c r="C24" s="1338" t="s">
        <v>2097</v>
      </c>
      <c r="D24" s="1339" t="s">
        <v>2098</v>
      </c>
      <c r="E24" s="1340">
        <v>1389136</v>
      </c>
      <c r="F24" s="1340">
        <v>330038</v>
      </c>
      <c r="G24" s="1340">
        <v>1681375</v>
      </c>
      <c r="H24" s="1340">
        <v>1185760</v>
      </c>
      <c r="I24" s="1340">
        <v>37798</v>
      </c>
      <c r="J24" s="1340"/>
      <c r="K24" s="1340"/>
      <c r="L24" s="1337">
        <f t="shared" si="0"/>
        <v>1719173</v>
      </c>
      <c r="M24" s="1340">
        <v>1761712</v>
      </c>
    </row>
    <row r="25" spans="2:14" ht="20.100000000000001" customHeight="1" x14ac:dyDescent="0.2">
      <c r="B25" s="1334"/>
      <c r="C25" s="1338"/>
      <c r="D25" s="1339" t="s">
        <v>2099</v>
      </c>
      <c r="E25" s="1340"/>
      <c r="F25" s="1340">
        <v>1456385</v>
      </c>
      <c r="G25" s="1340"/>
      <c r="H25" s="1340"/>
      <c r="I25" s="1340">
        <v>1835826</v>
      </c>
      <c r="J25" s="1340">
        <v>1455527</v>
      </c>
      <c r="K25" s="1340">
        <v>7500</v>
      </c>
      <c r="L25" s="1337">
        <f t="shared" si="0"/>
        <v>1843326</v>
      </c>
      <c r="M25" s="1340">
        <v>1900514</v>
      </c>
    </row>
    <row r="26" spans="2:14" ht="20.100000000000001" customHeight="1" x14ac:dyDescent="0.2">
      <c r="B26" s="1334" t="s">
        <v>2100</v>
      </c>
      <c r="C26" s="1338"/>
      <c r="D26" s="1339"/>
      <c r="E26" s="1340">
        <v>1424079</v>
      </c>
      <c r="F26" s="1340">
        <v>1841449</v>
      </c>
      <c r="G26" s="1340">
        <v>1719416</v>
      </c>
      <c r="H26" s="1340">
        <v>1185760</v>
      </c>
      <c r="I26" s="1340">
        <v>1930889</v>
      </c>
      <c r="J26" s="1340">
        <v>1455527</v>
      </c>
      <c r="K26" s="1340">
        <v>13272</v>
      </c>
      <c r="L26" s="1337">
        <f t="shared" si="0"/>
        <v>3663577</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04CC-BB76-46AB-BFDB-666C16DA4C39}">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Perandoe Spec Educ District</v>
      </c>
      <c r="C1" s="2430"/>
      <c r="D1" s="2430"/>
      <c r="E1" s="2430"/>
      <c r="F1" s="2430"/>
      <c r="G1" s="2430"/>
      <c r="H1" s="2430"/>
      <c r="I1" s="2430"/>
      <c r="J1" s="2430"/>
      <c r="K1" s="2430"/>
      <c r="L1" s="2430"/>
      <c r="M1" s="2430"/>
    </row>
    <row r="2" spans="2:14" ht="15" x14ac:dyDescent="0.2">
      <c r="B2" s="2431">
        <f>'Single Audit Cover'!E7</f>
        <v>45079132061</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2101</v>
      </c>
      <c r="C11" s="1335"/>
      <c r="D11" s="1336"/>
      <c r="E11" s="1337"/>
      <c r="F11" s="1337"/>
      <c r="G11" s="1337"/>
      <c r="H11" s="1337"/>
      <c r="I11" s="1337"/>
      <c r="J11" s="1337"/>
      <c r="K11" s="1337"/>
      <c r="L11" s="1337">
        <f>+G11+I11+K11</f>
        <v>0</v>
      </c>
      <c r="M11" s="1337"/>
    </row>
    <row r="12" spans="2:14" ht="20.100000000000001" customHeight="1" x14ac:dyDescent="0.2">
      <c r="B12" s="1334" t="s">
        <v>2102</v>
      </c>
      <c r="C12" s="1338" t="s">
        <v>2103</v>
      </c>
      <c r="D12" s="1339" t="s">
        <v>2104</v>
      </c>
      <c r="E12" s="1340"/>
      <c r="F12" s="1340">
        <v>17697</v>
      </c>
      <c r="G12" s="1340"/>
      <c r="H12" s="1340"/>
      <c r="I12" s="1340">
        <v>25235</v>
      </c>
      <c r="J12" s="1340"/>
      <c r="K12" s="1340"/>
      <c r="L12" s="1337">
        <f t="shared" ref="L12:L27" si="0">+G12+I12+K12</f>
        <v>25235</v>
      </c>
      <c r="M12" s="1340"/>
    </row>
    <row r="13" spans="2:14" ht="20.100000000000001" customHeight="1" x14ac:dyDescent="0.2">
      <c r="B13" s="1334" t="s">
        <v>2105</v>
      </c>
      <c r="C13" s="1338"/>
      <c r="D13" s="1339"/>
      <c r="E13" s="1340">
        <v>1424079</v>
      </c>
      <c r="F13" s="1340">
        <v>1859146</v>
      </c>
      <c r="G13" s="1340">
        <v>1719416</v>
      </c>
      <c r="H13" s="1340">
        <v>1185760</v>
      </c>
      <c r="I13" s="1340">
        <v>1956124</v>
      </c>
      <c r="J13" s="1340">
        <v>14555527</v>
      </c>
      <c r="K13" s="1340">
        <v>13272</v>
      </c>
      <c r="L13" s="1337">
        <f t="shared" si="0"/>
        <v>3688812</v>
      </c>
      <c r="M13" s="1340"/>
    </row>
    <row r="14" spans="2:14" ht="20.100000000000001" customHeight="1" x14ac:dyDescent="0.2">
      <c r="B14" s="1334" t="s">
        <v>2106</v>
      </c>
      <c r="C14" s="1338"/>
      <c r="D14" s="1339"/>
      <c r="E14" s="1340"/>
      <c r="F14" s="1340"/>
      <c r="G14" s="1340"/>
      <c r="H14" s="1340"/>
      <c r="I14" s="1340"/>
      <c r="J14" s="1340"/>
      <c r="K14" s="1340"/>
      <c r="L14" s="1337">
        <f t="shared" si="0"/>
        <v>0</v>
      </c>
      <c r="M14" s="1340"/>
    </row>
    <row r="15" spans="2:14" ht="20.100000000000001" customHeight="1" x14ac:dyDescent="0.2">
      <c r="B15" s="1334" t="s">
        <v>2107</v>
      </c>
      <c r="C15" s="1338"/>
      <c r="D15" s="1339"/>
      <c r="E15" s="1340"/>
      <c r="F15" s="1340"/>
      <c r="G15" s="1340"/>
      <c r="H15" s="1340"/>
      <c r="I15" s="1340"/>
      <c r="J15" s="1340"/>
      <c r="K15" s="1340"/>
      <c r="L15" s="1337">
        <f t="shared" si="0"/>
        <v>0</v>
      </c>
      <c r="M15" s="1340"/>
    </row>
    <row r="16" spans="2:14" ht="20.100000000000001" customHeight="1" x14ac:dyDescent="0.2">
      <c r="B16" s="1334" t="s">
        <v>2108</v>
      </c>
      <c r="C16" s="1338">
        <v>93.778000000000006</v>
      </c>
      <c r="D16" s="1339" t="s">
        <v>2109</v>
      </c>
      <c r="E16" s="1340">
        <v>38595</v>
      </c>
      <c r="F16" s="1340">
        <v>15188</v>
      </c>
      <c r="G16" s="1340">
        <v>38595</v>
      </c>
      <c r="H16" s="1340"/>
      <c r="I16" s="1340">
        <v>15188</v>
      </c>
      <c r="J16" s="1340"/>
      <c r="K16" s="1340"/>
      <c r="L16" s="1337">
        <f>+G16+I16+K16</f>
        <v>53783</v>
      </c>
      <c r="M16" s="1340"/>
    </row>
    <row r="17" spans="2:14" ht="20.100000000000001" customHeight="1" x14ac:dyDescent="0.2">
      <c r="B17" s="1334"/>
      <c r="C17" s="1338"/>
      <c r="D17" s="1339" t="s">
        <v>2110</v>
      </c>
      <c r="E17" s="1340"/>
      <c r="F17" s="1340">
        <v>48261</v>
      </c>
      <c r="G17" s="1340"/>
      <c r="H17" s="1340"/>
      <c r="I17" s="1340">
        <v>48261</v>
      </c>
      <c r="J17" s="1340"/>
      <c r="K17" s="1340"/>
      <c r="L17" s="1337">
        <f t="shared" si="0"/>
        <v>48261</v>
      </c>
      <c r="M17" s="1340"/>
    </row>
    <row r="18" spans="2:14" ht="20.100000000000001" customHeight="1" x14ac:dyDescent="0.2">
      <c r="B18" s="1334" t="s">
        <v>2111</v>
      </c>
      <c r="C18" s="1338"/>
      <c r="D18" s="1339"/>
      <c r="E18" s="1340">
        <v>38595</v>
      </c>
      <c r="F18" s="1340">
        <v>63449</v>
      </c>
      <c r="G18" s="1340">
        <v>38595</v>
      </c>
      <c r="H18" s="1340"/>
      <c r="I18" s="1340">
        <v>63449</v>
      </c>
      <c r="J18" s="1340"/>
      <c r="K18" s="1340"/>
      <c r="L18" s="1337">
        <f t="shared" si="0"/>
        <v>102044</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2112</v>
      </c>
      <c r="C20" s="1338"/>
      <c r="D20" s="1339"/>
      <c r="E20" s="1340">
        <v>1498631</v>
      </c>
      <c r="F20" s="1340">
        <v>1980560</v>
      </c>
      <c r="G20" s="1340">
        <v>1793968</v>
      </c>
      <c r="H20" s="1340">
        <v>1185760</v>
      </c>
      <c r="I20" s="1340">
        <v>2077538</v>
      </c>
      <c r="J20" s="1340">
        <v>1455527</v>
      </c>
      <c r="K20" s="1340">
        <v>13272</v>
      </c>
      <c r="L20" s="1337">
        <f t="shared" si="0"/>
        <v>3884778</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Perandoe Spec Educ District</v>
      </c>
      <c r="B1" s="2435"/>
      <c r="C1" s="2435"/>
      <c r="D1" s="2435"/>
      <c r="E1" s="2435"/>
      <c r="F1" s="2435"/>
    </row>
    <row r="2" spans="1:7" ht="13.5" customHeight="1" x14ac:dyDescent="0.2">
      <c r="A2" s="2431">
        <f>'Single Audit Cover'!E7</f>
        <v>45079132061</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2113</v>
      </c>
      <c r="B7" s="2434"/>
      <c r="C7" s="2434"/>
      <c r="D7" s="2434"/>
      <c r="E7" s="2434"/>
      <c r="F7" s="243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2124</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t="s">
        <v>2114</v>
      </c>
      <c r="C17" s="1282">
        <v>84.027000000000001</v>
      </c>
      <c r="D17" s="2438"/>
      <c r="E17" s="2438"/>
      <c r="F17" s="2438"/>
    </row>
    <row r="18" spans="1:6" ht="20.65" customHeight="1" x14ac:dyDescent="0.2">
      <c r="A18" s="1280"/>
      <c r="B18" s="1281" t="s">
        <v>2115</v>
      </c>
      <c r="C18" s="1282"/>
      <c r="D18" s="2438">
        <v>5303</v>
      </c>
      <c r="E18" s="2438"/>
      <c r="F18" s="2438"/>
    </row>
    <row r="19" spans="1:6" ht="20.65" customHeight="1" x14ac:dyDescent="0.2">
      <c r="A19" s="1280"/>
      <c r="B19" s="1281" t="s">
        <v>2116</v>
      </c>
      <c r="C19" s="1282"/>
      <c r="D19" s="2438">
        <v>239738</v>
      </c>
      <c r="E19" s="2438"/>
      <c r="F19" s="2438"/>
    </row>
    <row r="20" spans="1:6" ht="20.65" customHeight="1" x14ac:dyDescent="0.2">
      <c r="A20" s="1280"/>
      <c r="B20" s="1281" t="s">
        <v>2117</v>
      </c>
      <c r="C20" s="1282"/>
      <c r="D20" s="2438">
        <v>46224</v>
      </c>
      <c r="E20" s="2438"/>
      <c r="F20" s="2438"/>
    </row>
    <row r="21" spans="1:6" ht="20.65" customHeight="1" x14ac:dyDescent="0.2">
      <c r="A21" s="1280"/>
      <c r="B21" s="1281" t="s">
        <v>2118</v>
      </c>
      <c r="C21" s="1282"/>
      <c r="D21" s="2438">
        <v>32203</v>
      </c>
      <c r="E21" s="2438"/>
      <c r="F21" s="2438"/>
    </row>
    <row r="22" spans="1:6" ht="20.65" customHeight="1" x14ac:dyDescent="0.2">
      <c r="A22" s="1280"/>
      <c r="B22" s="1281" t="s">
        <v>2119</v>
      </c>
      <c r="C22" s="1282"/>
      <c r="D22" s="2438">
        <v>208691</v>
      </c>
      <c r="E22" s="2438"/>
      <c r="F22" s="2438"/>
    </row>
    <row r="23" spans="1:6" ht="20.65" customHeight="1" x14ac:dyDescent="0.2">
      <c r="A23" s="1280"/>
      <c r="B23" s="1281" t="s">
        <v>2120</v>
      </c>
      <c r="C23" s="1282"/>
      <c r="D23" s="2438">
        <v>298886</v>
      </c>
      <c r="E23" s="2438"/>
      <c r="F23" s="2438"/>
    </row>
    <row r="24" spans="1:6" ht="20.65" customHeight="1" x14ac:dyDescent="0.2">
      <c r="A24" s="1280"/>
      <c r="B24" s="1281" t="s">
        <v>2121</v>
      </c>
      <c r="C24" s="1282"/>
      <c r="D24" s="2438">
        <v>87608</v>
      </c>
      <c r="E24" s="2438"/>
      <c r="F24" s="2438"/>
    </row>
    <row r="25" spans="1:6" ht="20.65" customHeight="1" x14ac:dyDescent="0.2">
      <c r="A25" s="1280"/>
      <c r="B25" s="1281" t="s">
        <v>2122</v>
      </c>
      <c r="C25" s="1282"/>
      <c r="D25" s="2438">
        <v>74247</v>
      </c>
      <c r="E25" s="2438"/>
      <c r="F25" s="2438"/>
    </row>
    <row r="26" spans="1:6" ht="20.65" customHeight="1" x14ac:dyDescent="0.2">
      <c r="A26" s="1280"/>
      <c r="B26" s="1281" t="s">
        <v>2123</v>
      </c>
      <c r="C26" s="1282"/>
      <c r="D26" s="2438">
        <v>462627</v>
      </c>
      <c r="E26" s="2438"/>
      <c r="F26" s="2438"/>
    </row>
    <row r="27" spans="1:6" ht="20.65" customHeight="1" x14ac:dyDescent="0.2">
      <c r="A27" s="1280"/>
      <c r="B27" s="1281"/>
      <c r="C27" s="1282"/>
      <c r="D27" s="2438">
        <v>1455527</v>
      </c>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1730</v>
      </c>
      <c r="B32" s="2442"/>
      <c r="C32" s="2442"/>
      <c r="D32" s="2442"/>
      <c r="E32" s="2442"/>
      <c r="F32" s="2442"/>
    </row>
    <row r="33" spans="1:6" ht="13.5" customHeight="1" x14ac:dyDescent="0.2">
      <c r="A33" s="328" t="s">
        <v>1434</v>
      </c>
      <c r="B33" s="328"/>
      <c r="C33" s="1285">
        <v>2945</v>
      </c>
      <c r="D33" s="1903"/>
      <c r="E33" s="1283"/>
    </row>
    <row r="34" spans="1:6" ht="13.5" customHeight="1" x14ac:dyDescent="0.2">
      <c r="A34" s="328" t="s">
        <v>1836</v>
      </c>
      <c r="B34" s="328"/>
      <c r="C34" s="1286">
        <v>0</v>
      </c>
      <c r="D34" s="1903" t="s">
        <v>1589</v>
      </c>
      <c r="E34" s="2443">
        <f>+C33+C34</f>
        <v>2945</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5" zoomScale="110" zoomScaleNormal="110" workbookViewId="0">
      <selection activeCell="A8" sqref="A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Perandoe Spec Educ District</v>
      </c>
      <c r="C1" s="2451"/>
      <c r="D1" s="2451"/>
      <c r="E1" s="2451"/>
      <c r="F1" s="2451"/>
      <c r="G1" s="2451"/>
      <c r="H1" s="2451"/>
      <c r="I1" s="2451"/>
      <c r="J1" s="1406"/>
    </row>
    <row r="2" spans="2:10" s="317" customFormat="1" ht="12.75" customHeight="1" x14ac:dyDescent="0.2">
      <c r="B2" s="2452">
        <f>'Single Audit Cover'!E7</f>
        <v>45079132061</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t="s">
        <v>1164</v>
      </c>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2071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2071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2071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2071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2071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t="s">
        <v>2125</v>
      </c>
      <c r="E29" s="2457"/>
      <c r="F29" s="2457"/>
      <c r="G29" s="2457"/>
      <c r="H29" s="2457"/>
      <c r="I29" s="2457"/>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2071</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58" t="s">
        <v>1749</v>
      </c>
      <c r="D37" s="2459"/>
      <c r="E37" s="2459"/>
      <c r="F37" s="2460"/>
      <c r="G37" s="2458" t="s">
        <v>1592</v>
      </c>
      <c r="H37" s="2459"/>
      <c r="I37" s="2460"/>
    </row>
    <row r="38" spans="2:9" ht="16.5" customHeight="1" x14ac:dyDescent="0.2">
      <c r="B38" s="1428">
        <v>84.027000000000001</v>
      </c>
      <c r="C38" s="2446" t="s">
        <v>2126</v>
      </c>
      <c r="D38" s="2447"/>
      <c r="E38" s="2447"/>
      <c r="F38" s="2448"/>
      <c r="G38" s="2461">
        <v>1930889</v>
      </c>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1930889</v>
      </c>
      <c r="H43" s="2467"/>
      <c r="I43" s="2467"/>
    </row>
    <row r="44" spans="2:9" ht="12.75" customHeight="1" x14ac:dyDescent="0.2"/>
    <row r="45" spans="2:9" ht="12.75" customHeight="1" x14ac:dyDescent="0.2">
      <c r="B45" s="1419" t="s">
        <v>1839</v>
      </c>
      <c r="D45" s="2468">
        <v>2077538</v>
      </c>
      <c r="E45" s="2469"/>
    </row>
    <row r="46" spans="2:9" ht="5.25" customHeight="1" x14ac:dyDescent="0.2">
      <c r="B46" s="1429"/>
      <c r="D46" s="1430"/>
      <c r="E46" s="1431"/>
    </row>
    <row r="47" spans="2:9" ht="12.75" customHeight="1" x14ac:dyDescent="0.2">
      <c r="B47" s="1297" t="s">
        <v>1594</v>
      </c>
      <c r="C47" s="1297"/>
      <c r="D47" s="1432">
        <f>+G43/D45</f>
        <v>0.9294121214630009</v>
      </c>
      <c r="E47" s="1433"/>
      <c r="F47" s="1434"/>
      <c r="I47" s="1435"/>
    </row>
    <row r="48" spans="2:9" ht="9.9499999999999993" customHeight="1" x14ac:dyDescent="0.2"/>
    <row r="49" spans="1:9" x14ac:dyDescent="0.2">
      <c r="B49" s="1365" t="s">
        <v>1273</v>
      </c>
      <c r="C49" s="1279"/>
      <c r="D49" s="1279"/>
      <c r="E49" s="2470">
        <v>750000</v>
      </c>
      <c r="F49" s="2470"/>
      <c r="G49" s="2470"/>
      <c r="H49" s="322"/>
    </row>
    <row r="51" spans="1:9" ht="13.5" customHeight="1" x14ac:dyDescent="0.2">
      <c r="B51" s="1365" t="s">
        <v>1272</v>
      </c>
      <c r="C51" s="1279"/>
      <c r="E51" s="1422"/>
      <c r="F51" s="1297" t="s">
        <v>885</v>
      </c>
      <c r="G51" s="1422" t="s">
        <v>2071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Perandoe Spec Educ District</v>
      </c>
      <c r="C1" s="2450"/>
      <c r="D1" s="2450"/>
      <c r="E1" s="2450"/>
      <c r="F1" s="2450"/>
      <c r="G1" s="2450"/>
      <c r="H1" s="2450"/>
      <c r="I1" s="2450"/>
      <c r="J1" s="2450"/>
      <c r="K1" s="2450"/>
      <c r="L1" s="1371"/>
      <c r="M1" s="1371"/>
    </row>
    <row r="2" spans="1:13" ht="12" customHeight="1" x14ac:dyDescent="0.2">
      <c r="B2" s="2452">
        <f>'Single Audit Cover'!E7</f>
        <v>45079132061</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t="s">
        <v>2127</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Perandoe Spec Educ District</v>
      </c>
      <c r="C1" s="2477"/>
      <c r="D1" s="2477"/>
      <c r="E1" s="2477"/>
      <c r="F1" s="2477"/>
      <c r="G1" s="2477"/>
      <c r="H1" s="2477"/>
      <c r="I1" s="2477"/>
      <c r="J1" s="2477"/>
      <c r="K1" s="2477"/>
      <c r="L1" s="1449"/>
    </row>
    <row r="2" spans="1:12" ht="12.75" customHeight="1" x14ac:dyDescent="0.2">
      <c r="B2" s="2478">
        <f>'Single Audit Cover'!E7</f>
        <v>45079132061</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t="s">
        <v>2127</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Perandoe Spec Educ District</v>
      </c>
      <c r="C1" s="2450"/>
      <c r="D1" s="2450"/>
      <c r="E1" s="1469"/>
    </row>
    <row r="2" spans="2:5" s="1279" customFormat="1" ht="12.75" customHeight="1" x14ac:dyDescent="0.2">
      <c r="B2" s="2452">
        <f>'Single Audit Cover'!E7</f>
        <v>45079132061</v>
      </c>
      <c r="C2" s="2452"/>
      <c r="D2" s="2452"/>
      <c r="E2" s="1470"/>
    </row>
    <row r="3" spans="2:5" ht="12.75" customHeight="1" x14ac:dyDescent="0.2">
      <c r="B3" s="2473" t="s">
        <v>1764</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t="s">
        <v>2127</v>
      </c>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2019-11-04T17:04:38Z</cp:lastPrinted>
  <dcterms:created xsi:type="dcterms:W3CDTF">2003-10-29T19:06:34Z</dcterms:created>
  <dcterms:modified xsi:type="dcterms:W3CDTF">2019-12-04T17:51:26Z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