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A427AFDC-53DF-4A14-A6C9-1C34ABC86415}"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4" i="183" l="1"/>
  <c r="L23" i="183"/>
  <c r="L22" i="183"/>
  <c r="L21" i="183"/>
  <c r="L20" i="183"/>
  <c r="E21" i="179"/>
  <c r="L27" i="183"/>
  <c r="L26" i="183"/>
  <c r="L25" i="183"/>
  <c r="L19" i="183"/>
  <c r="L18" i="183"/>
  <c r="L17" i="183"/>
  <c r="L16" i="183"/>
  <c r="L15" i="183"/>
  <c r="L14" i="183"/>
  <c r="L13" i="183"/>
  <c r="L12" i="183"/>
  <c r="L11" i="183"/>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D7765" i="106" s="1"/>
  <c r="B7764" i="106"/>
  <c r="D7764" i="106" s="1"/>
  <c r="J85" i="28"/>
  <c r="B7758" i="106" s="1"/>
  <c r="D7758" i="106" s="1"/>
  <c r="J88" i="28"/>
  <c r="K6" i="29"/>
  <c r="B7763" i="106" s="1"/>
  <c r="D7763" i="106" s="1"/>
  <c r="B7762" i="106"/>
  <c r="K12" i="12"/>
  <c r="K23" i="12"/>
  <c r="J12" i="12"/>
  <c r="J21" i="12"/>
  <c r="B7727" i="106" s="1"/>
  <c r="D7727" i="106"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C217" i="5"/>
  <c r="B5286" i="106" s="1"/>
  <c r="D5286" i="106" s="1"/>
  <c r="C221" i="5"/>
  <c r="B5304" i="106" s="1"/>
  <c r="D5304" i="106" s="1"/>
  <c r="C252" i="5"/>
  <c r="B7761" i="106"/>
  <c r="D7761" i="106" s="1"/>
  <c r="L127" i="29"/>
  <c r="L129" i="29" s="1"/>
  <c r="L139" i="29"/>
  <c r="L149" i="29"/>
  <c r="I7" i="145"/>
  <c r="I6" i="145"/>
  <c r="D82" i="36"/>
  <c r="D78" i="36"/>
  <c r="K75" i="29"/>
  <c r="C14" i="4" s="1"/>
  <c r="B2558" i="106" s="1"/>
  <c r="D2558" i="106" s="1"/>
  <c r="K130" i="29"/>
  <c r="D14" i="4" s="1"/>
  <c r="B2570" i="106" s="1"/>
  <c r="D2570" i="106" s="1"/>
  <c r="K185" i="29"/>
  <c r="F14" i="4" s="1"/>
  <c r="B2597" i="106" s="1"/>
  <c r="D2597" i="106" s="1"/>
  <c r="K122" i="29"/>
  <c r="F15" i="145" s="1"/>
  <c r="F19" i="145" s="1"/>
  <c r="K67" i="29"/>
  <c r="G33" i="108" s="1"/>
  <c r="K64" i="29"/>
  <c r="F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E27" i="108"/>
  <c r="G27" i="108"/>
  <c r="G28" i="108"/>
  <c r="E31" i="108"/>
  <c r="G31" i="108"/>
  <c r="E33"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F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2" i="37"/>
  <c r="J22" i="37"/>
  <c r="B5752" i="106"/>
  <c r="D5752" i="106" s="1"/>
  <c r="D24" i="37" l="1"/>
  <c r="B4270" i="106" s="1"/>
  <c r="D4270" i="106" s="1"/>
  <c r="F38" i="34"/>
  <c r="F26" i="108"/>
  <c r="D26" i="108"/>
  <c r="B7235" i="106"/>
  <c r="D7235" i="106" s="1"/>
  <c r="B6289" i="106"/>
  <c r="D6289" i="106" s="1"/>
  <c r="J77" i="4"/>
  <c r="B6262" i="106" s="1"/>
  <c r="D6262" i="106" s="1"/>
  <c r="B3647" i="106"/>
  <c r="D3647" i="106" s="1"/>
  <c r="J23" i="12"/>
  <c r="E35" i="108"/>
  <c r="H33" i="118"/>
  <c r="E34" i="108"/>
  <c r="H365" i="29"/>
  <c r="B7242" i="106" s="1"/>
  <c r="D7242" i="106" s="1"/>
  <c r="B2724" i="106"/>
  <c r="D2724" i="106" s="1"/>
  <c r="D17" i="7"/>
  <c r="B4104" i="106" s="1"/>
  <c r="D4104" i="106" s="1"/>
  <c r="F77" i="4"/>
  <c r="B3255" i="106" s="1"/>
  <c r="D3255" i="106" s="1"/>
  <c r="C129" i="29"/>
  <c r="C151" i="29" s="1"/>
  <c r="B1226" i="106" s="1"/>
  <c r="D1226" i="106" s="1"/>
  <c r="D54" i="36"/>
  <c r="L13" i="11"/>
  <c r="B2060" i="106" s="1"/>
  <c r="D2060" i="106" s="1"/>
  <c r="D36" i="108"/>
  <c r="E30" i="108"/>
  <c r="G30" i="108"/>
  <c r="F37" i="34"/>
  <c r="B7078" i="106"/>
  <c r="D7078" i="106" s="1"/>
  <c r="B2836" i="106"/>
  <c r="D2836" i="106" s="1"/>
  <c r="F46" i="34"/>
  <c r="F36" i="34"/>
  <c r="L15" i="11"/>
  <c r="B3459" i="106" s="1"/>
  <c r="D3459" i="106" s="1"/>
  <c r="F50" i="34"/>
  <c r="B1124" i="106"/>
  <c r="D1124" i="106" s="1"/>
  <c r="B7074" i="106"/>
  <c r="D7074" i="106" s="1"/>
  <c r="H112" i="29"/>
  <c r="B7018" i="106" s="1"/>
  <c r="D7018" i="106" s="1"/>
  <c r="F70" i="34"/>
  <c r="F56" i="34"/>
  <c r="F36" i="108"/>
  <c r="D27" i="108"/>
  <c r="C352" i="29"/>
  <c r="C367" i="29" s="1"/>
  <c r="B3622" i="106" s="1"/>
  <c r="D3622" i="106" s="1"/>
  <c r="K76" i="4"/>
  <c r="B3586" i="106" s="1"/>
  <c r="D3586" i="106" s="1"/>
  <c r="D37" i="108"/>
  <c r="D7245" i="106"/>
  <c r="D9" i="7"/>
  <c r="B1767" i="106" s="1"/>
  <c r="D1767" i="106" s="1"/>
  <c r="H29" i="118"/>
  <c r="N22" i="3"/>
  <c r="B283" i="106" s="1"/>
  <c r="D283" i="106" s="1"/>
  <c r="L342" i="29"/>
  <c r="F62" i="34"/>
  <c r="F49" i="34"/>
  <c r="G38" i="108"/>
  <c r="D31" i="108"/>
  <c r="B2805" i="106"/>
  <c r="D2805" i="106" s="1"/>
  <c r="D11" i="37"/>
  <c r="F19" i="7"/>
  <c r="B1807" i="106" s="1"/>
  <c r="D1807" i="106" s="1"/>
  <c r="L5" i="11"/>
  <c r="B2056" i="106" s="1"/>
  <c r="D2056" i="106" s="1"/>
  <c r="H28" i="118"/>
  <c r="F42" i="34"/>
  <c r="E38" i="108"/>
  <c r="F28" i="108"/>
  <c r="J41" i="3"/>
  <c r="D51" i="36" s="1"/>
  <c r="K184" i="29"/>
  <c r="F13" i="4" s="1"/>
  <c r="B2596" i="106" s="1"/>
  <c r="D2596" i="106" s="1"/>
  <c r="G210" i="29"/>
  <c r="G39" i="108"/>
  <c r="H342" i="29"/>
  <c r="B7221" i="106" s="1"/>
  <c r="D7221" i="106" s="1"/>
  <c r="J129" i="29"/>
  <c r="B7038" i="106" s="1"/>
  <c r="D7038" i="106" s="1"/>
  <c r="K41" i="3"/>
  <c r="B3568" i="106" s="1"/>
  <c r="D3568" i="106" s="1"/>
  <c r="G29" i="108"/>
  <c r="I129" i="29"/>
  <c r="B7037" i="106" s="1"/>
  <c r="D7037" i="106" s="1"/>
  <c r="D6103" i="106"/>
  <c r="B1308" i="106"/>
  <c r="D1308" i="106" s="1"/>
  <c r="E174" i="29"/>
  <c r="B1309" i="106" s="1"/>
  <c r="D1309" i="106" s="1"/>
  <c r="F37" i="108"/>
  <c r="D31" i="36"/>
  <c r="L367" i="29"/>
  <c r="E28" i="108"/>
  <c r="L22" i="37"/>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I151" i="29" l="1"/>
  <c r="F59" i="34" s="1"/>
  <c r="B6216" i="106"/>
  <c r="D6216" i="106" s="1"/>
  <c r="B5527" i="106"/>
  <c r="D5527" i="106" s="1"/>
  <c r="D41" i="108"/>
  <c r="E43" i="108" s="1"/>
  <c r="I7" i="4"/>
  <c r="B4444" i="106" s="1"/>
  <c r="D4444" i="106" s="1"/>
  <c r="F41" i="108"/>
  <c r="G43" i="108" s="1"/>
  <c r="D7256" i="106"/>
  <c r="C114" i="29"/>
  <c r="B757" i="106" s="1"/>
  <c r="D757" i="106" s="1"/>
  <c r="K77" i="4"/>
  <c r="B3587" i="106" s="1"/>
  <c r="D3587" i="106" s="1"/>
  <c r="D52" i="36"/>
  <c r="B1317" i="106"/>
  <c r="D1317" i="106" s="1"/>
  <c r="L114" i="29"/>
  <c r="B5778" i="106"/>
  <c r="D5778" i="106" s="1"/>
  <c r="G6" i="4"/>
  <c r="B2604" i="106" s="1"/>
  <c r="D2604" i="106" s="1"/>
  <c r="B1996" i="106"/>
  <c r="D1996" i="106" s="1"/>
  <c r="I26" i="12"/>
  <c r="B7741" i="106" s="1"/>
  <c r="D7741" i="106" s="1"/>
  <c r="K342" i="29"/>
  <c r="F13" i="34" s="1"/>
  <c r="D7254" i="106"/>
  <c r="J16" i="4"/>
  <c r="B6226" i="106" s="1"/>
  <c r="D6226" i="106" s="1"/>
  <c r="L16" i="11"/>
  <c r="B2061" i="106" s="1"/>
  <c r="D2061" i="106" s="1"/>
  <c r="B1365" i="106"/>
  <c r="D1365" i="106" s="1"/>
  <c r="F65" i="34"/>
  <c r="B7215" i="106"/>
  <c r="D7215" i="106" s="1"/>
  <c r="F174" i="34"/>
  <c r="K28" i="118"/>
  <c r="O27" i="118" s="1"/>
  <c r="O29" i="118" s="1"/>
  <c r="B1381" i="106"/>
  <c r="D1381" i="106" s="1"/>
  <c r="J151" i="29"/>
  <c r="B7052" i="106" s="1"/>
  <c r="D7052" i="106" s="1"/>
  <c r="B1266" i="106"/>
  <c r="D1266" i="106" s="1"/>
  <c r="K365" i="29"/>
  <c r="K16" i="4" s="1"/>
  <c r="D7253" i="106"/>
  <c r="B5770" i="106"/>
  <c r="D5770" i="106" s="1"/>
  <c r="D44" i="36"/>
  <c r="B1328" i="106"/>
  <c r="D1328" i="106" s="1"/>
  <c r="D7250"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K367" i="29" l="1"/>
  <c r="F24" i="37"/>
  <c r="B1145" i="106"/>
  <c r="D1145" i="106" s="1"/>
  <c r="B7243" i="106"/>
  <c r="D7243"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19" i="4" l="1"/>
  <c r="B6229" i="106" s="1"/>
  <c r="D6229" i="106" s="1"/>
  <c r="J20" i="4"/>
  <c r="J78" i="4" s="1"/>
  <c r="F8" i="4"/>
  <c r="B2595" i="106" s="1"/>
  <c r="D2595" i="106"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3575" i="106" l="1"/>
  <c r="D3575" i="106" s="1"/>
  <c r="K20" i="4"/>
  <c r="B3576" i="106" s="1"/>
  <c r="D3576" i="106" s="1"/>
  <c r="F10" i="4"/>
  <c r="B4125" i="106" s="1"/>
  <c r="D4125" i="106" s="1"/>
  <c r="D8" i="146"/>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J81" i="4"/>
  <c r="B6263" i="106"/>
  <c r="D6263" i="106" s="1"/>
  <c r="D10" i="146" l="1"/>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<sst xmlns="http://schemas.openxmlformats.org/spreadsheetml/2006/main" count="5236" uniqueCount="2160">
  <si>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</si>
  <si>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</si>
  <si>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</si>
  <si>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</si>
  <si>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</si>
  <si>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</si>
  <si>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</si>
  <si>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</si>
  <si>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</si>
  <si>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</si>
  <si>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</si>
  <si>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</si>
  <si>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</si>
  <si>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</si>
  <si>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</si>
  <si>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</si>
  <si>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</si>
  <si>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</si>
  <si>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</si>
  <si>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</si>
  <si>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</si>
  <si>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</si>
  <si>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</si>
  <si>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</si>
  <si>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</si>
  <si>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</si>
  <si>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</si>
  <si>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</si>
  <si>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</si>
  <si>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</si>
  <si>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</si>
  <si>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</si>
  <si>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</si>
  <si>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</si>
  <si>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</si>
  <si>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</si>
  <si>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</si>
  <si>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</si>
  <si>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</si>
  <si>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</si>
  <si>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</si>
  <si>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</si>
  <si>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</si>
  <si>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</si>
  <si>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</si>
  <si>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</si>
  <si>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</si>
  <si>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</si>
  <si>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</si>
  <si>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</si>
  <si>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</si>
  <si>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</si>
  <si>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</si>
  <si>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</si>
  <si>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</si>
  <si>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</si>
  <si>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</si>
  <si>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</si>
  <si>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</si>
  <si>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</si>
  <si>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</si>
  <si>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</si>
  <si>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</si>
  <si>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</si>
  <si>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</si>
  <si>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</si>
  <si>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</si>
  <si>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</si>
  <si>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</si>
  <si>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</si>
  <si>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</si>
  <si>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</si>
  <si>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</si>
  <si>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</si>
  <si>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</si>
  <si>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</si>
  <si>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</si>
  <si>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</si>
  <si>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</si>
  <si>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</si>
  <si>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</si>
  <si>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</si>
  <si>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</si>
  <si>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</si>
  <si>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</si>
  <si>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</si>
  <si>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</si>
  <si>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</si>
  <si>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</si>
  <si>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</si>
  <si>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</si>
  <si>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</si>
  <si>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</si>
  <si>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</si>
  <si>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</si>
  <si>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</si>
  <si>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</si>
  <si>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</si>
  <si>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</si>
  <si>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</si>
  <si>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</si>
  <si>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</si>
  <si>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</si>
  <si>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</si>
  <si>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</si>
  <si>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</si>
  <si>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</si>
  <si>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</si>
  <si>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</si>
  <si>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</si>
  <si>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</si>
  <si>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</si>
  <si>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</si>
  <si>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</si>
  <si>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</si>
  <si>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</si>
  <si>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</si>
  <si>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</si>
  <si>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</si>
  <si>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</si>
  <si>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</si>
  <si>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</si>
  <si>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</si>
  <si>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</si>
  <si>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</si>
  <si>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</si>
  <si>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</si>
  <si>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</si>
  <si>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</si>
  <si>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</si>
  <si>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</si>
  <si>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</si>
  <si>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</si>
  <si>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</si>
  <si>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</si>
  <si>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</si>
  <si>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</si>
  <si>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</si>
  <si>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</si>
  <si>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</si>
  <si>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</si>
  <si>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</si>
  <si>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</si>
  <si>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</si>
  <si>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</si>
  <si>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</si>
  <si>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</si>
  <si>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</si>
  <si>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</si>
  <si>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</si>
  <si>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</si>
  <si>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</si>
  <si>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</si>
  <si>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</si>
  <si>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</si>
  <si>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</si>
  <si>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</si>
  <si>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</si>
  <si>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</si>
  <si>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</si>
  <si>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</si>
  <si>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</si>
  <si>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</si>
  <si>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</si>
  <si>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</si>
  <si>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</si>
  <si>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</si>
  <si>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</si>
  <si>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</si>
  <si>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</si>
  <si>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</si>
  <si>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</si>
  <si>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</si>
  <si>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</si>
  <si>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</si>
  <si>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</si>
  <si>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</si>
  <si>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</si>
  <si>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</si>
  <si>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</si>
  <si>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</si>
  <si>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</si>
  <si>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</si>
  <si>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</si>
  <si>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</si>
  <si>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</si>
  <si>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</si>
  <si>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</si>
  <si>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</si>
  <si>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</si>
  <si>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</si>
  <si>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</si>
  <si>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</si>
  <si>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</si>
  <si>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</si>
  <si>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</si>
  <si>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</si>
  <si>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</si>
  <si>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</si>
  <si>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</si>
  <si>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</si>
  <si>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</si>
  <si>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</si>
  <si>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</si>
  <si>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</si>
  <si>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</si>
  <si>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</si>
  <si>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</si>
  <si>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</si>
  <si>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</si>
  <si>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</si>
  <si>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</si>
  <si>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</si>
  <si>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</si>
  <si>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</si>
  <si>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</si>
  <si>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</si>
  <si>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</si>
  <si>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</si>
  <si>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</si>
  <si>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</si>
  <si>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</si>
  <si>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</si>
  <si>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</si>
  <si>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</si>
  <si>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</si>
  <si>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</si>
  <si>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</si>
  <si>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</si>
  <si>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</si>
  <si>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</si>
  <si>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</si>
  <si>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</si>
  <si>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</si>
  <si>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</si>
  <si>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</si>
  <si>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</si>
  <si>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</si>
  <si>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</si>
  <si>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</si>
  <si>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</si>
  <si>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</si>
  <si>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</si>
  <si>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</si>
  <si>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</si>
  <si>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</si>
  <si>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</si>
  <si>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</si>
  <si>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</si>
  <si>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</si>
  <si>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</si>
  <si>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</si>
  <si>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</si>
  <si>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</si>
  <si>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</si>
  <si>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</si>
  <si>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</si>
  <si>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</si>
  <si>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</si>
  <si>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</si>
  <si>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</si>
  <si>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</si>
  <si>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</si>
  <si>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</si>
  <si>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</si>
  <si>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</si>
  <si>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</si>
  <si>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</si>
  <si>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</si>
  <si>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</si>
  <si>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</si>
  <si>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</si>
  <si>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</si>
  <si>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</si>
  <si>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</si>
  <si>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</si>
  <si>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</si>
  <si>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</si>
  <si>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</si>
  <si>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</si>
  <si>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</si>
  <si>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</si>
  <si>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</si>
  <si>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</si>
  <si>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</si>
  <si>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</si>
  <si>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</si>
  <si>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</si>
  <si>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</si>
  <si>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</si>
  <si>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</si>
  <si>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</si>
  <si>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</si>
  <si>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</si>
  <si>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</si>
  <si>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</si>
  <si>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</si>
  <si>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</si>
  <si>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</si>
  <si>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</si>
  <si>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</si>
  <si>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</si>
  <si>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</si>
  <si>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</si>
  <si>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</si>
  <si>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</si>
  <si>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</si>
  <si>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</si>
  <si>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</si>
  <si>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</si>
  <si>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</si>
  <si>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</si>
  <si>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</si>
  <si>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</si>
  <si>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</si>
  <si>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</si>
  <si>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</si>
  <si>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</si>
  <si>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</si>
  <si>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</si>
  <si>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</si>
  <si>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</si>
  <si>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</si>
  <si>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</si>
  <si>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</si>
  <si>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</si>
  <si>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</si>
  <si>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</si>
  <si>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</si>
  <si>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</si>
  <si>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</si>
  <si>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</si>
  <si>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</si>
  <si>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</si>
  <si>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</si>
  <si>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</si>
  <si>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</si>
  <si>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</si>
  <si>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</si>
  <si>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</si>
  <si>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</si>
  <si>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</si>
  <si>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</si>
  <si>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</si>
  <si>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</si>
  <si>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</si>
  <si>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</si>
  <si>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</si>
  <si>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</si>
  <si>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</si>
  <si>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</si>
  <si>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</si>
  <si>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</si>
  <si>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</si>
  <si>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</si>
  <si>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</si>
  <si>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</si>
  <si>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</si>
  <si>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</si>
  <si>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</si>
  <si>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</si>
  <si>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</si>
  <si>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</si>
  <si>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</si>
  <si>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</si>
  <si>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</si>
  <si>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</si>
  <si>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</si>
  <si>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</si>
  <si>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</si>
  <si>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</si>
  <si>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</si>
  <si>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</si>
  <si>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</si>
  <si>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</si>
  <si>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</si>
  <si>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</si>
  <si>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</si>
  <si>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</si>
  <si>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</si>
  <si>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</si>
  <si>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</si>
  <si>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</si>
  <si>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</si>
  <si>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</si>
  <si>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</si>
  <si>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</si>
  <si>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</si>
  <si>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</si>
  <si>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</si>
  <si>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</si>
  <si>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</si>
  <si>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</si>
  <si>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</si>
  <si>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</si>
  <si>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</si>
  <si>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</si>
  <si>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</si>
  <si>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</si>
  <si>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</si>
  <si>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</si>
  <si>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</si>
  <si>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</si>
  <si>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</si>
  <si>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</si>
  <si>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</si>
  <si>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</si>
  <si>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</si>
  <si>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</si>
  <si>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</si>
  <si>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</si>
  <si>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</si>
  <si>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</si>
  <si>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</si>
  <si>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</si>
  <si>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</si>
  <si>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</si>
  <si>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</si>
  <si>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</si>
  <si>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</si>
  <si>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</si>
  <si>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</si>
  <si>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</si>
  <si>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</si>
  <si>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</si>
  <si>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</si>
  <si>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</si>
  <si>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</si>
  <si>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</si>
  <si>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</si>
  <si>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</si>
  <si>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</si>
  <si>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</si>
  <si>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</si>
  <si>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</si>
  <si>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</si>
  <si>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</si>
  <si>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</si>
  <si>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</si>
  <si>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</si>
  <si>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</si>
  <si>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</si>
  <si>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</si>
  <si>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</si>
  <si>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</si>
  <si>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</si>
  <si>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</si>
  <si>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</si>
  <si>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</si>
  <si>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</si>
  <si>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</si>
  <si>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</si>
  <si>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</si>
  <si>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</si>
  <si>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</si>
  <si>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</si>
  <si>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</si>
  <si>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</si>
  <si>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</si>
  <si>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</si>
  <si>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</si>
  <si>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</si>
  <si>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</si>
  <si>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</si>
  <si>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</si>
  <si>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</si>
  <si>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</si>
  <si>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</si>
  <si>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</si>
  <si>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</si>
  <si>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</si>
  <si>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</si>
  <si>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</si>
  <si>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</si>
  <si>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</si>
  <si>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</si>
  <si>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</si>
  <si>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</si>
  <si>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</si>
  <si>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</si>
  <si>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</si>
  <si>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</si>
  <si>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</si>
  <si>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</si>
  <si>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</si>
  <si>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</si>
  <si>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</si>
  <si>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</si>
  <si>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</si>
  <si>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</si>
  <si>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</si>
  <si>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</si>
  <si>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</si>
  <si>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</si>
  <si>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</si>
  <si>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</si>
  <si>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</si>
  <si>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</si>
  <si>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</si>
  <si>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</si>
  <si>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</si>
  <si>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</si>
  <si>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</si>
  <si>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</si>
  <si>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</si>
  <si>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</si>
  <si>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</si>
  <si>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</si>
  <si>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</si>
  <si>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</si>
  <si>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</si>
  <si>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</si>
  <si>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</si>
  <si>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</si>
  <si>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</si>
  <si>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</si>
  <si>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</si>
  <si>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</si>
  <si>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</si>
  <si>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</si>
  <si>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</si>
  <si>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</si>
  <si>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</si>
  <si>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</si>
  <si>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</si>
  <si>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</si>
  <si>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</si>
  <si>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</si>
  <si>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</si>
  <si>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</si>
  <si>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</si>
  <si>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</si>
  <si>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</si>
  <si>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</si>
  <si>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</si>
  <si>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</si>
  <si>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</si>
  <si>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</si>
  <si>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</si>
  <si>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</si>
  <si>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</si>
  <si>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</si>
  <si>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</si>
  <si>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</si>
  <si>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</si>
  <si>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</si>
  <si>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</si>
  <si>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</si>
  <si>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</si>
  <si>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</si>
  <si>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</si>
  <si>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</si>
  <si>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</si>
  <si>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</si>
  <si>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</si>
  <si>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</si>
  <si>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</si>
  <si>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</si>
  <si>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</si>
  <si>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</si>
  <si>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</si>
  <si>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</si>
  <si>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</si>
  <si>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</si>
  <si>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</si>
  <si>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</si>
  <si>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</si>
  <si>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</si>
  <si>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</si>
  <si>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</si>
  <si>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</si>
  <si>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</si>
  <si>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</si>
  <si>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</si>
  <si>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</si>
  <si>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</si>
  <si>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</si>
  <si>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</si>
  <si>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</si>
  <si>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</si>
  <si>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</si>
  <si>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</si>
  <si>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</si>
  <si>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</si>
  <si>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</si>
  <si>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</si>
  <si>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</si>
  <si>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</si>
  <si>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</si>
  <si>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</si>
  <si>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</si>
  <si>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</si>
  <si>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</si>
  <si>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</si>
  <si>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</si>
  <si>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</si>
  <si>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</si>
  <si>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</si>
  <si>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</si>
  <si>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</si>
  <si>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</si>
  <si>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</si>
  <si>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</si>
  <si>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</si>
  <si>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</si>
  <si>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</si>
  <si>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</si>
  <si>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</si>
  <si>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</si>
  <si>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</si>
  <si>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</si>
  <si>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</si>
  <si>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</si>
  <si>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</si>
  <si>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</si>
  <si>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</si>
  <si>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</si>
  <si>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</si>
  <si>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</si>
  <si>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</si>
  <si>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</si>
  <si>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</si>
  <si>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</si>
  <si>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</si>
  <si>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</si>
  <si>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</si>
  <si>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</si>
  <si>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</si>
  <si>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</si>
  <si>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</si>
  <si>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</si>
  <si>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</si>
  <si>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</si>
  <si>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</si>
  <si>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</si>
  <si>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</si>
  <si>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</si>
  <si>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</si>
  <si>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</si>
  <si>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</si>
  <si>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</si>
  <si>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</si>
  <si>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</si>
  <si>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</si>
  <si>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</si>
  <si>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</si>
  <si>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</si>
  <si>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</si>
  <si>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</si>
  <si>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</si>
  <si>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</si>
  <si>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</si>
  <si>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</si>
  <si>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</si>
  <si>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</si>
  <si>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</si>
  <si>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</si>
  <si>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</si>
  <si>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</si>
  <si>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</si>
  <si>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</si>
  <si>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</si>
  <si>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</si>
  <si>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</si>
  <si>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</si>
  <si>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</si>
  <si>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</si>
  <si>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</si>
  <si>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</si>
  <si>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</si>
  <si>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</si>
  <si>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</si>
  <si>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</si>
  <si>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</si>
  <si>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</si>
  <si>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</si>
  <si>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</si>
  <si>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</si>
  <si>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</si>
  <si>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</si>
  <si>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</si>
  <si>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</si>
  <si>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</si>
  <si>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</si>
  <si>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</si>
  <si>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</si>
  <si>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</si>
  <si>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</si>
  <si>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</si>
  <si>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</si>
  <si>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</si>
  <si>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</si>
  <si>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</si>
  <si>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</si>
  <si>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</si>
  <si>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</si>
  <si>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</si>
  <si>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</si>
  <si>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</si>
  <si>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</si>
  <si>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</si>
  <si>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</si>
  <si>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</si>
  <si>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</si>
  <si>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</si>
  <si>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</si>
  <si>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</si>
  <si>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</si>
  <si>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</si>
  <si>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</si>
  <si>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</si>
  <si>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</si>
  <si>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</si>
  <si>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</si>
  <si>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</si>
  <si>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</si>
  <si>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</si>
  <si>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</si>
  <si>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</si>
  <si>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</si>
  <si>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</si>
  <si>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</si>
  <si>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</si>
  <si>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</si>
  <si>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</si>
  <si>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</si>
  <si>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</si>
  <si>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</si>
  <si>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</si>
  <si>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</si>
  <si>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</si>
  <si>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</si>
  <si>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</si>
  <si>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</si>
  <si>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</si>
  <si>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</si>
  <si>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</si>
  <si>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</si>
  <si>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</si>
  <si>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</si>
  <si>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</si>
  <si>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</si>
  <si>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</si>
  <si>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</si>
  <si>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</si>
  <si>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</si>
  <si>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</si>
  <si>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</si>
  <si>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</si>
  <si>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</si>
  <si>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</si>
  <si>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</si>
  <si>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</si>
  <si>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</si>
  <si>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</si>
  <si>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</si>
  <si>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</si>
  <si>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</si>
  <si>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</si>
  <si>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</si>
  <si>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</si>
  <si>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</si>
  <si>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</si>
  <si>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</si>
  <si>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</si>
  <si>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</si>
  <si>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</si>
  <si>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</si>
  <si>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</si>
  <si>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</si>
  <si>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</si>
  <si>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</si>
  <si>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</si>
  <si>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</si>
  <si>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</si>
  <si>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</si>
  <si>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</si>
  <si>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</si>
  <si>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</si>
  <si>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</si>
  <si>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</si>
  <si>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</si>
  <si>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</si>
  <si>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</si>
  <si>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</si>
  <si>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</si>
  <si>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</si>
  <si>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</si>
  <si>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</si>
  <si>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</si>
  <si>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</si>
  <si>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</si>
  <si>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</si>
  <si>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</si>
  <si>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</si>
  <si>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</si>
  <si>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</si>
  <si>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</si>
  <si>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</si>
  <si>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</si>
  <si>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</si>
  <si>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</si>
  <si>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</si>
  <si>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</si>
  <si>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</si>
  <si>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</si>
  <si>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</si>
  <si>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</si>
  <si>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</si>
  <si>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</si>
  <si>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</si>
  <si>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</si>
  <si>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</si>
  <si>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</si>
  <si>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</si>
  <si>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</si>
  <si>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</si>
  <si>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</si>
  <si>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</si>
  <si>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</si>
  <si>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</si>
  <si>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</si>
  <si>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</si>
  <si>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</si>
  <si>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</si>
  <si>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</si>
  <si>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</si>
  <si>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</si>
  <si>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</si>
  <si>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</si>
  <si>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</si>
  <si>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</si>
  <si>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</si>
  <si>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</si>
  <si>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</si>
  <si>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</si>
  <si>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</si>
  <si>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</si>
  <si>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</si>
  <si>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</si>
  <si>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</si>
  <si>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</si>
  <si>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</si>
  <si>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</si>
  <si>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</si>
  <si>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</si>
  <si>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</si>
  <si>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</si>
  <si>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</si>
  <si>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</si>
  <si>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</si>
  <si>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</si>
  <si>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</si>
  <si>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</si>
  <si>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</si>
  <si>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</si>
  <si>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</si>
  <si>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</si>
  <si>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</si>
  <si>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</si>
  <si>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</si>
  <si>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</si>
  <si>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</si>
  <si>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</si>
  <si>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</si>
  <si>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</si>
  <si>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</si>
  <si>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</si>
  <si>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</si>
  <si>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</si>
  <si>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</si>
  <si>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</si>
  <si>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</si>
  <si>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</si>
  <si>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</si>
  <si>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</si>
  <si>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</si>
  <si>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</si>
  <si>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</si>
  <si>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</si>
  <si>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</si>
  <si>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</si>
  <si>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</si>
  <si>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</si>
  <si>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</si>
  <si>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</si>
  <si>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</si>
  <si>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</si>
  <si>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</si>
  <si>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</si>
  <si>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</si>
  <si>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</si>
  <si>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</si>
  <si>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</si>
  <si>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</si>
  <si>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</si>
  <si>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</si>
  <si>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</si>
  <si>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</si>
  <si>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</si>
  <si>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</si>
  <si>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</si>
  <si>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</si>
  <si>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</si>
  <si>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</si>
  <si>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</si>
  <si>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</si>
  <si>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</si>
  <si>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</si>
  <si>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</si>
  <si>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</si>
  <si>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</si>
  <si>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</si>
  <si>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</si>
  <si>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</si>
  <si>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</si>
  <si>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</si>
  <si>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</si>
  <si>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</si>
  <si>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</si>
  <si>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</si>
  <si>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</si>
  <si>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</si>
  <si>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</si>
  <si>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</si>
  <si>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</si>
  <si>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</si>
  <si>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</si>
  <si>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</si>
  <si>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</si>
  <si>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</si>
  <si>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</si>
  <si>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</si>
  <si>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</si>
  <si>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</si>
  <si>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</si>
  <si>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</si>
  <si>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</si>
  <si>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</si>
  <si>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</si>
  <si>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</si>
  <si>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</si>
  <si>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</si>
  <si>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</si>
  <si>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</si>
  <si>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</si>
  <si>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</si>
  <si>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</si>
  <si>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</si>
  <si>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</si>
  <si>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</si>
  <si>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</si>
  <si>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</si>
  <si>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</si>
  <si>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</si>
  <si>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</si>
  <si>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</si>
  <si>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</si>
  <si>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</si>
  <si>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</si>
  <si>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</si>
  <si>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</si>
  <si>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</si>
  <si>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</si>
  <si>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</si>
  <si>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</si>
  <si>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</si>
  <si>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</si>
  <si>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</si>
  <si>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</si>
  <si>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</si>
  <si>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</si>
  <si>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</si>
  <si>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</si>
  <si>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</si>
  <si>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</si>
  <si>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</si>
  <si>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</si>
  <si>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</si>
  <si>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</si>
  <si>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</si>
  <si>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</si>
  <si>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</si>
  <si>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</si>
  <si>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</si>
  <si>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</si>
  <si>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</si>
  <si>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</si>
  <si>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</si>
  <si>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</si>
  <si>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</si>
  <si>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</si>
  <si>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</si>
  <si>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</si>
  <si>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</si>
  <si>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</si>
  <si>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</si>
  <si>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</si>
  <si>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</si>
  <si>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</si>
  <si>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</si>
  <si>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</si>
  <si>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</si>
  <si>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</si>
  <si>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</si>
  <si>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</si>
  <si>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</si>
  <si>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</si>
  <si>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</si>
  <si>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</si>
  <si>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</si>
  <si>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</si>
  <si>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</si>
  <si>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</si>
  <si>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</si>
  <si>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</si>
  <si>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</si>
  <si>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</si>
  <si>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</si>
  <si>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</si>
  <si>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</si>
  <si>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</si>
  <si>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</si>
  <si>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</si>
  <si>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</si>
  <si>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</si>
  <si>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</si>
  <si>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</si>
  <si>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</si>
  <si>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</si>
  <si>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</si>
  <si>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</si>
  <si>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</si>
  <si>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</si>
  <si>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</si>
  <si>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</si>
  <si>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</si>
  <si>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</si>
  <si>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</si>
  <si>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</si>
  <si>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</si>
  <si>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</si>
  <si>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</si>
  <si>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</si>
  <si>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</si>
  <si>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</si>
  <si>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</si>
  <si>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</si>
  <si>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</si>
  <si>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</si>
  <si>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</si>
  <si>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</si>
  <si>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</si>
  <si>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</si>
  <si>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</si>
  <si>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</si>
  <si>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</si>
  <si>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</si>
  <si>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</si>
  <si>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</si>
  <si>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</si>
  <si>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</si>
  <si>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</si>
  <si>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</si>
  <si>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</si>
  <si>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</si>
  <si>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</si>
  <si>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</si>
  <si>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</si>
  <si>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</si>
  <si>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</si>
  <si>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</si>
  <si>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</si>
  <si>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</si>
  <si>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</si>
  <si>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</si>
  <si>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</si>
  <si>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</si>
  <si>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</si>
  <si>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</si>
  <si>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</si>
  <si>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</si>
  <si>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</si>
  <si>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</si>
  <si>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</si>
  <si>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</si>
  <si>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</si>
  <si>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</si>
  <si>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</si>
  <si>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</si>
  <si>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</si>
  <si>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</si>
  <si>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</si>
  <si>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</si>
  <si>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</si>
  <si>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</si>
  <si>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</si>
  <si>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</si>
  <si>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</si>
  <si>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</si>
  <si>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</si>
  <si>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</si>
  <si>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</si>
  <si>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</si>
  <si>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</si>
  <si>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</si>
  <si>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</si>
  <si>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</si>
  <si>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</si>
  <si>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</si>
  <si>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</si>
  <si>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</si>
  <si>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</si>
  <si>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</si>
  <si>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</si>
  <si>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</si>
  <si>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</si>
  <si>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</si>
  <si>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</si>
  <si>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</si>
  <si>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</si>
  <si>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</si>
  <si>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</si>
  <si>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</si>
  <si>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</si>
  <si>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</si>
  <si>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</si>
  <si>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</si>
  <si>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</si>
  <si>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</si>
  <si>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</si>
  <si>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</si>
  <si>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</si>
  <si>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</si>
  <si>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</si>
  <si>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</si>
  <si>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</si>
  <si>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</si>
  <si>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</si>
  <si>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</si>
  <si>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</si>
  <si>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</si>
  <si>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</si>
  <si>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</si>
  <si>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</si>
  <si>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</si>
  <si>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</si>
  <si>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</si>
  <si>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</si>
  <si>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</si>
  <si>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</si>
  <si>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</si>
  <si>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</si>
  <si>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</si>
  <si>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</si>
  <si>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</si>
  <si>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</si>
  <si>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</si>
  <si>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</si>
  <si>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</si>
  <si>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</si>
  <si>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</si>
  <si>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</si>
  <si>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</si>
  <si>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</si>
  <si>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</si>
  <si>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</si>
  <si>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</si>
  <si>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</si>
  <si>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</si>
  <si>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</si>
  <si>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</si>
  <si>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</si>
  <si>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</si>
  <si>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</si>
  <si>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</si>
  <si>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</si>
  <si>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</si>
  <si>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</si>
  <si>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</si>
  <si>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</si>
  <si>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</si>
  <si>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</si>
  <si>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</si>
  <si>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</si>
  <si>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</si>
  <si>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</si>
  <si>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</si>
  <si>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</si>
  <si>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</si>
  <si>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</si>
  <si>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</si>
  <si>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</si>
  <si>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</si>
  <si>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</si>
  <si>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</si>
  <si>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</si>
  <si>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</si>
  <si>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</si>
  <si>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</si>
  <si>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</si>
  <si>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</si>
  <si>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</si>
  <si>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</si>
  <si>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</si>
  <si>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</si>
  <si>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</si>
  <si>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</si>
  <si>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</si>
  <si>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</si>
  <si>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</si>
  <si>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</si>
  <si>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</si>
  <si>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</si>
  <si>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</si>
  <si>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</si>
  <si>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</si>
  <si>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</si>
  <si>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</si>
  <si>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</si>
  <si>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</si>
  <si>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</si>
  <si>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</si>
  <si>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</si>
  <si>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</si>
  <si>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</si>
  <si>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</si>
  <si>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</si>
  <si>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</si>
  <si>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</si>
  <si>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</si>
  <si>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</si>
  <si>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</si>
  <si>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</si>
  <si>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</si>
  <si>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</si>
  <si>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</si>
  <si>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</si>
  <si>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</si>
  <si>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</si>
  <si>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</si>
  <si>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</si>
  <si>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</si>
  <si>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</si>
  <si>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</si>
  <si>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</si>
  <si>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</si>
  <si>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</si>
  <si>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</si>
  <si>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</si>
  <si>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</si>
  <si>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</si>
  <si>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</si>
  <si>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</si>
  <si>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</si>
  <si>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</si>
  <si>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</si>
  <si>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</si>
  <si>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</si>
  <si>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</si>
  <si>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</si>
  <si>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</si>
  <si>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</si>
  <si>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</si>
  <si>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</si>
  <si>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</si>
  <si>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</si>
  <si>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</si>
  <si>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</si>
  <si>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</si>
  <si>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</si>
  <si>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</si>
  <si>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</si>
  <si>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</si>
  <si>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</si>
  <si>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</si>
  <si>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</si>
  <si>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</si>
  <si>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</si>
  <si>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</si>
  <si>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</si>
  <si>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</si>
  <si>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</si>
  <si>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</si>
  <si>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</si>
  <si>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</si>
  <si>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</si>
  <si>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</si>
  <si>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</si>
  <si>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</si>
  <si>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</si>
  <si>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</si>
  <si>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</si>
  <si>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</si>
  <si>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</si>
  <si>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</si>
  <si>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</si>
  <si>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</si>
  <si>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</si>
  <si>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</si>
  <si>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</si>
  <si>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</si>
  <si>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</si>
  <si>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</si>
  <si>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</si>
  <si>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</si>
  <si>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</si>
  <si>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</si>
  <si>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</si>
  <si>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</si>
  <si>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</si>
  <si>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</si>
  <si>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</si>
  <si>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</si>
  <si>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</si>
  <si>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</si>
  <si>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</si>
  <si>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</si>
  <si>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</si>
  <si>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</si>
  <si>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</si>
  <si>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</si>
  <si>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</si>
  <si>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</si>
  <si>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</si>
  <si>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</si>
  <si>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</si>
  <si>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</si>
  <si>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</si>
  <si>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</si>
  <si>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</si>
  <si>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</si>
  <si>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</si>
  <si>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</si>
  <si>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</si>
  <si>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</si>
  <si>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</si>
  <si>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</si>
  <si>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</si>
  <si>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</si>
  <si>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</si>
  <si>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</si>
  <si>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</si>
  <si>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</si>
  <si>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</si>
  <si>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</si>
  <si>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</si>
  <si>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</si>
  <si>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</si>
  <si>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</si>
  <si>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</si>
  <si>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</si>
  <si>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</si>
  <si>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</si>
  <si>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</si>
  <si>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</si>
  <si>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</si>
  <si>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</si>
  <si>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</si>
  <si>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</si>
  <si>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</si>
  <si>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</si>
  <si>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</si>
  <si>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</si>
  <si>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</si>
  <si>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</si>
  <si>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</si>
  <si>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</si>
  <si>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</si>
  <si>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</si>
  <si>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</si>
  <si>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</si>
  <si>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</si>
  <si>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</si>
  <si>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</si>
  <si>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</si>
  <si>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</si>
  <si>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</si>
  <si>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</si>
  <si>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</si>
  <si>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</si>
  <si>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</si>
  <si>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</si>
  <si>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</si>
  <si>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</si>
  <si>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</si>
  <si>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</si>
  <si>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</si>
  <si>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</si>
  <si>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</si>
  <si>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</si>
  <si>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</si>
  <si>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</si>
  <si>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</si>
  <si>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</si>
  <si>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</si>
  <si>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</si>
  <si>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</si>
  <si>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</si>
  <si>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</si>
  <si>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</si>
  <si>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</si>
  <si>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</si>
  <si>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</si>
  <si>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</si>
  <si>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</si>
  <si>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</si>
  <si>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</si>
  <si>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</si>
  <si>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</si>
  <si>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</si>
  <si>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</si>
  <si>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</si>
  <si>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</si>
  <si>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</si>
  <si>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</si>
  <si>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</si>
  <si>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</si>
  <si>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</si>
  <si>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</si>
  <si>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</si>
  <si>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</si>
  <si>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</si>
  <si>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</si>
  <si>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</si>
  <si>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</si>
  <si>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</si>
  <si>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</si>
  <si>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</si>
  <si>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</si>
  <si>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</si>
  <si>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</si>
  <si>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</si>
  <si>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</si>
  <si>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</si>
  <si>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</si>
  <si>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</si>
  <si>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</si>
  <si>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</si>
  <si>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</si>
  <si>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</si>
  <si>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</si>
  <si>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</si>
  <si>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</si>
  <si>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</si>
  <si>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</si>
  <si>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</si>
  <si>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</si>
  <si>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</si>
  <si>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</si>
  <si>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</si>
  <si>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</si>
  <si>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</si>
  <si>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</si>
  <si>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</si>
  <si>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</si>
  <si>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</si>
  <si>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</si>
  <si>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</si>
  <si>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</si>
  <si>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</si>
  <si>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</si>
  <si>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</si>
  <si>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</si>
  <si>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</si>
  <si>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</si>
  <si>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</si>
  <si>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</si>
  <si>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</si>
  <si>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</si>
  <si>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</si>
  <si>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</si>
  <si>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</si>
  <si>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</si>
  <si>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</si>
  <si>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</si>
  <si>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</si>
  <si>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</si>
  <si>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</si>
  <si>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</si>
  <si>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</si>
  <si>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</si>
  <si>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</si>
  <si>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</si>
  <si>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</si>
  <si>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</si>
  <si>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</si>
  <si>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</si>
  <si>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</si>
  <si>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</si>
  <si>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</si>
  <si>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</si>
  <si>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</si>
  <si>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</si>
  <si>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</si>
  <si>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</si>
  <si>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</si>
  <si>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</si>
  <si>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</si>
  <si>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</si>
  <si>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</si>
  <si>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</si>
  <si>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</si>
  <si>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</si>
  <si>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</si>
  <si>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</si>
  <si>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</si>
  <si>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</si>
  <si>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</si>
  <si>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</si>
  <si>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</si>
  <si>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</si>
  <si>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</si>
  <si>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</si>
  <si>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</si>
  <si>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</si>
  <si>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</si>
  <si>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</si>
  <si>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</si>
  <si>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</si>
  <si>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</si>
  <si>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</si>
  <si>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</si>
  <si>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</si>
  <si>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</si>
  <si>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</si>
  <si>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</si>
  <si>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</si>
  <si>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</si>
  <si>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</si>
  <si>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</si>
  <si>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</si>
  <si>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</si>
  <si>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</si>
  <si>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</si>
  <si>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</si>
  <si>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</si>
  <si>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</si>
  <si>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</si>
  <si>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</si>
  <si>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</si>
  <si>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</si>
  <si>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</si>
  <si>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</si>
  <si>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</si>
  <si>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</si>
  <si>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</si>
  <si>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</si>
  <si>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</si>
  <si>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</si>
  <si>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</si>
  <si>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</si>
  <si>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</si>
  <si>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</si>
  <si>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</si>
  <si>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</si>
  <si>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</si>
  <si>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</si>
  <si>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</si>
  <si>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</si>
  <si>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</si>
  <si>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</si>
  <si>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</si>
  <si>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</si>
  <si>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</si>
  <si>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</si>
  <si>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</si>
  <si>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</si>
  <si>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</si>
  <si>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</si>
  <si>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</si>
  <si>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</si>
  <si>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</si>
  <si>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</si>
  <si>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</si>
  <si>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</si>
  <si>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</si>
  <si>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</si>
  <si>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</si>
  <si>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</si>
  <si>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</si>
  <si>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</si>
  <si>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</si>
  <si>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</si>
  <si>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</si>
  <si>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</si>
  <si>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</si>
  <si>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</si>
  <si>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</si>
  <si>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</si>
  <si>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</si>
  <si>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</si>
  <si>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</si>
  <si>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</si>
  <si>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</si>
  <si>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</si>
  <si>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</si>
  <si>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</si>
  <si>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</si>
  <si>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</si>
  <si>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</si>
  <si>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</si>
  <si>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</si>
  <si>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</si>
  <si>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</si>
  <si>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</si>
  <si>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</si>
  <si>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</si>
  <si>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</si>
  <si>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</si>
  <si>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</si>
  <si>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</si>
  <si>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</si>
  <si>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</si>
  <si>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</si>
  <si>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</si>
  <si>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</si>
  <si>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</si>
  <si>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</si>
  <si>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</si>
  <si>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</si>
  <si>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</si>
  <si>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</si>
  <si>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</si>
  <si>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</si>
  <si>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</si>
  <si>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</si>
  <si>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</si>
  <si>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</si>
  <si>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</si>
  <si>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</si>
  <si>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</si>
  <si>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</si>
  <si>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</si>
  <si>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</si>
  <si>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</si>
  <si>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</si>
  <si>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</si>
  <si>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</si>
  <si>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</si>
  <si>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</si>
  <si>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</si>
  <si>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</si>
  <si>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</si>
  <si>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</si>
  <si>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</si>
  <si>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</si>
  <si>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</si>
  <si>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</si>
  <si>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</si>
  <si>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</si>
  <si>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</si>
  <si>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</si>
  <si>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</si>
  <si>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</si>
  <si>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</si>
  <si>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</si>
  <si>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</si>
  <si>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</si>
  <si>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</si>
  <si>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</si>
  <si>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</si>
  <si>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</si>
  <si>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</si>
  <si>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</si>
  <si>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</si>
  <si>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</si>
  <si>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</si>
  <si>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</si>
  <si>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</si>
  <si>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</si>
  <si>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</si>
  <si>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</si>
  <si>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</si>
  <si>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</si>
  <si>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</si>
  <si>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</si>
  <si>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</si>
  <si>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</si>
  <si>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</si>
  <si>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</si>
  <si>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</si>
  <si>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</si>
  <si>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</si>
  <si>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</si>
  <si>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</si>
  <si>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</si>
  <si>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</si>
  <si>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</si>
  <si>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</si>
  <si>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</si>
  <si>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</si>
  <si>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</si>
  <si>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</si>
  <si>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</si>
  <si>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</si>
  <si>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</si>
  <si>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</si>
  <si>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</si>
  <si>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</si>
  <si>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</si>
  <si>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</si>
  <si>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</si>
  <si>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</si>
  <si>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</si>
  <si>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</si>
  <si>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</si>
  <si>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</si>
  <si>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</si>
  <si>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</si>
  <si>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</si>
  <si>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</si>
  <si>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</si>
  <si>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</si>
  <si>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</si>
  <si>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</si>
  <si>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</si>
  <si>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</si>
  <si>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</si>
  <si>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</si>
  <si>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</si>
  <si>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</si>
  <si>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</si>
  <si>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</si>
  <si>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</si>
  <si>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</si>
  <si>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</si>
  <si>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</si>
  <si>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</si>
  <si>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</si>
  <si>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</si>
  <si>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</si>
  <si>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</si>
  <si>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</si>
  <si>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</si>
  <si>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</si>
  <si>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</si>
  <si>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</si>
  <si>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</si>
  <si>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</si>
  <si>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</si>
  <si>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</si>
  <si>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</si>
  <si>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</si>
  <si>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</si>
  <si>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</si>
  <si>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</si>
  <si>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</si>
  <si>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</si>
  <si>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</si>
  <si>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</si>
  <si>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</si>
  <si>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</si>
  <si>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</si>
  <si>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</si>
  <si>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</si>
  <si>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</si>
  <si>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</si>
  <si>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</si>
  <si>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</si>
  <si>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</si>
  <si>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</si>
  <si>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</si>
  <si>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</si>
  <si>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</si>
  <si>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</si>
  <si>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</si>
  <si>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</si>
  <si>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</si>
  <si>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</si>
  <si>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</si>
  <si>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</si>
  <si>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</si>
  <si>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</si>
  <si>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</si>
  <si>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</si>
  <si>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</si>
  <si>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</si>
  <si>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</si>
  <si>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</si>
  <si>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</si>
  <si>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</si>
  <si>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</si>
  <si>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</si>
  <si>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</si>
  <si>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</si>
  <si>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</si>
  <si>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</si>
  <si>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</si>
  <si>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</si>
  <si>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</si>
  <si>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</si>
  <si>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</si>
  <si>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</si>
  <si>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</si>
  <si>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</si>
  <si>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</si>
  <si>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</si>
  <si>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</si>
  <si>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</si>
  <si>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</si>
  <si>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</si>
  <si>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</si>
  <si>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</si>
  <si>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</si>
  <si>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</si>
  <si>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</si>
  <si>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</si>
  <si>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</si>
  <si>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</si>
  <si>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</si>
  <si>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</si>
  <si>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</si>
  <si>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</si>
  <si>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</si>
  <si>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</si>
  <si>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</si>
  <si>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</si>
  <si>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</si>
  <si>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</si>
  <si>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</si>
  <si>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</si>
  <si>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</si>
  <si>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</si>
  <si>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</si>
  <si>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</si>
  <si>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</si>
  <si>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</si>
  <si>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</si>
  <si>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</si>
  <si>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</si>
  <si>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</si>
  <si>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</si>
  <si>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</si>
  <si>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</si>
  <si>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</si>
  <si>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</si>
  <si>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</si>
  <si>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</si>
  <si>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</si>
  <si>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</si>
  <si>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</si>
  <si>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</si>
  <si>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</si>
  <si>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</si>
  <si>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</si>
  <si>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</si>
  <si>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</si>
  <si>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</si>
  <si>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</si>
  <si>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</si>
  <si>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</si>
  <si>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</si>
  <si>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</si>
  <si>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</si>
  <si>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</si>
  <si>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</si>
  <si>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</si>
  <si>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</si>
  <si>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</si>
  <si>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</si>
  <si>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</si>
  <si>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</si>
  <si>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</si>
  <si>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</si>
  <si>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</si>
  <si>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</si>
  <si>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</si>
  <si>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</si>
  <si>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</si>
  <si>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</si>
  <si>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</si>
  <si>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</si>
  <si>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</si>
  <si>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</si>
  <si>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</si>
  <si>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</si>
  <si>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</si>
  <si>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</si>
  <si>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</si>
  <si>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</si>
  <si>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</si>
  <si>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</si>
  <si>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</si>
  <si>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</si>
  <si>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</si>
  <si>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</si>
  <si>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</si>
  <si>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</si>
  <si>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</si>
  <si>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</si>
  <si>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</si>
  <si>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</si>
  <si>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</si>
  <si>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</si>
  <si>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</si>
  <si>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</si>
  <si>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</si>
  <si>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</si>
  <si>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</si>
  <si>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</si>
  <si>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</si>
  <si>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</si>
  <si>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</si>
  <si>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</si>
  <si>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</si>
  <si>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</si>
  <si>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</si>
  <si>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</si>
  <si>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</si>
  <si>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</si>
  <si>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</si>
  <si>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</si>
  <si>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</si>
  <si>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</si>
  <si>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</si>
  <si>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</si>
  <si>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</si>
  <si>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</si>
  <si>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</si>
  <si>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</si>
  <si>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</si>
  <si>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</si>
  <si>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</si>
  <si>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</si>
  <si>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</si>
  <si>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</si>
  <si>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</si>
  <si>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</si>
  <si>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</si>
  <si>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</si>
  <si>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</si>
  <si>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</si>
  <si>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</si>
  <si>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</si>
  <si>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</si>
  <si>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</si>
  <si>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</si>
  <si>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</si>
  <si>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</si>
  <si>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</si>
  <si>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</si>
  <si>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</si>
  <si>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</si>
  <si>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</si>
  <si>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</si>
  <si>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</si>
  <si>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</si>
  <si>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</si>
  <si>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</si>
  <si>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</si>
  <si>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</si>
  <si>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</si>
  <si>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</si>
  <si>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</si>
  <si>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</si>
  <si>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</si>
  <si>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</si>
  <si>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</si>
  <si>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</si>
  <si>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</si>
  <si>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</si>
  <si>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</si>
  <si>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</si>
  <si>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</si>
  <si>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</si>
  <si>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</si>
  <si>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</si>
  <si>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</si>
  <si>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</si>
  <si>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</si>
  <si>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</si>
  <si>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</si>
  <si>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</si>
  <si>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</si>
  <si>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</si>
  <si>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</si>
  <si>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</si>
  <si>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</si>
  <si>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</si>
  <si>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</si>
  <si>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</si>
  <si>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</si>
  <si>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</si>
  <si>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</si>
  <si>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</si>
  <si>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</si>
  <si>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</si>
  <si>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</si>
  <si>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</si>
  <si>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</si>
  <si>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</si>
  <si>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</si>
  <si>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</si>
  <si>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</si>
  <si>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</si>
  <si>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</si>
  <si>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</si>
  <si>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</si>
  <si>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</si>
  <si>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</si>
  <si>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</si>
  <si>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</si>
  <si>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</si>
  <si>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</si>
  <si>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</si>
  <si>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</si>
  <si>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</si>
  <si>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</si>
  <si>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</si>
  <si>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</si>
  <si>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</si>
  <si>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</si>
  <si>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</si>
  <si>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</si>
  <si>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</si>
  <si>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</si>
  <si>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</si>
  <si>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</si>
  <si>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</si>
  <si>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</si>
  <si>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</si>
  <si>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</si>
  <si>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</si>
  <si>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</si>
  <si>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</si>
  <si>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</si>
  <si>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</si>
  <si>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</si>
  <si>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</si>
  <si>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</si>
  <si>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</si>
  <si>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</si>
  <si>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</si>
  <si>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</si>
  <si>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</si>
  <si>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</si>
  <si>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</si>
  <si>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</si>
  <si>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</si>
  <si>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</si>
  <si>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</si>
  <si>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</si>
  <si>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</si>
  <si>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</si>
  <si>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</si>
  <si>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</si>
  <si>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</si>
  <si>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</si>
  <si>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</si>
  <si>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</si>
  <si>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</si>
  <si>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</si>
  <si>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</si>
  <si>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</si>
  <si>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</si>
  <si>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</si>
  <si>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</si>
  <si>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</si>
  <si>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</si>
  <si>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</si>
  <si>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</si>
  <si>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</si>
  <si>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</si>
  <si>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X</t>
  </si>
  <si>
    <t>Randolph</t>
  </si>
  <si>
    <t xml:space="preserve">Red Bud </t>
  </si>
  <si>
    <t xml:space="preserve">6137 Beck Road </t>
  </si>
  <si>
    <t xml:space="preserve">Scheffel Boyle </t>
  </si>
  <si>
    <t>Dale Holtmann</t>
  </si>
  <si>
    <t xml:space="preserve">222 East Main Street </t>
  </si>
  <si>
    <t xml:space="preserve">Belleville </t>
  </si>
  <si>
    <t xml:space="preserve">IL </t>
  </si>
  <si>
    <t>618-277-8100</t>
  </si>
  <si>
    <t>618-277-9307</t>
  </si>
  <si>
    <t>065-026956</t>
  </si>
  <si>
    <t>9/30/20221</t>
  </si>
  <si>
    <t>dale.holtmann@scheffelboyle.com</t>
  </si>
  <si>
    <t>Mark Stuart</t>
  </si>
  <si>
    <t>mstuart@gotoccsi.org</t>
  </si>
  <si>
    <t>618-473-2222</t>
  </si>
  <si>
    <t>618-473-2292</t>
  </si>
  <si>
    <t xml:space="preserve">Kelton Davis </t>
  </si>
  <si>
    <t>kdavis@roe45.org</t>
  </si>
  <si>
    <t>618-939-5650</t>
  </si>
  <si>
    <t>618-939-5332</t>
  </si>
  <si>
    <t xml:space="preserve">Funding </t>
  </si>
  <si>
    <t xml:space="preserve">Chester School District </t>
  </si>
  <si>
    <t xml:space="preserve">Chester School District, Columbia CUSD #4, Con't below  </t>
  </si>
  <si>
    <t xml:space="preserve">Line 30 Transportation-  New Athens School District, Red Bud School District, Sparta School District, Valmeyer School District, and Waterloo School District. </t>
  </si>
  <si>
    <t xml:space="preserve">Line 31 Vocational Education Cooperatives- Dupo School District, Marissa School District, Freeburg School District, New Athens School District, Red Bud School District, Sparta School District, Steelville School District, </t>
  </si>
  <si>
    <t xml:space="preserve">                                                                            Valmeyer School District, Waterloo School District </t>
  </si>
  <si>
    <t>U.S. Department of Agriculture</t>
  </si>
  <si>
    <t>Passed Through IL State Board of Education (ISBE):</t>
  </si>
  <si>
    <t xml:space="preserve">   National School Breakfast</t>
  </si>
  <si>
    <t xml:space="preserve">   National School Lunch</t>
  </si>
  <si>
    <t xml:space="preserve">   National School Lunch </t>
  </si>
  <si>
    <t xml:space="preserve">   Commodity Credit</t>
  </si>
  <si>
    <t>19-4220</t>
  </si>
  <si>
    <t>18-4220</t>
  </si>
  <si>
    <t>17-4220</t>
  </si>
  <si>
    <t>19-4210</t>
  </si>
  <si>
    <t>18-4210</t>
  </si>
  <si>
    <t>17-4210</t>
  </si>
  <si>
    <t>18-4250</t>
  </si>
  <si>
    <t>17-4250</t>
  </si>
  <si>
    <t>N/A</t>
  </si>
  <si>
    <t>Total U.S. Department of Agriculture</t>
  </si>
  <si>
    <t xml:space="preserve">U.S. Department of Labor </t>
  </si>
  <si>
    <t>Passed Through St. Clair County Intergovernmental Grant Office:</t>
  </si>
  <si>
    <t xml:space="preserve">   W.I.A Funds</t>
  </si>
  <si>
    <t xml:space="preserve">   W.I.A Refunds</t>
  </si>
  <si>
    <t xml:space="preserve">Passed Through Madison County Employment and Training Department </t>
  </si>
  <si>
    <t xml:space="preserve">Total U.S. Department of Labor </t>
  </si>
  <si>
    <t>U.S. Deaprtment of Education</t>
  </si>
  <si>
    <t>Passed Through Illinois State Board of Education and Okaw Regional Vocational System:</t>
  </si>
  <si>
    <t xml:space="preserve">   Carl Perkins Title IIC</t>
  </si>
  <si>
    <t>Total Pass Through</t>
  </si>
  <si>
    <t xml:space="preserve">Direct </t>
  </si>
  <si>
    <t>Student Financial Assistance Cluster</t>
  </si>
  <si>
    <t>Pell Grants (M)</t>
  </si>
  <si>
    <t>Direct Student Loan (M)</t>
  </si>
  <si>
    <t xml:space="preserve">Total Student Finanical Assistance Cluster: </t>
  </si>
  <si>
    <t xml:space="preserve">Total Direct </t>
  </si>
  <si>
    <t>Total U.S. Department of Education</t>
  </si>
  <si>
    <t>TOTAL FEDERAL AWARDS</t>
  </si>
  <si>
    <r>
      <t xml:space="preserve">The accompanying Schedule of Expenditures of Federal Awards includes the federal grant activity of Career Center of Southern Illinois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</si>
  <si>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t>Refunds included on the SEFA and confirmed with passthrough agencies</t>
  </si>
  <si>
    <t xml:space="preserve">Unmodified </t>
  </si>
  <si>
    <t>Unmodified</t>
  </si>
  <si>
    <t xml:space="preserve">Pell Grant </t>
  </si>
  <si>
    <t xml:space="preserve">Direct Student Loans </t>
  </si>
  <si>
    <t>Education‐Board of Education‐Audit</t>
  </si>
  <si>
    <t>Scheffel Boyle</t>
  </si>
  <si>
    <t>Education‐Board of Ed Prof services</t>
  </si>
  <si>
    <t>Waterloo ROE #45</t>
  </si>
  <si>
    <t xml:space="preserve">Education‐Building Maintenance‐Building contractual  </t>
  </si>
  <si>
    <t>Crown Linen Service</t>
  </si>
  <si>
    <t>LPN Contractual</t>
  </si>
  <si>
    <t>Advanced Database Solutions</t>
  </si>
  <si>
    <t>LPN Contractual - Financial Aid</t>
  </si>
  <si>
    <t>Campus Ivy</t>
  </si>
  <si>
    <t>OEP Copier Lease</t>
  </si>
  <si>
    <t>Coast to Coast Equipment</t>
  </si>
  <si>
    <t>Bus Transportation</t>
  </si>
  <si>
    <t>Zweigert Bus Company</t>
  </si>
  <si>
    <t>Red Bud School District</t>
  </si>
  <si>
    <t>Page 15/Fund 10/Line 74/Acct1690 - $7306 Food Services</t>
  </si>
  <si>
    <t>Page 15/Fund 10/Line 87/Acct 1819 - $2,475 (Opt Ed- Rentals $1855, CNA Textbook- $620)</t>
  </si>
  <si>
    <t>Page 15/Fund 10/Line 107/Acct 1999 - $1,761 ( Other Revenue $1761)</t>
  </si>
  <si>
    <t>Page 18/Fund 10/ Line 197/Acct 4299 – $2,826 non-cash commodity credit</t>
  </si>
  <si>
    <t>value of commodities is included in account summary and listed seperately</t>
  </si>
  <si>
    <t>Annlfncl19^</t>
  </si>
  <si>
    <t>10‐2300-300</t>
  </si>
  <si>
    <t xml:space="preserve">10‐2300-300 </t>
  </si>
  <si>
    <t>10‐2540‐300</t>
  </si>
  <si>
    <t>10-1000-300</t>
  </si>
  <si>
    <t>40-2550-300</t>
  </si>
  <si>
    <t>Page 40 / Audit Checklist / Line 24 / The District does not have any deferred revenues or late payments.</t>
  </si>
  <si>
    <t>Career Center of Southern 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</si>
</sst>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1" fillId="0" borderId="0"/>
    <xf numFmtId="0" fontId="1" fillId="0" borderId="0"/>
    <xf numFmtId="0" fontId="1" fillId="0" borderId="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0" fillId="0" borderId="157" xfId="17" applyFont="1" applyBorder="1" applyAlignment="1" applyProtection="1">
      <alignment horizontal="left" vertical="top" wrapText="1"/>
      <protection locked="0"/>
    </xf>
    <xf numFmtId="0" fontId="0" fillId="0" borderId="157" xfId="17" applyFont="1" applyBorder="1" applyAlignment="1" applyProtection="1">
      <alignment vertical="top"/>
      <protection locked="0"/>
    </xf>
    <xf numFmtId="49" fontId="0" fillId="0" borderId="157" xfId="17" applyNumberFormat="1" applyFont="1" applyBorder="1" applyAlignment="1" applyProtection="1">
      <alignment horizontal="center" vertical="top"/>
      <protection locked="0"/>
    </xf>
    <xf numFmtId="0" fontId="56" fillId="0" borderId="0" xfId="3" applyFont="1"/>
    <xf numFmtId="0" fontId="44" fillId="0" borderId="0" xfId="0" applyFont="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8000000}"/>
    <cellStyle name="Normal 3 2 3" xfId="20" xr:uid="{00000000-0005-0000-0000-000009000000}"/>
    <cellStyle name="Normal 3 3" xfId="19" xr:uid="{00000000-0005-0000-0000-00000A000000}"/>
    <cellStyle name="Normal 4" xfId="16" xr:uid="{00000000-0005-0000-0000-00000B000000}"/>
    <cellStyle name="Normal 4 2" xfId="21" xr:uid="{00000000-0005-0000-0000-00000C000000}"/>
    <cellStyle name="Normal 5" xfId="17" xr:uid="{00000000-0005-0000-0000-00000D000000}"/>
    <cellStyle name="Normal 5 2" xfId="22" xr:uid="{00000000-0005-0000-0000-00000E000000}"/>
    <cellStyle name="Normal_AFRPG3" xfId="5" xr:uid="{00000000-0005-0000-0000-00000F000000}"/>
    <cellStyle name="Normal_AFRPG41" xfId="6" xr:uid="{00000000-0005-0000-0000-000010000000}"/>
    <cellStyle name="Normal_AFRPG47" xfId="7" xr:uid="{00000000-0005-0000-0000-000011000000}"/>
    <cellStyle name="Normal_AFRPG56" xfId="8" xr:uid="{00000000-0005-0000-0000-000012000000}"/>
    <cellStyle name="Normal_AFRPG59" xfId="9" xr:uid="{00000000-0005-0000-0000-000013000000}"/>
    <cellStyle name="Normal_AFRPG63" xfId="10" xr:uid="{00000000-0005-0000-0000-000014000000}"/>
    <cellStyle name="Normal_AFRPG64" xfId="11" xr:uid="{00000000-0005-0000-0000-000015000000}"/>
    <cellStyle name="Normal_COVER" xfId="12" xr:uid="{00000000-0005-0000-0000-000016000000}"/>
    <cellStyle name="Normal_THRESHOLD CALCULATOR v3" xfId="13"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619125</xdr:colOff>
          <xdr:row>4</xdr:row>
          <xdr:rowOff>114300</xdr:rowOff>
        </xdr:from>
        <xdr:to>
          <xdr:col>1</xdr:col>
          <xdr:colOff>1533525</xdr:colOff>
          <xdr:row>8</xdr:row>
          <xdr:rowOff>152400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4" t="s">
        <v>405</v>
      </c>
      <c r="J1" s="1985"/>
      <c r="K1" s="1985"/>
      <c r="L1" s="1985"/>
      <c r="M1" s="1985"/>
      <c r="N1" s="1985"/>
      <c r="O1" s="1985"/>
      <c r="P1" s="1985"/>
      <c r="Q1" s="1985"/>
      <c r="R1" s="1985"/>
      <c r="S1" s="1985"/>
    </row>
    <row r="2" spans="1:28" ht="12" customHeight="1" x14ac:dyDescent="0.2">
      <c r="A2" s="47" t="s">
        <v>1992</v>
      </c>
      <c r="D2" s="48"/>
      <c r="I2" s="1986" t="s">
        <v>979</v>
      </c>
      <c r="J2" s="1985"/>
      <c r="K2" s="1985"/>
      <c r="L2" s="1985"/>
      <c r="M2" s="1985"/>
      <c r="N2" s="1985"/>
      <c r="O2" s="1985"/>
      <c r="P2" s="1985"/>
      <c r="Q2" s="1985"/>
      <c r="R2" s="1985"/>
      <c r="S2" s="1985"/>
    </row>
    <row r="3" spans="1:28" ht="12" customHeight="1" x14ac:dyDescent="0.2">
      <c r="A3" s="155" t="s">
        <v>1944</v>
      </c>
      <c r="B3" s="156"/>
      <c r="C3" s="156"/>
      <c r="D3" s="157"/>
      <c r="I3" s="1986" t="s">
        <v>52</v>
      </c>
      <c r="J3" s="1985"/>
      <c r="K3" s="1985"/>
      <c r="L3" s="1985"/>
      <c r="M3" s="1985"/>
      <c r="N3" s="1985"/>
      <c r="O3" s="1985"/>
      <c r="P3" s="1985"/>
      <c r="Q3" s="1985"/>
      <c r="R3" s="1985"/>
      <c r="S3" s="1985"/>
    </row>
    <row r="4" spans="1:28" ht="12" customHeight="1" x14ac:dyDescent="0.2">
      <c r="A4" s="37"/>
      <c r="I4" s="1986" t="s">
        <v>524</v>
      </c>
      <c r="J4" s="1985"/>
      <c r="K4" s="1985"/>
      <c r="L4" s="1985"/>
      <c r="M4" s="1985"/>
      <c r="N4" s="1985"/>
      <c r="O4" s="1985"/>
      <c r="P4" s="1985"/>
      <c r="Q4" s="1985"/>
      <c r="R4" s="1985"/>
      <c r="S4" s="1985"/>
    </row>
    <row r="5" spans="1:28" ht="14.1" customHeight="1" x14ac:dyDescent="0.2">
      <c r="B5" s="104"/>
      <c r="C5" s="26" t="s">
        <v>910</v>
      </c>
      <c r="D5" s="84"/>
      <c r="E5" s="84"/>
      <c r="H5" s="38"/>
      <c r="I5" s="1994" t="s">
        <v>680</v>
      </c>
      <c r="J5" s="1993"/>
      <c r="K5" s="1993"/>
      <c r="L5" s="1993"/>
      <c r="M5" s="1993"/>
      <c r="N5" s="1993"/>
      <c r="O5" s="1993"/>
      <c r="P5" s="1993"/>
      <c r="Q5" s="1993"/>
      <c r="R5" s="1993"/>
      <c r="S5" s="1993"/>
    </row>
    <row r="6" spans="1:28" ht="14.1" customHeight="1" x14ac:dyDescent="0.2">
      <c r="B6" s="104" t="s">
        <v>2063</v>
      </c>
      <c r="C6" s="26" t="s">
        <v>911</v>
      </c>
      <c r="D6" s="84"/>
      <c r="E6" s="84"/>
      <c r="I6" s="1992" t="s">
        <v>883</v>
      </c>
      <c r="J6" s="1993"/>
      <c r="K6" s="1993"/>
      <c r="L6" s="1993"/>
      <c r="M6" s="1993"/>
      <c r="N6" s="1993"/>
      <c r="O6" s="1993"/>
      <c r="P6" s="1993"/>
      <c r="Q6" s="1993"/>
      <c r="R6" s="1993"/>
      <c r="S6" s="1993"/>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674</v>
      </c>
      <c r="J9" s="1990"/>
      <c r="K9" s="1990"/>
      <c r="L9" s="1990"/>
      <c r="M9" s="1990"/>
      <c r="N9" s="1990"/>
      <c r="O9" s="1990"/>
      <c r="P9" s="1990"/>
      <c r="Q9" s="1990"/>
      <c r="R9" s="1990"/>
      <c r="S9" s="1991"/>
      <c r="T9" s="2005" t="s">
        <v>533</v>
      </c>
      <c r="U9" s="2006"/>
      <c r="V9" s="2006"/>
      <c r="W9" s="2006"/>
      <c r="X9" s="2006"/>
      <c r="Y9" s="2006"/>
      <c r="Z9" s="2006"/>
      <c r="AA9" s="2007"/>
    </row>
    <row r="10" spans="1:28" ht="13.5" customHeight="1" x14ac:dyDescent="0.2">
      <c r="A10" s="2012" t="s">
        <v>675</v>
      </c>
      <c r="B10" s="2013"/>
      <c r="C10" s="2013"/>
      <c r="D10" s="2013"/>
      <c r="E10" s="2013"/>
      <c r="F10" s="2013"/>
      <c r="G10" s="2013"/>
      <c r="H10" s="2014"/>
      <c r="I10" s="29"/>
      <c r="J10" s="30"/>
      <c r="K10" s="28"/>
      <c r="R10" s="30"/>
      <c r="S10" s="30"/>
      <c r="T10" s="2008"/>
      <c r="U10" s="1993"/>
      <c r="V10" s="1993"/>
      <c r="W10" s="1993"/>
      <c r="X10" s="1993"/>
      <c r="Y10" s="1993"/>
      <c r="Z10" s="1993"/>
      <c r="AA10" s="1999"/>
    </row>
    <row r="11" spans="1:28" ht="14.25" customHeight="1" x14ac:dyDescent="0.2">
      <c r="A11" s="2015" t="s">
        <v>955</v>
      </c>
      <c r="B11" s="2016"/>
      <c r="C11" s="2016"/>
      <c r="D11" s="2016"/>
      <c r="E11" s="2016"/>
      <c r="F11" s="2016"/>
      <c r="G11" s="2016"/>
      <c r="H11" s="2017"/>
      <c r="I11" s="27"/>
      <c r="J11" s="74"/>
      <c r="K11" s="27"/>
      <c r="O11" s="148"/>
      <c r="P11" s="100" t="s">
        <v>201</v>
      </c>
      <c r="Q11" s="30"/>
      <c r="R11" s="28"/>
      <c r="S11" s="27"/>
      <c r="T11" s="2009"/>
      <c r="U11" s="2010"/>
      <c r="V11" s="2010"/>
      <c r="W11" s="2010"/>
      <c r="X11" s="2010"/>
      <c r="Y11" s="2010"/>
      <c r="Z11" s="2010"/>
      <c r="AA11" s="2011"/>
    </row>
    <row r="12" spans="1:28" ht="13.5" customHeight="1" x14ac:dyDescent="0.2">
      <c r="A12" s="85" t="s">
        <v>925</v>
      </c>
      <c r="B12" s="76"/>
      <c r="C12" s="76"/>
      <c r="D12" s="76"/>
      <c r="E12" s="76"/>
      <c r="F12" s="76"/>
      <c r="G12" s="76"/>
      <c r="H12" s="53"/>
      <c r="I12" s="29"/>
      <c r="J12" s="30"/>
      <c r="K12" s="28"/>
      <c r="O12" s="149" t="s">
        <v>2064</v>
      </c>
      <c r="P12" s="100" t="s">
        <v>202</v>
      </c>
      <c r="Q12" s="74"/>
      <c r="R12" s="30"/>
      <c r="S12" s="30"/>
      <c r="T12" s="85" t="s">
        <v>265</v>
      </c>
      <c r="U12" s="51"/>
      <c r="V12" s="51"/>
      <c r="W12" s="51"/>
      <c r="X12" s="51"/>
      <c r="Y12" s="45"/>
      <c r="Z12" s="45"/>
      <c r="AA12" s="46"/>
    </row>
    <row r="13" spans="1:28" ht="13.5" customHeight="1" x14ac:dyDescent="0.2">
      <c r="A13" s="2019">
        <v>45000000040</v>
      </c>
      <c r="B13" s="2020"/>
      <c r="C13" s="2020"/>
      <c r="D13" s="2020"/>
      <c r="E13" s="2020"/>
      <c r="F13" s="2020"/>
      <c r="G13" s="2020"/>
      <c r="H13" s="2021"/>
      <c r="I13" s="31"/>
      <c r="J13" s="30"/>
      <c r="K13" s="28"/>
      <c r="L13" s="30"/>
      <c r="M13" s="30"/>
      <c r="N13" s="30"/>
      <c r="O13" s="30"/>
      <c r="P13" s="30"/>
      <c r="Q13" s="30"/>
      <c r="R13" s="30"/>
      <c r="S13" s="30"/>
      <c r="T13" s="2024" t="s">
        <v>2068</v>
      </c>
      <c r="U13" s="2025"/>
      <c r="V13" s="2025"/>
      <c r="W13" s="2025"/>
      <c r="X13" s="2025"/>
      <c r="Y13" s="2026"/>
      <c r="Z13" s="2026"/>
      <c r="AA13" s="202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8" t="s">
        <v>2065</v>
      </c>
      <c r="B15" s="2022"/>
      <c r="C15" s="2022"/>
      <c r="D15" s="2022"/>
      <c r="E15" s="2022"/>
      <c r="F15" s="2022"/>
      <c r="G15" s="2022"/>
      <c r="H15" s="2023"/>
      <c r="T15" s="2028" t="s">
        <v>2069</v>
      </c>
      <c r="U15" s="1972"/>
      <c r="V15" s="1972"/>
      <c r="W15" s="1972"/>
      <c r="X15" s="1972"/>
      <c r="Y15" s="2029"/>
      <c r="Z15" s="2029"/>
      <c r="AA15" s="203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8" t="s">
        <v>2159</v>
      </c>
      <c r="B17" s="1979"/>
      <c r="C17" s="1979"/>
      <c r="D17" s="1979"/>
      <c r="E17" s="1979"/>
      <c r="F17" s="1979"/>
      <c r="G17" s="1979"/>
      <c r="H17" s="2004"/>
      <c r="T17" s="2035" t="s">
        <v>2070</v>
      </c>
      <c r="U17" s="2036"/>
      <c r="V17" s="2036"/>
      <c r="W17" s="2036"/>
      <c r="X17" s="2036"/>
      <c r="Y17" s="2036"/>
      <c r="Z17" s="2036"/>
      <c r="AA17" s="2037"/>
    </row>
    <row r="18" spans="1:27" ht="13.5" customHeight="1" x14ac:dyDescent="0.2">
      <c r="A18" s="85" t="s">
        <v>530</v>
      </c>
      <c r="B18" s="76"/>
      <c r="C18" s="72"/>
      <c r="D18" s="76"/>
      <c r="E18" s="76"/>
      <c r="F18" s="76"/>
      <c r="G18" s="76"/>
      <c r="H18" s="56"/>
      <c r="I18" s="2003" t="s">
        <v>676</v>
      </c>
      <c r="J18" s="1954"/>
      <c r="K18" s="1954"/>
      <c r="L18" s="1954"/>
      <c r="M18" s="1954"/>
      <c r="N18" s="1954"/>
      <c r="O18" s="1954"/>
      <c r="P18" s="1954"/>
      <c r="Q18" s="1954"/>
      <c r="R18" s="1954"/>
      <c r="S18" s="1955"/>
      <c r="T18" s="85" t="s">
        <v>711</v>
      </c>
      <c r="U18" s="51"/>
      <c r="V18" s="72"/>
      <c r="W18" s="50"/>
      <c r="X18" s="85" t="s">
        <v>266</v>
      </c>
      <c r="Y18" s="81"/>
      <c r="Z18" s="159" t="s">
        <v>677</v>
      </c>
      <c r="AA18" s="46"/>
    </row>
    <row r="19" spans="1:27" ht="13.5" customHeight="1" x14ac:dyDescent="0.2">
      <c r="A19" s="2018" t="s">
        <v>2067</v>
      </c>
      <c r="B19" s="1964"/>
      <c r="C19" s="1964"/>
      <c r="D19" s="1964"/>
      <c r="E19" s="1964"/>
      <c r="F19" s="1964"/>
      <c r="G19" s="1964"/>
      <c r="H19" s="1944"/>
      <c r="I19" s="30"/>
      <c r="J19" s="99"/>
      <c r="K19" s="40"/>
      <c r="L19" s="38"/>
      <c r="M19" s="112" t="s">
        <v>315</v>
      </c>
      <c r="P19" s="27"/>
      <c r="Q19" s="27"/>
      <c r="R19" s="27"/>
      <c r="S19" s="31"/>
      <c r="T19" s="2018" t="s">
        <v>2071</v>
      </c>
      <c r="U19" s="1943"/>
      <c r="V19" s="1943"/>
      <c r="W19" s="1944"/>
      <c r="X19" s="2033" t="s">
        <v>2072</v>
      </c>
      <c r="Y19" s="2034"/>
      <c r="Z19" s="2031">
        <v>62220</v>
      </c>
      <c r="AA19" s="203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2" t="s">
        <v>2066</v>
      </c>
      <c r="B21" s="1943"/>
      <c r="C21" s="1943"/>
      <c r="D21" s="1943"/>
      <c r="E21" s="1943"/>
      <c r="F21" s="1943"/>
      <c r="G21" s="1943"/>
      <c r="H21" s="1944"/>
      <c r="I21" s="1998" t="s">
        <v>678</v>
      </c>
      <c r="J21" s="1993"/>
      <c r="K21" s="1993"/>
      <c r="L21" s="1993"/>
      <c r="M21" s="1993"/>
      <c r="N21" s="1993"/>
      <c r="O21" s="1993"/>
      <c r="P21" s="1993"/>
      <c r="Q21" s="1993"/>
      <c r="R21" s="1993"/>
      <c r="S21" s="1999"/>
      <c r="T21" s="2042" t="s">
        <v>2073</v>
      </c>
      <c r="U21" s="2043"/>
      <c r="V21" s="2043"/>
      <c r="W21" s="2043"/>
      <c r="X21" s="2048" t="s">
        <v>2074</v>
      </c>
      <c r="Y21" s="2049"/>
      <c r="Z21" s="2049"/>
      <c r="AA21" s="2050"/>
    </row>
    <row r="22" spans="1:27" ht="13.5" customHeight="1" x14ac:dyDescent="0.2">
      <c r="A22" s="87" t="s">
        <v>531</v>
      </c>
      <c r="B22" s="59"/>
      <c r="C22" s="59"/>
      <c r="D22" s="59"/>
      <c r="E22" s="59"/>
      <c r="F22" s="59"/>
      <c r="G22" s="59"/>
      <c r="H22" s="60"/>
      <c r="I22" s="2000" t="s">
        <v>1429</v>
      </c>
      <c r="J22" s="2001"/>
      <c r="K22" s="2001"/>
      <c r="L22" s="2001"/>
      <c r="M22" s="2001"/>
      <c r="N22" s="2001"/>
      <c r="O22" s="2001"/>
      <c r="P22" s="2001"/>
      <c r="Q22" s="2001"/>
      <c r="R22" s="2001"/>
      <c r="S22" s="2002"/>
      <c r="T22" s="85" t="s">
        <v>1516</v>
      </c>
      <c r="U22" s="51"/>
      <c r="V22" s="72"/>
      <c r="W22" s="51"/>
      <c r="X22" s="160" t="s">
        <v>1318</v>
      </c>
      <c r="Z22" s="45"/>
      <c r="AA22" s="46"/>
    </row>
    <row r="23" spans="1:27" ht="13.5" customHeight="1" x14ac:dyDescent="0.2">
      <c r="A23" s="1995"/>
      <c r="B23" s="1996"/>
      <c r="C23" s="1996"/>
      <c r="D23" s="1996"/>
      <c r="E23" s="1996"/>
      <c r="F23" s="1996"/>
      <c r="G23" s="1996"/>
      <c r="H23" s="1997"/>
      <c r="T23" s="1978" t="s">
        <v>2075</v>
      </c>
      <c r="U23" s="2041"/>
      <c r="V23" s="2041"/>
      <c r="W23" s="2041"/>
      <c r="X23" s="2045" t="s">
        <v>2076</v>
      </c>
      <c r="Y23" s="2046"/>
      <c r="Z23" s="2046"/>
      <c r="AA23" s="2047"/>
    </row>
    <row r="24" spans="1:27" ht="14.1" customHeight="1" x14ac:dyDescent="0.2">
      <c r="A24" s="88" t="s">
        <v>677</v>
      </c>
      <c r="B24" s="49"/>
      <c r="C24" s="49"/>
      <c r="D24" s="49"/>
      <c r="E24" s="49"/>
      <c r="F24" s="49"/>
      <c r="G24" s="49"/>
      <c r="H24" s="61"/>
      <c r="J24" s="1965" t="str">
        <f>IF(B5="x",IF(AUDITCHECK!D29="AFR form Incomplete.","",IF(AUDITCHECK!D29="Deficit reduction plan is required.","School District must complete a deficit reduction plan in the 2019-2020 Budget",)),"")</f>
        <v/>
      </c>
      <c r="K24" s="1965"/>
      <c r="L24" s="1965"/>
      <c r="M24" s="1965"/>
      <c r="N24" s="1965"/>
      <c r="O24" s="1965"/>
      <c r="P24" s="1965"/>
      <c r="Q24" s="1965"/>
      <c r="R24" s="1965"/>
      <c r="S24" s="1966"/>
      <c r="T24" s="105" t="s">
        <v>531</v>
      </c>
      <c r="U24" s="106"/>
      <c r="V24" s="106"/>
      <c r="W24" s="106"/>
      <c r="X24" s="107"/>
      <c r="Y24" s="107"/>
      <c r="Z24" s="107"/>
      <c r="AA24" s="108"/>
    </row>
    <row r="25" spans="1:27" ht="14.1" customHeight="1" x14ac:dyDescent="0.2">
      <c r="A25" s="1942">
        <v>62278</v>
      </c>
      <c r="B25" s="1943"/>
      <c r="C25" s="1943"/>
      <c r="D25" s="1943"/>
      <c r="E25" s="1943"/>
      <c r="F25" s="1943"/>
      <c r="G25" s="1943"/>
      <c r="H25" s="1944"/>
      <c r="I25" s="113"/>
      <c r="J25" s="1967"/>
      <c r="K25" s="1967"/>
      <c r="L25" s="1967"/>
      <c r="M25" s="1967"/>
      <c r="N25" s="1967"/>
      <c r="O25" s="1967"/>
      <c r="P25" s="1967"/>
      <c r="Q25" s="1967"/>
      <c r="R25" s="1967"/>
      <c r="S25" s="1968"/>
      <c r="T25" s="2038" t="s">
        <v>2077</v>
      </c>
      <c r="U25" s="2039"/>
      <c r="V25" s="2039"/>
      <c r="W25" s="2039"/>
      <c r="X25" s="2039"/>
      <c r="Y25" s="2039"/>
      <c r="Z25" s="2039"/>
      <c r="AA25" s="20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3" t="s">
        <v>1511</v>
      </c>
      <c r="J27" s="1954"/>
      <c r="K27" s="1954"/>
      <c r="L27" s="1954"/>
      <c r="M27" s="1954"/>
      <c r="N27" s="1954"/>
      <c r="O27" s="1954"/>
      <c r="P27" s="1954"/>
      <c r="Q27" s="1954"/>
      <c r="R27" s="1954"/>
      <c r="S27" s="195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48" t="s">
        <v>2064</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2064</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48" t="s">
        <v>2064</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4"/>
      <c r="Q35" s="1943"/>
      <c r="R35" s="194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8" t="s">
        <v>2078</v>
      </c>
      <c r="B38" s="1979"/>
      <c r="C38" s="1979"/>
      <c r="D38" s="1979"/>
      <c r="E38" s="1979"/>
      <c r="F38" s="1943"/>
      <c r="G38" s="1943"/>
      <c r="H38" s="1944"/>
      <c r="I38" s="1971"/>
      <c r="J38" s="1972"/>
      <c r="K38" s="1972"/>
      <c r="L38" s="1972"/>
      <c r="M38" s="1972"/>
      <c r="N38" s="1972"/>
      <c r="O38" s="1972"/>
      <c r="P38" s="1973"/>
      <c r="Q38" s="1973"/>
      <c r="R38" s="1973"/>
      <c r="S38" s="1974"/>
      <c r="T38" s="2028" t="s">
        <v>2082</v>
      </c>
      <c r="U38" s="1972"/>
      <c r="V38" s="1972"/>
      <c r="W38" s="1972"/>
      <c r="X38" s="1973"/>
      <c r="Y38" s="1973"/>
      <c r="Z38" s="1973"/>
      <c r="AA38" s="1974"/>
    </row>
    <row r="39" spans="1:27" ht="12" customHeight="1" x14ac:dyDescent="0.2">
      <c r="A39" s="1948" t="s">
        <v>531</v>
      </c>
      <c r="B39" s="1949"/>
      <c r="C39" s="72"/>
      <c r="D39" s="69"/>
      <c r="E39" s="69"/>
      <c r="F39" s="79"/>
      <c r="G39" s="69"/>
      <c r="H39" s="56"/>
      <c r="I39" s="1948" t="s">
        <v>531</v>
      </c>
      <c r="J39" s="1949"/>
      <c r="K39" s="1949"/>
      <c r="L39" s="1949"/>
      <c r="M39" s="1949"/>
      <c r="N39" s="67"/>
      <c r="O39" s="72"/>
      <c r="P39" s="72"/>
      <c r="Q39" s="78"/>
      <c r="R39" s="72"/>
      <c r="S39" s="56"/>
      <c r="T39" s="72" t="s">
        <v>531</v>
      </c>
      <c r="U39" s="51"/>
      <c r="V39" s="72"/>
      <c r="W39" s="50"/>
      <c r="X39" s="78"/>
      <c r="Y39" s="45"/>
      <c r="Z39" s="45"/>
      <c r="AA39" s="46"/>
    </row>
    <row r="40" spans="1:27" ht="13.5" customHeight="1" x14ac:dyDescent="0.2">
      <c r="A40" s="1956" t="s">
        <v>2079</v>
      </c>
      <c r="B40" s="1957"/>
      <c r="C40" s="1958"/>
      <c r="D40" s="1958"/>
      <c r="E40" s="1958"/>
      <c r="F40" s="1959"/>
      <c r="G40" s="1959"/>
      <c r="H40" s="1960"/>
      <c r="I40" s="1981"/>
      <c r="J40" s="1982"/>
      <c r="K40" s="1982"/>
      <c r="L40" s="1982"/>
      <c r="M40" s="1982"/>
      <c r="N40" s="1982"/>
      <c r="O40" s="1982"/>
      <c r="P40" s="1982"/>
      <c r="Q40" s="1982"/>
      <c r="R40" s="1982"/>
      <c r="S40" s="1983"/>
      <c r="T40" s="1981" t="s">
        <v>2083</v>
      </c>
      <c r="U40" s="2044"/>
      <c r="V40" s="1982"/>
      <c r="W40" s="1982"/>
      <c r="X40" s="1982"/>
      <c r="Y40" s="1982"/>
      <c r="Z40" s="1982"/>
      <c r="AA40" s="198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0" t="s">
        <v>2080</v>
      </c>
      <c r="B42" s="1962"/>
      <c r="C42" s="1963"/>
      <c r="D42" s="1961" t="s">
        <v>2081</v>
      </c>
      <c r="E42" s="1962"/>
      <c r="F42" s="1962"/>
      <c r="G42" s="1962"/>
      <c r="H42" s="1963"/>
      <c r="I42" s="1945"/>
      <c r="J42" s="1946"/>
      <c r="K42" s="1946"/>
      <c r="L42" s="1946"/>
      <c r="M42" s="1946"/>
      <c r="N42" s="1946"/>
      <c r="O42" s="1947"/>
      <c r="P42" s="1980"/>
      <c r="Q42" s="1946"/>
      <c r="R42" s="1946"/>
      <c r="S42" s="1947"/>
      <c r="T42" s="1945" t="s">
        <v>2084</v>
      </c>
      <c r="U42" s="1946"/>
      <c r="V42" s="1946"/>
      <c r="W42" s="1947"/>
      <c r="X42" s="1980" t="s">
        <v>2085</v>
      </c>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5"/>
      <c r="B44" s="1976"/>
      <c r="C44" s="1976"/>
      <c r="D44" s="1976"/>
      <c r="E44" s="1976"/>
      <c r="F44" s="1976"/>
      <c r="G44" s="1976"/>
      <c r="H44" s="1977"/>
      <c r="I44" s="1950"/>
      <c r="J44" s="1951"/>
      <c r="K44" s="1951"/>
      <c r="L44" s="1951"/>
      <c r="M44" s="1951"/>
      <c r="N44" s="1951"/>
      <c r="O44" s="1951"/>
      <c r="P44" s="1951"/>
      <c r="Q44" s="1951"/>
      <c r="R44" s="1951"/>
      <c r="S44" s="1952"/>
      <c r="T44" s="1950"/>
      <c r="U44" s="1969"/>
      <c r="V44" s="1969"/>
      <c r="W44" s="1969"/>
      <c r="X44" s="1969"/>
      <c r="Y44" s="1969"/>
      <c r="Z44" s="1951"/>
      <c r="AA44" s="195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25"/>
  <pageSetup scale="75" orientation="landscape" r:id="rId3"/>
  <headerFooter scaleWithDoc="0">
    <oddFooter>&amp;LSee notes to financial statements.&amp;C1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4" sqref="A4:F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4" t="s">
        <v>1801</v>
      </c>
      <c r="B2" s="1528" t="s">
        <v>1950</v>
      </c>
      <c r="C2" s="714" t="s">
        <v>1951</v>
      </c>
      <c r="D2" s="714" t="s">
        <v>1952</v>
      </c>
      <c r="E2" s="714" t="s">
        <v>1953</v>
      </c>
      <c r="F2" s="714" t="s">
        <v>1954</v>
      </c>
    </row>
    <row r="3" spans="1:6" ht="12" customHeight="1" x14ac:dyDescent="0.2">
      <c r="A3" s="2185"/>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1807</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25"/>
  <pageSetup firstPageNumber="23" orientation="landscape" useFirstPageNumber="1" r:id="rId1"/>
  <headerFooter scaleWithDoc="0">
    <oddFooter>&amp;LSee notes to financial statements.&amp;C25</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4" sqref="A4:F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629</v>
      </c>
      <c r="B1" s="2204"/>
      <c r="C1" s="721"/>
    </row>
    <row r="2" spans="1:7" ht="33.75" x14ac:dyDescent="0.2">
      <c r="A2" s="2211" t="s">
        <v>1801</v>
      </c>
      <c r="B2" s="2212"/>
      <c r="C2" s="1884" t="s">
        <v>1955</v>
      </c>
      <c r="D2" s="723" t="s">
        <v>1956</v>
      </c>
      <c r="E2" s="723" t="s">
        <v>1957</v>
      </c>
      <c r="F2" s="1884" t="s">
        <v>1958</v>
      </c>
    </row>
    <row r="3" spans="1:7" ht="15.75" customHeight="1" x14ac:dyDescent="0.2">
      <c r="A3" s="2213" t="s">
        <v>1114</v>
      </c>
      <c r="B3" s="2214"/>
      <c r="C3" s="2207"/>
      <c r="D3" s="2208"/>
      <c r="E3" s="2208"/>
      <c r="F3" s="2209"/>
    </row>
    <row r="4" spans="1:7" ht="12.75" customHeight="1" thickBot="1" x14ac:dyDescent="0.25">
      <c r="A4" s="2201" t="s">
        <v>630</v>
      </c>
      <c r="B4" s="2202"/>
      <c r="C4" s="581"/>
      <c r="D4" s="581"/>
      <c r="E4" s="581"/>
      <c r="F4" s="1755">
        <f>SUM(C4+D4)-E4</f>
        <v>0</v>
      </c>
    </row>
    <row r="5" spans="1:7" ht="15.75" customHeight="1" thickTop="1" x14ac:dyDescent="0.2">
      <c r="A5" s="2205" t="s">
        <v>1110</v>
      </c>
      <c r="B5" s="2200"/>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7" t="s">
        <v>631</v>
      </c>
      <c r="B15" s="2198"/>
      <c r="C15" s="1755">
        <f>SUM(C6:C14)</f>
        <v>0</v>
      </c>
      <c r="D15" s="1755">
        <f>SUM(D6:D14)</f>
        <v>0</v>
      </c>
      <c r="E15" s="1755">
        <f>SUM(E6:E14)</f>
        <v>0</v>
      </c>
      <c r="F15" s="1755">
        <f>SUM(F6:F14)</f>
        <v>0</v>
      </c>
      <c r="G15" s="552"/>
    </row>
    <row r="16" spans="1:7" s="202" customFormat="1" ht="15.75" customHeight="1" thickTop="1" x14ac:dyDescent="0.2">
      <c r="A16" s="2210" t="s">
        <v>1111</v>
      </c>
      <c r="B16" s="2200"/>
      <c r="C16" s="2194"/>
      <c r="D16" s="2195"/>
      <c r="E16" s="2195"/>
      <c r="F16" s="2196"/>
    </row>
    <row r="17" spans="1:11" ht="12.75" customHeight="1" thickBot="1" x14ac:dyDescent="0.25">
      <c r="A17" s="2192" t="s">
        <v>64</v>
      </c>
      <c r="B17" s="2193"/>
      <c r="C17" s="726"/>
      <c r="D17" s="585"/>
      <c r="E17" s="726"/>
      <c r="F17" s="1755">
        <f>SUM(C17+D17)-E17</f>
        <v>0</v>
      </c>
    </row>
    <row r="18" spans="1:11" ht="12.75" customHeight="1" thickTop="1" thickBot="1" x14ac:dyDescent="0.25">
      <c r="A18" s="2192" t="s">
        <v>6</v>
      </c>
      <c r="B18" s="2193"/>
      <c r="C18" s="726"/>
      <c r="D18" s="585"/>
      <c r="E18" s="726"/>
      <c r="F18" s="1755">
        <f>SUM(C18+D18)-E18</f>
        <v>0</v>
      </c>
    </row>
    <row r="19" spans="1:11" ht="12.75" customHeight="1" thickTop="1" thickBot="1" x14ac:dyDescent="0.25">
      <c r="A19" s="2192" t="s">
        <v>388</v>
      </c>
      <c r="B19" s="2193"/>
      <c r="C19" s="726"/>
      <c r="D19" s="585"/>
      <c r="E19" s="726"/>
      <c r="F19" s="1755">
        <f>SUM(C19+D19)-E19</f>
        <v>0</v>
      </c>
    </row>
    <row r="20" spans="1:11" ht="12.75" customHeight="1" thickTop="1" thickBot="1" x14ac:dyDescent="0.25">
      <c r="A20" s="2192" t="s">
        <v>448</v>
      </c>
      <c r="B20" s="2193"/>
      <c r="C20" s="726"/>
      <c r="D20" s="585"/>
      <c r="E20" s="726"/>
      <c r="F20" s="1755">
        <f>SUM(C20+D20)-E20</f>
        <v>0</v>
      </c>
    </row>
    <row r="21" spans="1:11" ht="14.25" thickTop="1" thickBot="1" x14ac:dyDescent="0.25">
      <c r="A21" s="2197" t="s">
        <v>632</v>
      </c>
      <c r="B21" s="2198"/>
      <c r="C21" s="1755">
        <f>SUM(C17:C20)</f>
        <v>0</v>
      </c>
      <c r="D21" s="1755">
        <f>SUM(D17:D20)</f>
        <v>0</v>
      </c>
      <c r="E21" s="1755">
        <f>SUM(E17:E20)</f>
        <v>0</v>
      </c>
      <c r="F21" s="1755">
        <f>SUM(F17:F20)</f>
        <v>0</v>
      </c>
      <c r="G21" s="552"/>
    </row>
    <row r="22" spans="1:11" ht="15.75" customHeight="1" thickTop="1" x14ac:dyDescent="0.2">
      <c r="A22" s="2199" t="s">
        <v>1112</v>
      </c>
      <c r="B22" s="2200"/>
      <c r="C22" s="2194"/>
      <c r="D22" s="2195"/>
      <c r="E22" s="2195"/>
      <c r="F22" s="2196"/>
    </row>
    <row r="23" spans="1:11" ht="13.5" thickBot="1" x14ac:dyDescent="0.25">
      <c r="A23" s="2201" t="s">
        <v>633</v>
      </c>
      <c r="B23" s="2202"/>
      <c r="C23" s="581"/>
      <c r="D23" s="581"/>
      <c r="E23" s="581"/>
      <c r="F23" s="1755">
        <f>SUM(C23+D23)-E23</f>
        <v>0</v>
      </c>
      <c r="G23" s="552"/>
    </row>
    <row r="24" spans="1:11" ht="15.75" customHeight="1" thickTop="1" x14ac:dyDescent="0.2">
      <c r="A24" s="2199" t="s">
        <v>1113</v>
      </c>
      <c r="B24" s="2200"/>
      <c r="C24" s="2194"/>
      <c r="D24" s="2195"/>
      <c r="E24" s="2195"/>
      <c r="F24" s="2196"/>
    </row>
    <row r="25" spans="1:11" ht="13.5" thickBot="1" x14ac:dyDescent="0.25">
      <c r="A25" s="2201" t="s">
        <v>634</v>
      </c>
      <c r="B25" s="2202"/>
      <c r="C25" s="581"/>
      <c r="D25" s="581"/>
      <c r="E25" s="581"/>
      <c r="F25" s="1755">
        <f>SUM(C25+D25)-E25</f>
        <v>0</v>
      </c>
      <c r="G25" s="552"/>
    </row>
    <row r="26" spans="1:11" ht="15.75" customHeight="1" thickTop="1" x14ac:dyDescent="0.2">
      <c r="A26" s="2205" t="s">
        <v>657</v>
      </c>
      <c r="B26" s="2200"/>
      <c r="C26" s="727"/>
      <c r="D26" s="727"/>
      <c r="E26" s="727"/>
      <c r="F26" s="728"/>
    </row>
    <row r="27" spans="1:11" ht="13.5" thickBot="1" x14ac:dyDescent="0.25">
      <c r="A27" s="2197" t="s">
        <v>1070</v>
      </c>
      <c r="B27" s="2198"/>
      <c r="C27" s="585"/>
      <c r="D27" s="585"/>
      <c r="E27" s="585"/>
      <c r="F27" s="1755">
        <f>SUM(C27+D27)-E27</f>
        <v>0</v>
      </c>
      <c r="G27" s="552"/>
    </row>
    <row r="28" spans="1:11" ht="7.5" customHeight="1" thickTop="1" x14ac:dyDescent="0.2">
      <c r="A28" s="593"/>
    </row>
    <row r="29" spans="1:11" ht="23.25" customHeight="1" x14ac:dyDescent="0.2">
      <c r="A29" s="2203" t="s">
        <v>582</v>
      </c>
      <c r="B29" s="2204"/>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912</v>
      </c>
      <c r="B52" s="2186" t="s">
        <v>584</v>
      </c>
      <c r="C52" s="2187"/>
      <c r="D52" s="2187"/>
      <c r="E52" s="749" t="s">
        <v>845</v>
      </c>
      <c r="F52" s="2188"/>
      <c r="G52" s="2189"/>
      <c r="H52" s="736"/>
      <c r="I52" s="736"/>
      <c r="J52" s="746"/>
    </row>
    <row r="53" spans="1:11" ht="11.25" customHeight="1" x14ac:dyDescent="0.2">
      <c r="A53" s="750" t="s">
        <v>913</v>
      </c>
      <c r="B53" s="751" t="s">
        <v>951</v>
      </c>
      <c r="C53" s="746"/>
      <c r="D53" s="737"/>
      <c r="E53" s="749" t="s">
        <v>497</v>
      </c>
      <c r="F53" s="2190"/>
      <c r="G53" s="2191"/>
      <c r="H53" s="736"/>
      <c r="I53" s="736"/>
      <c r="J53" s="746"/>
    </row>
    <row r="54" spans="1:11" ht="11.25" customHeight="1" x14ac:dyDescent="0.2">
      <c r="A54" s="752" t="s">
        <v>914</v>
      </c>
      <c r="B54" s="747" t="s">
        <v>952</v>
      </c>
      <c r="C54" s="746"/>
      <c r="D54" s="737"/>
      <c r="E54" s="749" t="s">
        <v>498</v>
      </c>
      <c r="F54" s="2190"/>
      <c r="G54" s="219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25"/>
  <pageSetup scale="73" firstPageNumber="24" fitToHeight="0" orientation="landscape" useFirstPageNumber="1" r:id="rId1"/>
  <headerFooter scaleWithDoc="0">
    <oddFooter>&amp;LSee notes to financial statements.&amp;C26</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A4" sqref="A4:F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5" t="s">
        <v>856</v>
      </c>
      <c r="B1" s="2216"/>
      <c r="C1" s="2216"/>
      <c r="D1" s="2216"/>
      <c r="E1" s="2216"/>
      <c r="F1" s="2216"/>
      <c r="G1" s="2217"/>
      <c r="H1" s="1530"/>
      <c r="I1" s="760"/>
      <c r="J1" s="433"/>
    </row>
    <row r="2" spans="1:11" ht="26.25" x14ac:dyDescent="0.2">
      <c r="A2" s="2234" t="s">
        <v>1677</v>
      </c>
      <c r="B2" s="2235"/>
      <c r="C2" s="2235"/>
      <c r="D2" s="2235"/>
      <c r="E2" s="2236"/>
      <c r="F2" s="761" t="s">
        <v>904</v>
      </c>
      <c r="G2" s="762" t="s">
        <v>1674</v>
      </c>
      <c r="H2" s="762" t="s">
        <v>410</v>
      </c>
      <c r="I2" s="762" t="s">
        <v>1158</v>
      </c>
      <c r="J2" s="762" t="s">
        <v>1811</v>
      </c>
      <c r="K2" s="762" t="s">
        <v>138</v>
      </c>
    </row>
    <row r="3" spans="1:11" x14ac:dyDescent="0.2">
      <c r="A3" s="2237" t="s">
        <v>1963</v>
      </c>
      <c r="B3" s="2238"/>
      <c r="C3" s="2238"/>
      <c r="D3" s="2238"/>
      <c r="E3" s="2239"/>
      <c r="F3" s="763"/>
      <c r="G3" s="764"/>
      <c r="H3" s="764"/>
      <c r="I3" s="764"/>
      <c r="J3" s="765"/>
      <c r="K3" s="765"/>
    </row>
    <row r="4" spans="1:11" x14ac:dyDescent="0.2">
      <c r="A4" s="2240" t="s">
        <v>369</v>
      </c>
      <c r="B4" s="2241"/>
      <c r="C4" s="2241"/>
      <c r="D4" s="2241"/>
      <c r="E4" s="2187"/>
      <c r="F4" s="766"/>
      <c r="G4" s="767"/>
      <c r="H4" s="768"/>
      <c r="I4" s="767"/>
      <c r="J4" s="769"/>
      <c r="K4" s="769"/>
    </row>
    <row r="5" spans="1:11" x14ac:dyDescent="0.2">
      <c r="A5" s="2218" t="s">
        <v>1069</v>
      </c>
      <c r="B5" s="2219"/>
      <c r="C5" s="2219"/>
      <c r="D5" s="2219"/>
      <c r="E5" s="2220"/>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8" t="s">
        <v>1812</v>
      </c>
      <c r="B10" s="2219"/>
      <c r="C10" s="2219"/>
      <c r="D10" s="2219"/>
      <c r="E10" s="2221"/>
      <c r="F10" s="783" t="s">
        <v>862</v>
      </c>
      <c r="G10" s="782"/>
      <c r="H10" s="784"/>
      <c r="I10" s="764"/>
      <c r="J10" s="765"/>
      <c r="K10" s="765"/>
    </row>
    <row r="11" spans="1:11" x14ac:dyDescent="0.2">
      <c r="A11" s="2218" t="s">
        <v>160</v>
      </c>
      <c r="B11" s="2219"/>
      <c r="C11" s="2219"/>
      <c r="D11" s="2219"/>
      <c r="E11" s="2220"/>
      <c r="F11" s="770" t="s">
        <v>852</v>
      </c>
      <c r="G11" s="771"/>
      <c r="H11" s="764"/>
      <c r="I11" s="764"/>
      <c r="J11" s="765"/>
      <c r="K11" s="773"/>
    </row>
    <row r="12" spans="1:11" ht="13.5" thickBot="1" x14ac:dyDescent="0.25">
      <c r="A12" s="2245" t="s">
        <v>905</v>
      </c>
      <c r="B12" s="2246"/>
      <c r="C12" s="2246"/>
      <c r="D12" s="2246"/>
      <c r="E12" s="2247"/>
      <c r="F12" s="1757"/>
      <c r="G12" s="1758">
        <f>SUM(G5:G11)</f>
        <v>0</v>
      </c>
      <c r="H12" s="1758">
        <f>SUM(H5:H11)</f>
        <v>0</v>
      </c>
      <c r="I12" s="1758">
        <f>SUM(I5:I11)</f>
        <v>0</v>
      </c>
      <c r="J12" s="1758">
        <f>SUM(J5:J11)</f>
        <v>0</v>
      </c>
      <c r="K12" s="1758">
        <f>SUM(K5:K11)</f>
        <v>0</v>
      </c>
    </row>
    <row r="13" spans="1:11" ht="13.5" thickTop="1" x14ac:dyDescent="0.2">
      <c r="A13" s="2242" t="s">
        <v>370</v>
      </c>
      <c r="B13" s="2243"/>
      <c r="C13" s="2243"/>
      <c r="D13" s="2243"/>
      <c r="E13" s="2244"/>
      <c r="F13" s="785"/>
      <c r="G13" s="786"/>
      <c r="H13" s="787"/>
      <c r="I13" s="788"/>
      <c r="J13" s="788"/>
      <c r="K13" s="788"/>
    </row>
    <row r="14" spans="1:11" x14ac:dyDescent="0.2">
      <c r="A14" s="2225" t="s">
        <v>456</v>
      </c>
      <c r="B14" s="2225"/>
      <c r="C14" s="2225"/>
      <c r="D14" s="2225"/>
      <c r="E14" s="2226"/>
      <c r="F14" s="789" t="s">
        <v>854</v>
      </c>
      <c r="G14" s="782"/>
      <c r="H14" s="764"/>
      <c r="I14" s="771"/>
      <c r="J14" s="773"/>
      <c r="K14" s="765"/>
    </row>
    <row r="15" spans="1:11" x14ac:dyDescent="0.2">
      <c r="A15" s="2219" t="s">
        <v>4</v>
      </c>
      <c r="B15" s="2219"/>
      <c r="C15" s="2219"/>
      <c r="D15" s="2219"/>
      <c r="E15" s="2220"/>
      <c r="F15" s="789" t="s">
        <v>855</v>
      </c>
      <c r="G15" s="771"/>
      <c r="H15" s="764"/>
      <c r="I15" s="764"/>
      <c r="J15" s="765"/>
      <c r="K15" s="765"/>
    </row>
    <row r="16" spans="1:11" x14ac:dyDescent="0.2">
      <c r="A16" s="2219" t="s">
        <v>298</v>
      </c>
      <c r="B16" s="2219"/>
      <c r="C16" s="2219"/>
      <c r="D16" s="2219"/>
      <c r="E16" s="2220"/>
      <c r="F16" s="789" t="s">
        <v>923</v>
      </c>
      <c r="G16" s="772"/>
      <c r="H16" s="767"/>
      <c r="I16" s="767"/>
      <c r="J16" s="769"/>
      <c r="K16" s="769"/>
    </row>
    <row r="17" spans="1:11" x14ac:dyDescent="0.2">
      <c r="A17" s="2250" t="s">
        <v>935</v>
      </c>
      <c r="B17" s="2250"/>
      <c r="C17" s="2250"/>
      <c r="D17" s="2250"/>
      <c r="E17" s="2251"/>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27" t="s">
        <v>1808</v>
      </c>
      <c r="B19" s="2227"/>
      <c r="C19" s="2227"/>
      <c r="D19" s="2227"/>
      <c r="E19" s="2228"/>
      <c r="F19" s="789" t="s">
        <v>933</v>
      </c>
      <c r="G19" s="782"/>
      <c r="H19" s="782"/>
      <c r="I19" s="782"/>
      <c r="J19" s="765"/>
      <c r="K19" s="795"/>
    </row>
    <row r="20" spans="1:11" x14ac:dyDescent="0.2">
      <c r="A20" s="2229" t="s">
        <v>1813</v>
      </c>
      <c r="B20" s="2230"/>
      <c r="C20" s="2230"/>
      <c r="D20" s="2230"/>
      <c r="E20" s="2231"/>
      <c r="F20" s="789" t="s">
        <v>934</v>
      </c>
      <c r="G20" s="782"/>
      <c r="H20" s="782"/>
      <c r="I20" s="782"/>
      <c r="J20" s="765"/>
      <c r="K20" s="795"/>
    </row>
    <row r="21" spans="1:11" ht="13.5" thickBot="1" x14ac:dyDescent="0.25">
      <c r="A21" s="2248" t="s">
        <v>638</v>
      </c>
      <c r="B21" s="2248"/>
      <c r="C21" s="2248"/>
      <c r="D21" s="2248"/>
      <c r="E21" s="2248"/>
      <c r="F21" s="1759"/>
      <c r="G21" s="792"/>
      <c r="H21" s="796"/>
      <c r="I21" s="796"/>
      <c r="J21" s="1760">
        <f>SUM(J18:J20)</f>
        <v>0</v>
      </c>
      <c r="K21" s="793"/>
    </row>
    <row r="22" spans="1:11" ht="13.5" thickTop="1" x14ac:dyDescent="0.2">
      <c r="A22" s="2219" t="s">
        <v>1814</v>
      </c>
      <c r="B22" s="2219"/>
      <c r="C22" s="2219"/>
      <c r="D22" s="2219"/>
      <c r="E22" s="2220"/>
      <c r="F22" s="789" t="s">
        <v>862</v>
      </c>
      <c r="G22" s="782"/>
      <c r="H22" s="764"/>
      <c r="I22" s="764"/>
      <c r="J22" s="797"/>
      <c r="K22" s="765"/>
    </row>
    <row r="23" spans="1:11" ht="13.5" thickBot="1" x14ac:dyDescent="0.25">
      <c r="A23" s="2249" t="s">
        <v>906</v>
      </c>
      <c r="B23" s="2248"/>
      <c r="C23" s="2248"/>
      <c r="D23" s="2248"/>
      <c r="E23" s="2248"/>
      <c r="F23" s="1761"/>
      <c r="G23" s="1758">
        <f>SUM(G14:G16,G21,G22)</f>
        <v>0</v>
      </c>
      <c r="H23" s="1758">
        <f>SUM(H14:H16,H21,H22)</f>
        <v>0</v>
      </c>
      <c r="I23" s="1758">
        <f>SUM(I14:I16,I21,I22)</f>
        <v>0</v>
      </c>
      <c r="J23" s="1758">
        <f>SUM(J14:J16,J21,J22)</f>
        <v>0</v>
      </c>
      <c r="K23" s="1758">
        <f>SUM(K14:K16,K21,K22)</f>
        <v>0</v>
      </c>
    </row>
    <row r="24" spans="1:11" ht="14.25" thickTop="1" thickBot="1" x14ac:dyDescent="0.25">
      <c r="A24" s="2249" t="s">
        <v>1964</v>
      </c>
      <c r="B24" s="2248"/>
      <c r="C24" s="2248"/>
      <c r="D24" s="2248"/>
      <c r="E24" s="2248"/>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2"/>
      <c r="I31" s="2223"/>
      <c r="J31" s="2223"/>
      <c r="K31" s="2223"/>
    </row>
    <row r="32" spans="1:11" x14ac:dyDescent="0.2">
      <c r="A32" s="809"/>
      <c r="B32" s="237"/>
      <c r="C32" s="237"/>
      <c r="D32" s="237"/>
      <c r="E32" s="805"/>
      <c r="F32" s="811" t="s">
        <v>540</v>
      </c>
      <c r="G32" s="764"/>
      <c r="H32" s="2224"/>
      <c r="I32" s="2223"/>
      <c r="J32" s="2223"/>
      <c r="K32" s="2223"/>
    </row>
    <row r="33" spans="1:11" ht="1.5" customHeight="1" x14ac:dyDescent="0.2">
      <c r="A33" s="812" t="s">
        <v>1169</v>
      </c>
      <c r="B33" s="364"/>
      <c r="C33" s="364"/>
      <c r="D33" s="364"/>
      <c r="E33" s="364"/>
      <c r="F33" s="364"/>
      <c r="G33" s="813"/>
      <c r="H33" s="2224"/>
      <c r="I33" s="2223"/>
      <c r="J33" s="2223"/>
      <c r="K33" s="2223"/>
    </row>
    <row r="34" spans="1:11" x14ac:dyDescent="0.2">
      <c r="A34" s="814" t="s">
        <v>1815</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32"/>
      <c r="C41" s="2232"/>
      <c r="D41" s="2232"/>
      <c r="E41" s="2232"/>
      <c r="F41" s="223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1809</v>
      </c>
      <c r="B46" s="408" t="s">
        <v>1675</v>
      </c>
    </row>
    <row r="47" spans="1:11" s="823" customFormat="1" ht="12.75" customHeight="1" x14ac:dyDescent="0.2">
      <c r="A47" s="821"/>
      <c r="B47" s="822" t="s">
        <v>1676</v>
      </c>
      <c r="E47" s="822"/>
      <c r="K47" s="824"/>
    </row>
    <row r="48" spans="1:11" ht="12.75" customHeight="1" x14ac:dyDescent="0.2">
      <c r="A48" s="1532" t="s">
        <v>1810</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5"/>
  <pageSetup scale="80" firstPageNumber="25" orientation="landscape" useFirstPageNumber="1" r:id="rId1"/>
  <headerFooter scaleWithDoc="0">
    <oddHeader xml:space="preserve">&amp;C&amp;"Arial,Bold"Schedule of Restricted Local Tax Levies and Selected Revenues Sources 
Schedule of Tort Immunity Expenditures </oddHeader>
    <oddFooter>&amp;LSee notes to financial statements.&amp;C27</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1908</v>
      </c>
      <c r="B1" s="2255"/>
      <c r="C1" s="2256"/>
      <c r="D1" s="826"/>
      <c r="E1" s="827"/>
      <c r="F1" s="827"/>
      <c r="G1" s="828"/>
      <c r="H1" s="829"/>
      <c r="I1" s="830"/>
      <c r="J1" s="2252"/>
      <c r="K1" s="2253"/>
      <c r="L1" s="2253"/>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v>
      </c>
      <c r="D5" s="841"/>
      <c r="E5" s="841"/>
      <c r="F5" s="1760">
        <f>(C5+D5)-E5</f>
        <v>1</v>
      </c>
      <c r="G5" s="837"/>
      <c r="H5" s="842"/>
      <c r="I5" s="842"/>
      <c r="J5" s="842"/>
      <c r="K5" s="793"/>
      <c r="L5" s="1769">
        <f>F5-K5</f>
        <v>1</v>
      </c>
    </row>
    <row r="6" spans="1:14" ht="14.25" thickTop="1" thickBot="1" x14ac:dyDescent="0.25">
      <c r="A6" s="778" t="s">
        <v>1117</v>
      </c>
      <c r="B6" s="840">
        <v>222</v>
      </c>
      <c r="C6" s="765">
        <v>35046</v>
      </c>
      <c r="D6" s="765">
        <v>13000</v>
      </c>
      <c r="E6" s="765"/>
      <c r="F6" s="1760">
        <f>(C6+D6)-E6</f>
        <v>48046</v>
      </c>
      <c r="G6" s="837">
        <v>50</v>
      </c>
      <c r="H6" s="765">
        <v>9831</v>
      </c>
      <c r="I6" s="765">
        <v>2247</v>
      </c>
      <c r="J6" s="765"/>
      <c r="K6" s="1769">
        <f>(H6+I6)-J6</f>
        <v>12078</v>
      </c>
      <c r="L6" s="1769">
        <f>F6-K6</f>
        <v>35968</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1087654</v>
      </c>
      <c r="D8" s="844">
        <v>26250</v>
      </c>
      <c r="E8" s="844"/>
      <c r="F8" s="1760">
        <f>(C8+D8)-E8</f>
        <v>1113904</v>
      </c>
      <c r="G8" s="843">
        <v>50</v>
      </c>
      <c r="H8" s="765">
        <v>203251</v>
      </c>
      <c r="I8" s="765">
        <v>28021</v>
      </c>
      <c r="J8" s="765"/>
      <c r="K8" s="1769">
        <f>(H8+I8)-J8</f>
        <v>231272</v>
      </c>
      <c r="L8" s="1769">
        <f>F8-K8</f>
        <v>882632</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196631</v>
      </c>
      <c r="D12" s="844">
        <v>19378</v>
      </c>
      <c r="E12" s="844"/>
      <c r="F12" s="1760">
        <f>(C12+D12)-E12</f>
        <v>216009</v>
      </c>
      <c r="G12" s="843">
        <v>10</v>
      </c>
      <c r="H12" s="765">
        <v>134734</v>
      </c>
      <c r="I12" s="765">
        <v>14843</v>
      </c>
      <c r="J12" s="765"/>
      <c r="K12" s="1769">
        <f>(H12+I12)-J12</f>
        <v>149577</v>
      </c>
      <c r="L12" s="1769">
        <f>F12-K12</f>
        <v>66432</v>
      </c>
    </row>
    <row r="13" spans="1:14" ht="14.25" thickTop="1" thickBot="1" x14ac:dyDescent="0.25">
      <c r="A13" s="848" t="s">
        <v>1122</v>
      </c>
      <c r="B13" s="840">
        <v>252</v>
      </c>
      <c r="C13" s="844">
        <v>17608</v>
      </c>
      <c r="D13" s="844">
        <v>4374</v>
      </c>
      <c r="E13" s="844"/>
      <c r="F13" s="1760">
        <f>(C13+D13)-E13</f>
        <v>21982</v>
      </c>
      <c r="G13" s="843">
        <v>5</v>
      </c>
      <c r="H13" s="765">
        <v>14421</v>
      </c>
      <c r="I13" s="765">
        <v>1177</v>
      </c>
      <c r="J13" s="765"/>
      <c r="K13" s="1769">
        <f>(H13+I13)-J13</f>
        <v>15598</v>
      </c>
      <c r="L13" s="1769">
        <f>F13-K13</f>
        <v>6384</v>
      </c>
    </row>
    <row r="14" spans="1:14" ht="14.25" thickTop="1" thickBot="1" x14ac:dyDescent="0.25">
      <c r="A14" s="848" t="s">
        <v>1123</v>
      </c>
      <c r="B14" s="840">
        <v>253</v>
      </c>
      <c r="C14" s="765">
        <v>14439</v>
      </c>
      <c r="D14" s="765"/>
      <c r="E14" s="765"/>
      <c r="F14" s="1760">
        <f>(C14+D14)-E14</f>
        <v>14439</v>
      </c>
      <c r="G14" s="843">
        <v>3</v>
      </c>
      <c r="H14" s="765">
        <v>14439</v>
      </c>
      <c r="I14" s="765"/>
      <c r="J14" s="765"/>
      <c r="K14" s="1769">
        <f>(H14+I14)-J14</f>
        <v>14439</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1351379</v>
      </c>
      <c r="D16" s="1760">
        <f>SUM(D3,D5:D6,D8:D10,D12:D15)</f>
        <v>63002</v>
      </c>
      <c r="E16" s="1760">
        <f>SUM(E3,E5:E6,E8:E10,E12:E15)</f>
        <v>0</v>
      </c>
      <c r="F16" s="1760">
        <f>SUM(F3,F5:F6,F8:F10,F12:F15)</f>
        <v>1414381</v>
      </c>
      <c r="G16" s="843"/>
      <c r="H16" s="1760">
        <f>SUM(H3,H6,H8:H10,H12:H14,)</f>
        <v>376676</v>
      </c>
      <c r="I16" s="1760">
        <f>SUM(I3,I6,I8:I10,I12:I14,)</f>
        <v>46288</v>
      </c>
      <c r="J16" s="1760">
        <f>SUM(J3,J6,J8:J10,J12:J14,)</f>
        <v>0</v>
      </c>
      <c r="K16" s="1760">
        <f>(H16+I16)-J16</f>
        <v>422964</v>
      </c>
      <c r="L16" s="1760">
        <f>F16-K16</f>
        <v>991417</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46288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25"/>
  <pageSetup scale="80" firstPageNumber="26" orientation="landscape" useFirstPageNumber="1" r:id="rId1"/>
  <headerFooter scaleWithDoc="0">
    <oddHeader xml:space="preserve">&amp;C </oddHeader>
    <oddFooter>&amp;LSee notes to financial statements.&amp;C28</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72" activePane="bottomLeft" state="frozen"/>
      <selection activeCell="A4" sqref="A4:F4"/>
      <selection pane="bottomLeft" activeCell="A3" sqref="A1:A104857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1974</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2306180</v>
      </c>
      <c r="G8" s="865"/>
    </row>
    <row r="9" spans="1:7" x14ac:dyDescent="0.2">
      <c r="A9" s="869" t="s">
        <v>460</v>
      </c>
      <c r="B9" s="870" t="s">
        <v>1876</v>
      </c>
      <c r="C9" s="871"/>
      <c r="D9" s="869" t="s">
        <v>501</v>
      </c>
      <c r="E9" s="868"/>
      <c r="F9" s="1909">
        <f>'Expenditures 15-22'!K151</f>
        <v>0</v>
      </c>
      <c r="G9" s="872"/>
    </row>
    <row r="10" spans="1:7" x14ac:dyDescent="0.2">
      <c r="A10" s="869" t="s">
        <v>499</v>
      </c>
      <c r="B10" s="870" t="s">
        <v>1877</v>
      </c>
      <c r="C10" s="871"/>
      <c r="D10" s="869" t="s">
        <v>501</v>
      </c>
      <c r="E10" s="868"/>
      <c r="F10" s="1909">
        <f>'Expenditures 15-22'!K174</f>
        <v>0</v>
      </c>
      <c r="G10" s="872"/>
    </row>
    <row r="11" spans="1:7" x14ac:dyDescent="0.2">
      <c r="A11" s="869" t="s">
        <v>461</v>
      </c>
      <c r="B11" s="870" t="s">
        <v>1878</v>
      </c>
      <c r="C11" s="871"/>
      <c r="D11" s="869" t="s">
        <v>501</v>
      </c>
      <c r="E11" s="868"/>
      <c r="F11" s="1909">
        <f>'Expenditures 15-22'!K210</f>
        <v>119808</v>
      </c>
      <c r="G11" s="872"/>
    </row>
    <row r="12" spans="1:7" x14ac:dyDescent="0.2">
      <c r="A12" s="869" t="s">
        <v>462</v>
      </c>
      <c r="B12" s="870" t="s">
        <v>1879</v>
      </c>
      <c r="C12" s="871"/>
      <c r="D12" s="869" t="s">
        <v>501</v>
      </c>
      <c r="E12" s="868"/>
      <c r="F12" s="1909">
        <f>'Expenditures 15-22'!K295</f>
        <v>0</v>
      </c>
      <c r="G12" s="872"/>
    </row>
    <row r="13" spans="1:7" x14ac:dyDescent="0.2">
      <c r="A13" s="869" t="s">
        <v>106</v>
      </c>
      <c r="B13" s="870" t="s">
        <v>1880</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2425988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82970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892044</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0</v>
      </c>
      <c r="G53" s="865"/>
    </row>
    <row r="54" spans="1:7" x14ac:dyDescent="0.2">
      <c r="A54" s="869" t="s">
        <v>459</v>
      </c>
      <c r="B54" s="869" t="s">
        <v>1476</v>
      </c>
      <c r="C54" s="889" t="s">
        <v>982</v>
      </c>
      <c r="D54" s="885" t="s">
        <v>1095</v>
      </c>
      <c r="E54" s="868"/>
      <c r="F54" s="1913">
        <f>'Expenditures 15-22'!G114</f>
        <v>5265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980279</v>
      </c>
      <c r="G76" s="865"/>
    </row>
    <row r="77" spans="1:8" s="893" customFormat="1" ht="12" customHeight="1" thickTop="1" thickBot="1" x14ac:dyDescent="0.25">
      <c r="A77" s="1779"/>
      <c r="B77" s="1776"/>
      <c r="C77" s="1772"/>
      <c r="D77" s="1777" t="s">
        <v>1899</v>
      </c>
      <c r="E77" s="1774"/>
      <c r="F77" s="1780">
        <f>(F14-F76)</f>
        <v>1445709</v>
      </c>
      <c r="G77" s="869"/>
    </row>
    <row r="78" spans="1:8" s="893" customFormat="1" ht="12" customHeight="1" thickTop="1" x14ac:dyDescent="0.2">
      <c r="A78" s="1781"/>
      <c r="B78" s="1776"/>
      <c r="C78" s="1772"/>
      <c r="D78" s="1777" t="s">
        <v>2061</v>
      </c>
      <c r="E78" s="1774"/>
      <c r="F78" s="898">
        <v>0</v>
      </c>
      <c r="G78" s="899"/>
      <c r="H78" s="869"/>
    </row>
    <row r="79" spans="1:8" s="893" customFormat="1" ht="12" customHeight="1" thickBot="1" x14ac:dyDescent="0.25">
      <c r="A79" s="1782"/>
      <c r="B79" s="1776"/>
      <c r="C79" s="1772"/>
      <c r="D79" s="1777" t="s">
        <v>1900</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7306</v>
      </c>
      <c r="G94" s="912"/>
    </row>
    <row r="95" spans="1:7" x14ac:dyDescent="0.2">
      <c r="A95" s="908" t="s">
        <v>140</v>
      </c>
      <c r="B95" s="908" t="s">
        <v>175</v>
      </c>
      <c r="C95" s="910">
        <v>1700</v>
      </c>
      <c r="D95" s="918" t="str">
        <f>'Revenues 9-14'!A82</f>
        <v>Total District/School Activity Income</v>
      </c>
      <c r="E95" s="906"/>
      <c r="F95" s="1789">
        <f>SUM('Revenues 9-14'!C82,'Revenues 9-14'!D82)</f>
        <v>8873</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2475</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38093</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2002</v>
      </c>
      <c r="C105" s="913">
        <v>3100</v>
      </c>
      <c r="D105" s="919" t="str">
        <f>'Revenues 9-14'!A132</f>
        <v>Total Special Education</v>
      </c>
      <c r="E105" s="906"/>
      <c r="F105" s="1789">
        <f>SUM('Revenues 9-14'!C132:D132,'Revenues 9-14'!F132)</f>
        <v>0</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133778</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871</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0</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87054</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2829</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0</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89">
        <f>SUM('Revenues 9-14'!C198,'Revenues 9-14'!G198)</f>
        <v>44274</v>
      </c>
      <c r="G125" s="930"/>
    </row>
    <row r="126" spans="1:7" x14ac:dyDescent="0.2">
      <c r="A126" s="927" t="s">
        <v>668</v>
      </c>
      <c r="B126" s="927" t="s">
        <v>2023</v>
      </c>
      <c r="C126" s="932">
        <v>4300</v>
      </c>
      <c r="D126" s="933" t="str">
        <f>'Revenues 9-14'!A204</f>
        <v>Total Title I</v>
      </c>
      <c r="E126" s="906"/>
      <c r="F126" s="1789">
        <f>SUM('Revenues 9-14'!C204,'Revenues 9-14'!D204,'Revenues 9-14'!F204,'Revenues 9-14'!G204)</f>
        <v>0</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1186859</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1512412</v>
      </c>
    </row>
    <row r="175" spans="1:7" ht="12" customHeight="1" x14ac:dyDescent="0.2">
      <c r="A175" s="1770"/>
      <c r="B175" s="1784"/>
      <c r="C175" s="1785"/>
      <c r="D175" s="1786" t="s">
        <v>2056</v>
      </c>
      <c r="E175" s="1787"/>
      <c r="F175" s="1789">
        <f>'PCTC-OEPP 27-28'!F77-F174</f>
        <v>-66703</v>
      </c>
    </row>
    <row r="176" spans="1:7" ht="12" customHeight="1" x14ac:dyDescent="0.2">
      <c r="A176" s="1770"/>
      <c r="B176" s="1784"/>
      <c r="C176" s="1785"/>
      <c r="D176" s="1786" t="s">
        <v>1816</v>
      </c>
      <c r="E176" s="1787"/>
      <c r="F176" s="1789">
        <f>'Cap Outlay Deprec 26'!I18</f>
        <v>46288</v>
      </c>
    </row>
    <row r="177" spans="1:7" ht="12" customHeight="1" x14ac:dyDescent="0.2">
      <c r="A177" s="1770"/>
      <c r="B177" s="1784"/>
      <c r="C177" s="1785"/>
      <c r="D177" s="1786" t="s">
        <v>2057</v>
      </c>
      <c r="E177" s="1787"/>
      <c r="F177" s="1789">
        <f>F175+F176</f>
        <v>-20415</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2058</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25"/>
  <pageSetup scale="71" firstPageNumber="32" orientation="portrait" useFirstPageNumber="1" r:id="rId2"/>
  <headerFooter differentFirst="1" scaleWithDoc="0">
    <oddHeader xml:space="preserve">&amp;C </oddHeader>
    <oddFooter>&amp;LSee notes to financial statements.&amp;C30</oddFooter>
    <firstFooter>&amp;LSee notes to financial statements.&amp;C29</first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C25" sqref="C25"/>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1831</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1" t="s">
        <v>1817</v>
      </c>
      <c r="B4" s="2272"/>
      <c r="C4" s="2272"/>
      <c r="D4" s="2272"/>
      <c r="E4" s="2272"/>
      <c r="F4" s="2272"/>
      <c r="G4" s="2273"/>
    </row>
    <row r="5" spans="1:7" x14ac:dyDescent="0.25">
      <c r="A5" s="2274"/>
      <c r="B5" s="2275"/>
      <c r="C5" s="2275"/>
      <c r="D5" s="2275"/>
      <c r="E5" s="2275"/>
      <c r="F5" s="2275"/>
      <c r="G5" s="2276"/>
    </row>
    <row r="6" spans="1:7" ht="18.75" x14ac:dyDescent="0.25">
      <c r="A6" s="1534" t="s">
        <v>1818</v>
      </c>
      <c r="B6" s="1535"/>
      <c r="C6" s="1535"/>
      <c r="D6" s="1535"/>
      <c r="E6" s="1535"/>
      <c r="F6" s="1535"/>
      <c r="G6" s="1536"/>
    </row>
    <row r="7" spans="1:7" ht="30.75" customHeight="1" x14ac:dyDescent="0.25">
      <c r="A7" s="2277" t="s">
        <v>1931</v>
      </c>
      <c r="B7" s="2278"/>
      <c r="C7" s="2278"/>
      <c r="D7" s="2278"/>
      <c r="E7" s="2278"/>
      <c r="F7" s="2278"/>
      <c r="G7" s="2279"/>
    </row>
    <row r="8" spans="1:7" ht="15.75" customHeight="1" x14ac:dyDescent="0.25">
      <c r="A8" s="2280" t="s">
        <v>1906</v>
      </c>
      <c r="B8" s="2281"/>
      <c r="C8" s="2281"/>
      <c r="D8" s="2281"/>
      <c r="E8" s="2281"/>
      <c r="F8" s="2281"/>
      <c r="G8" s="2282"/>
    </row>
    <row r="9" spans="1:7" ht="35.25" customHeight="1" x14ac:dyDescent="0.25">
      <c r="A9" s="2277" t="s">
        <v>1934</v>
      </c>
      <c r="B9" s="2278"/>
      <c r="C9" s="2278"/>
      <c r="D9" s="2278"/>
      <c r="E9" s="2278"/>
      <c r="F9" s="2278"/>
      <c r="G9" s="2279"/>
    </row>
    <row r="10" spans="1:7" ht="15" customHeight="1" x14ac:dyDescent="0.25">
      <c r="A10" s="1537" t="s">
        <v>1819</v>
      </c>
      <c r="B10" s="1538"/>
      <c r="C10" s="1538"/>
      <c r="D10" s="1538"/>
      <c r="E10" s="1538"/>
      <c r="F10" s="1538"/>
      <c r="G10" s="1539"/>
    </row>
    <row r="11" spans="1:7" ht="17.25" customHeight="1" x14ac:dyDescent="0.25">
      <c r="A11" s="2277" t="s">
        <v>1933</v>
      </c>
      <c r="B11" s="2278"/>
      <c r="C11" s="2278"/>
      <c r="D11" s="2278"/>
      <c r="E11" s="2278"/>
      <c r="F11" s="2278"/>
      <c r="G11" s="2279"/>
    </row>
    <row r="12" spans="1:7" ht="15" customHeight="1" x14ac:dyDescent="0.25">
      <c r="A12" s="1537" t="s">
        <v>1824</v>
      </c>
      <c r="B12" s="1538"/>
      <c r="C12" s="1538"/>
      <c r="D12" s="1538"/>
      <c r="E12" s="1538"/>
      <c r="F12" s="1538"/>
      <c r="G12" s="1539"/>
    </row>
    <row r="13" spans="1:7" ht="32.25" customHeight="1" x14ac:dyDescent="0.25">
      <c r="A13" s="2268" t="s">
        <v>1975</v>
      </c>
      <c r="B13" s="2269"/>
      <c r="C13" s="2269"/>
      <c r="D13" s="2269"/>
      <c r="E13" s="2269"/>
      <c r="F13" s="2269"/>
      <c r="G13" s="2270"/>
    </row>
    <row r="14" spans="1:7" x14ac:dyDescent="0.25">
      <c r="A14" s="1661" t="s">
        <v>1832</v>
      </c>
      <c r="B14" s="1662"/>
      <c r="C14" s="1662"/>
      <c r="D14" s="1662"/>
      <c r="E14" s="1662"/>
      <c r="F14" s="1662"/>
      <c r="G14" s="1663"/>
    </row>
    <row r="15" spans="1:7" ht="61.5" customHeight="1" x14ac:dyDescent="0.25">
      <c r="A15" s="1546" t="s">
        <v>1825</v>
      </c>
      <c r="B15" s="1546" t="s">
        <v>1826</v>
      </c>
      <c r="C15" s="1546" t="s">
        <v>1827</v>
      </c>
      <c r="D15" s="1547" t="s">
        <v>1828</v>
      </c>
      <c r="E15" s="1547" t="s">
        <v>1820</v>
      </c>
      <c r="F15" s="1547" t="s">
        <v>1829</v>
      </c>
      <c r="G15" s="1547" t="s">
        <v>1830</v>
      </c>
    </row>
    <row r="16" spans="1:7" x14ac:dyDescent="0.25">
      <c r="A16" s="1648" t="s">
        <v>1833</v>
      </c>
      <c r="B16" s="1649" t="s">
        <v>1823</v>
      </c>
      <c r="C16" s="1650" t="s">
        <v>1821</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2132</v>
      </c>
      <c r="B17" s="1939" t="s">
        <v>2153</v>
      </c>
      <c r="C17" s="1938" t="s">
        <v>2133</v>
      </c>
      <c r="D17" s="1844">
        <v>10300</v>
      </c>
      <c r="E17" s="1540">
        <f t="shared" ref="E17:E141" si="0">IF(D17&lt;=25000,D17,IF(D17&gt;25000,25000,0))</f>
        <v>10300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937" t="s">
        <v>2134</v>
      </c>
      <c r="B18" s="1939" t="s">
        <v>2154</v>
      </c>
      <c r="C18" s="1938" t="s">
        <v>2135</v>
      </c>
      <c r="D18" s="1844">
        <v>31000</v>
      </c>
      <c r="E18" s="1540">
        <f t="shared" ref="E18:E140" si="2">IF(D18&lt;=25000,D18,IF(D18&gt;25000,25000,0))</f>
        <v>25000</v>
      </c>
      <c r="F18" s="1932">
        <f t="shared" si="1"/>
        <v>0</v>
      </c>
      <c r="G18" s="1793">
        <f t="shared" ref="G18:G140" si="3">IF(F18=0,0,D18-F18)</f>
        <v>0</v>
      </c>
    </row>
    <row r="19" spans="1:8" x14ac:dyDescent="0.25">
      <c r="A19" s="1937" t="s">
        <v>2136</v>
      </c>
      <c r="B19" s="1939" t="s">
        <v>2155</v>
      </c>
      <c r="C19" s="1938" t="s">
        <v>2137</v>
      </c>
      <c r="D19" s="1844">
        <v>2622.16</v>
      </c>
      <c r="E19" s="1540">
        <f t="shared" si="2"/>
        <v>2622.16</v>
      </c>
      <c r="F19" s="1932">
        <f t="shared" si="1"/>
        <v>0</v>
      </c>
      <c r="G19" s="1793">
        <f t="shared" si="3"/>
        <v>0</v>
      </c>
    </row>
    <row r="20" spans="1:8" x14ac:dyDescent="0.25">
      <c r="A20" s="1937" t="s">
        <v>2138</v>
      </c>
      <c r="B20" s="1939" t="s">
        <v>2156</v>
      </c>
      <c r="C20" s="1938" t="s">
        <v>2139</v>
      </c>
      <c r="D20" s="1844">
        <v>7248.75</v>
      </c>
      <c r="E20" s="1540">
        <f t="shared" si="2"/>
        <v>7248.75</v>
      </c>
      <c r="F20" s="1932">
        <f t="shared" si="1"/>
        <v>7248.75</v>
      </c>
      <c r="G20" s="1793">
        <f t="shared" si="3"/>
        <v>0</v>
      </c>
    </row>
    <row r="21" spans="1:8" x14ac:dyDescent="0.25">
      <c r="A21" s="1937" t="s">
        <v>2140</v>
      </c>
      <c r="B21" s="1939" t="s">
        <v>2156</v>
      </c>
      <c r="C21" s="1938" t="s">
        <v>2141</v>
      </c>
      <c r="D21" s="1844">
        <v>23220</v>
      </c>
      <c r="E21" s="1540">
        <f t="shared" si="2"/>
        <v>23220</v>
      </c>
      <c r="F21" s="1932">
        <f t="shared" si="1"/>
        <v>23220</v>
      </c>
      <c r="G21" s="1793">
        <f t="shared" si="3"/>
        <v>0</v>
      </c>
    </row>
    <row r="22" spans="1:8" x14ac:dyDescent="0.25">
      <c r="A22" s="1937" t="s">
        <v>2142</v>
      </c>
      <c r="B22" s="1939" t="s">
        <v>2156</v>
      </c>
      <c r="C22" s="1938" t="s">
        <v>2143</v>
      </c>
      <c r="D22" s="1844">
        <v>3611.36</v>
      </c>
      <c r="E22" s="1540">
        <f t="shared" si="2"/>
        <v>3611.36</v>
      </c>
      <c r="F22" s="1932">
        <f t="shared" si="1"/>
        <v>3611.36</v>
      </c>
      <c r="G22" s="1793">
        <f t="shared" si="3"/>
        <v>0</v>
      </c>
    </row>
    <row r="23" spans="1:8" x14ac:dyDescent="0.25">
      <c r="A23" s="1937" t="s">
        <v>2144</v>
      </c>
      <c r="B23" s="1939" t="s">
        <v>2157</v>
      </c>
      <c r="C23" s="1938" t="s">
        <v>2145</v>
      </c>
      <c r="D23" s="1844">
        <v>15225</v>
      </c>
      <c r="E23" s="1540">
        <f t="shared" si="2"/>
        <v>15225</v>
      </c>
      <c r="F23" s="1932">
        <f t="shared" si="1"/>
        <v>15225</v>
      </c>
      <c r="G23" s="1793">
        <f t="shared" si="3"/>
        <v>0</v>
      </c>
    </row>
    <row r="24" spans="1:8" x14ac:dyDescent="0.25">
      <c r="A24" s="1937" t="s">
        <v>2144</v>
      </c>
      <c r="B24" s="1939" t="s">
        <v>2157</v>
      </c>
      <c r="C24" s="1938" t="s">
        <v>2146</v>
      </c>
      <c r="D24" s="1844">
        <v>103528</v>
      </c>
      <c r="E24" s="1540">
        <f t="shared" si="2"/>
        <v>25000</v>
      </c>
      <c r="F24" s="1932">
        <f t="shared" si="1"/>
        <v>25000</v>
      </c>
      <c r="G24" s="1793">
        <f t="shared" si="3"/>
        <v>78528</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941" t="s">
        <v>2152</v>
      </c>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196755.27000000002</v>
      </c>
      <c r="E141" s="1541">
        <f t="shared" si="0"/>
        <v>25000</v>
      </c>
      <c r="F141" s="1933">
        <f>SUM(F17:F140)</f>
        <v>74305.11</v>
      </c>
      <c r="G141" s="1795">
        <f>SUM(G17:G140)</f>
        <v>78528</v>
      </c>
    </row>
  </sheetData>
  <sheetProtection password="F60E" sheet="1" selectLockedCells="1"/>
  <mergeCells count="6">
    <mergeCell ref="A13:G13"/>
    <mergeCell ref="A4:G5"/>
    <mergeCell ref="A11:G11"/>
    <mergeCell ref="A7:G7"/>
    <mergeCell ref="A8:G8"/>
    <mergeCell ref="A9:G9"/>
  </mergeCells>
  <pageMargins left="0.2" right="0.2" top="0.45" bottom="0.25" header="0.3" footer="0.15"/>
  <pageSetup scale="83" firstPageNumber="31" fitToHeight="0" orientation="landscape" useFirstPageNumber="1" r:id="rId1"/>
  <headerFooter differentFirst="1" scaleWithDoc="0">
    <oddFooter>&amp;LSee notes to financial statements.&amp;C&amp;P</oddFooter>
    <firstFooter>&amp;LSee notes to financial statements.&amp;C31</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B8" sqref="B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38433</v>
      </c>
      <c r="F10" s="974"/>
      <c r="G10" s="975"/>
      <c r="H10" s="162"/>
      <c r="I10" s="162"/>
    </row>
    <row r="11" spans="1:9" s="668" customFormat="1" ht="22.5" customHeight="1" x14ac:dyDescent="0.2">
      <c r="A11" s="2288" t="s">
        <v>1976</v>
      </c>
      <c r="B11" s="2289"/>
      <c r="C11" s="2289"/>
      <c r="D11" s="2290"/>
      <c r="E11" s="977">
        <v>2826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1520733</v>
      </c>
      <c r="F19" s="1799"/>
      <c r="G19" s="1801">
        <f>'Expenditures 15-22'!K33-SUM('Expenditures 15-22'!G33,'Expenditures 15-22'!I33)+'Expenditures 15-22'!D229</f>
        <v>1520733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102716</v>
      </c>
      <c r="F21" s="1802"/>
      <c r="G21" s="1805">
        <f>'Expenditures 15-22'!K42-SUM('Expenditures 15-22'!G42,'Expenditures 15-22'!I42)+'Expenditures 15-22'!K120-SUM('Expenditures 15-22'!G120,'Expenditures 15-22'!I120)+'Expenditures 15-22'!K180-SUM('Expenditures 15-22'!G180,'Expenditures 15-22'!I180)+'Expenditures 15-22'!D238</f>
        <v>102716</v>
      </c>
      <c r="H21" s="987"/>
      <c r="I21" s="162"/>
    </row>
    <row r="22" spans="1:9" s="668" customFormat="1" ht="12" customHeight="1" x14ac:dyDescent="0.2">
      <c r="A22" s="994" t="s">
        <v>564</v>
      </c>
      <c r="B22" s="995"/>
      <c r="C22" s="993">
        <v>2200</v>
      </c>
      <c r="D22" s="1802"/>
      <c r="E22" s="1804">
        <f>'Expenditures 15-22'!K47-SUM('Expenditures 15-22'!G47,'Expenditures 15-22'!I47)+'Expenditures 15-22'!D243</f>
        <v>0</v>
      </c>
      <c r="F22" s="1802"/>
      <c r="G22" s="1805">
        <f>'Expenditures 15-22'!K47-SUM('Expenditures 15-22'!G47,'Expenditures 15-22'!I47)+'Expenditures 15-22'!D243</f>
        <v>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71108</v>
      </c>
      <c r="F23" s="1802"/>
      <c r="G23" s="1804">
        <f>'Expenditures 15-22'!K53-SUM('Expenditures 15-22'!G53,'Expenditures 15-22'!I53)+'Expenditures 15-22'!D257+'Expenditures 15-22'!K330-SUM('Expenditures 15-22'!G330,'Expenditures 15-22'!I330)</f>
        <v>71108</v>
      </c>
      <c r="H23" s="987"/>
      <c r="I23" s="162"/>
    </row>
    <row r="24" spans="1:9" s="668" customFormat="1" ht="12" customHeight="1" x14ac:dyDescent="0.2">
      <c r="A24" s="994" t="s">
        <v>566</v>
      </c>
      <c r="B24" s="995"/>
      <c r="C24" s="993">
        <v>2400</v>
      </c>
      <c r="D24" s="1802"/>
      <c r="E24" s="1804">
        <f>'Expenditures 15-22'!K57-SUM('Expenditures 15-22'!G57,'Expenditures 15-22'!I57)+'Expenditures 15-22'!D261</f>
        <v>215537</v>
      </c>
      <c r="F24" s="1802"/>
      <c r="G24" s="1805">
        <f>'Expenditures 15-22'!K57-SUM('Expenditures 15-22'!G57,'Expenditures 15-22'!I57)+'Expenditures 15-22'!D261</f>
        <v>215537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78115</v>
      </c>
      <c r="E27" s="1804">
        <f>E8</f>
        <v>0</v>
      </c>
      <c r="F27" s="1804">
        <f>'Expenditures 15-22'!K60-SUM('Expenditures 15-22'!G60,'Expenditures 15-22'!I60)+'Expenditures 15-22'!D264-E8</f>
        <v>78115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234983</v>
      </c>
      <c r="F28" s="1806">
        <f>'Expenditures 15-22'!K61-SUM('Expenditures 15-22'!G61,'Expenditures 15-22'!I61)+'Expenditures 15-22'!K124-SUM('Expenditures 15-22'!G124,'Expenditures 15-22'!I124)+'Expenditures 15-22'!D266-E9</f>
        <v>234983</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119808</v>
      </c>
      <c r="F29" s="1802"/>
      <c r="G29" s="1805">
        <f>'Expenditures 15-22'!K62-SUM('Expenditures 15-22'!G62,'Expenditures 15-22'!I62)+'Expenditures 15-22'!K125-SUM('Expenditures 15-22'!G125,'Expenditures 15-22'!I125)+'Expenditures 15-22'!K182-SUM('Expenditures 15-22'!G182,'Expenditures 15-22'!I182)+'Expenditures 15-22'!D267</f>
        <v>119808</v>
      </c>
      <c r="H29" s="985"/>
    </row>
    <row r="30" spans="1:9" ht="12" customHeight="1" x14ac:dyDescent="0.2">
      <c r="A30" s="994" t="s">
        <v>100</v>
      </c>
      <c r="B30" s="997"/>
      <c r="C30" s="993">
        <v>2560</v>
      </c>
      <c r="D30" s="1802"/>
      <c r="E30" s="1804">
        <f>'Expenditures 15-22'!K63-SUM('Expenditures 15-22'!G63,'Expenditures 15-22'!I63)+'Expenditures 15-22'!D268-E10</f>
        <v>33997</v>
      </c>
      <c r="F30" s="1802"/>
      <c r="G30" s="1804">
        <f>'Expenditures 15-22'!K63-SUM('Expenditures 15-22'!G63,'Expenditures 15-22'!I63)+'Expenditures 15-22'!D268-E10</f>
        <v>33997</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5293</v>
      </c>
      <c r="E36" s="1804">
        <f>E13</f>
        <v>0</v>
      </c>
      <c r="F36" s="1804">
        <f>'Expenditures 15-22'!K70-SUM('Expenditures 15-22'!G70,'Expenditures 15-22'!I70)+'Expenditures 15-22'!D275-E13</f>
        <v>5293</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1822</v>
      </c>
      <c r="B40" s="991"/>
      <c r="C40" s="993"/>
      <c r="D40" s="1802"/>
      <c r="E40" s="1806">
        <f>-'Contracts Paid in CY 29'!G141</f>
        <v>-78528</v>
      </c>
      <c r="F40" s="1802"/>
      <c r="G40" s="1806">
        <f>-'Contracts Paid in CY 29'!G141</f>
        <v>-78528</v>
      </c>
    </row>
    <row r="41" spans="1:7" ht="12" customHeight="1" x14ac:dyDescent="0.2">
      <c r="A41" s="998" t="s">
        <v>156</v>
      </c>
      <c r="B41" s="999"/>
      <c r="C41" s="1000"/>
      <c r="D41" s="1806">
        <f>SUM(D19:D39)</f>
        <v>83408</v>
      </c>
      <c r="E41" s="1806">
        <f>SUM(E19:E40)</f>
        <v>2220354</v>
      </c>
      <c r="F41" s="1806">
        <f>SUM(F19:F39)</f>
        <v>318391</v>
      </c>
      <c r="G41" s="1806">
        <f>SUM(G19:G40)</f>
        <v>1985371</v>
      </c>
    </row>
    <row r="42" spans="1:7" x14ac:dyDescent="0.2">
      <c r="A42" s="987"/>
      <c r="B42" s="162"/>
      <c r="C42" s="1001"/>
      <c r="D42" s="2286" t="s">
        <v>522</v>
      </c>
      <c r="E42" s="2287"/>
      <c r="F42" s="1002" t="s">
        <v>523</v>
      </c>
      <c r="G42" s="1003"/>
    </row>
    <row r="43" spans="1:7" ht="12" customHeight="1" x14ac:dyDescent="0.2">
      <c r="A43" s="987"/>
      <c r="B43" s="162"/>
      <c r="C43" s="1001"/>
      <c r="D43" s="1807" t="s">
        <v>473</v>
      </c>
      <c r="E43" s="1808">
        <f>D41</f>
        <v>83408</v>
      </c>
      <c r="F43" s="1807" t="s">
        <v>473</v>
      </c>
      <c r="G43" s="1808">
        <f>F41</f>
        <v>318391</v>
      </c>
    </row>
    <row r="44" spans="1:7" ht="12" customHeight="1" x14ac:dyDescent="0.2">
      <c r="A44" s="987"/>
      <c r="B44" s="162"/>
      <c r="C44" s="1001"/>
      <c r="D44" s="1807" t="s">
        <v>474</v>
      </c>
      <c r="E44" s="1808">
        <f>E41</f>
        <v>2220354</v>
      </c>
      <c r="F44" s="1807" t="s">
        <v>474</v>
      </c>
      <c r="G44" s="1808">
        <f>G41</f>
        <v>1985371</v>
      </c>
    </row>
    <row r="45" spans="1:7" ht="12" customHeight="1" x14ac:dyDescent="0.2">
      <c r="A45" s="987"/>
      <c r="B45" s="162"/>
      <c r="C45" s="162"/>
      <c r="D45" s="1809" t="s">
        <v>1006</v>
      </c>
      <c r="E45" s="1810">
        <f>(E43/E44)</f>
        <v>3.7565181047706807E-2</v>
      </c>
      <c r="F45" s="1809" t="s">
        <v>1006</v>
      </c>
      <c r="G45" s="1810">
        <f>(G43/G44)</f>
        <v>0.16036851550667355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25"/>
  <pageSetup scale="85" firstPageNumber="30" orientation="landscape" useFirstPageNumber="1" r:id="rId1"/>
  <headerFooter scaleWithDoc="0">
    <oddHeader>&amp;C&amp;"Arial,Bold"
ESTIMATED INDIRECT COST DATA</oddHeader>
    <oddFooter>&amp;LSee notes to financial statements.&amp;C35</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 sqref="A4:F4"/>
      <selection pane="bottomLeft" activeCell="L20" sqref="L20"/>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5" t="s">
        <v>1379</v>
      </c>
      <c r="B1" s="2305"/>
      <c r="C1" s="2305"/>
      <c r="D1" s="2305"/>
      <c r="E1" s="2305"/>
      <c r="F1" s="2305"/>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306" t="s">
        <v>1546</v>
      </c>
      <c r="B5" s="2307"/>
      <c r="C5" s="2308"/>
      <c r="D5" s="2308"/>
      <c r="E5" s="2308"/>
      <c r="F5" s="2308"/>
    </row>
    <row r="6" spans="1:10" ht="12" customHeight="1" x14ac:dyDescent="0.25">
      <c r="A6" s="1850"/>
      <c r="B6" s="1851"/>
      <c r="C6" s="2309" t="str">
        <f>COVER!A17</f>
        <v>Career Center of Southern IL</v>
      </c>
      <c r="D6" s="2309"/>
      <c r="E6" s="2309"/>
      <c r="F6" s="1852"/>
    </row>
    <row r="7" spans="1:10" ht="11.25" customHeight="1" thickBot="1" x14ac:dyDescent="0.3">
      <c r="A7" s="1850"/>
      <c r="B7" s="1851"/>
      <c r="C7" s="2310">
        <f>COVER!A13</f>
        <v>45000000040</v>
      </c>
      <c r="D7" s="2310"/>
      <c r="E7" s="2310"/>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t="s">
        <v>2064</v>
      </c>
      <c r="D29" s="1865" t="s">
        <v>2064</v>
      </c>
      <c r="E29" s="1868" t="s">
        <v>2086</v>
      </c>
      <c r="F29" s="1867" t="s">
        <v>2087</v>
      </c>
      <c r="H29" s="1878">
        <f t="shared" si="0"/>
        <v>5</v>
      </c>
      <c r="I29" s="1878">
        <f t="shared" si="1"/>
        <v>5</v>
      </c>
      <c r="J29" s="1878">
        <f t="shared" si="2"/>
        <v>0</v>
      </c>
    </row>
    <row r="30" spans="1:12" ht="12" customHeight="1" x14ac:dyDescent="0.2">
      <c r="A30" s="1863" t="s">
        <v>1538</v>
      </c>
      <c r="B30" s="1864"/>
      <c r="C30" s="1865" t="s">
        <v>2064</v>
      </c>
      <c r="D30" s="1865" t="s">
        <v>2064</v>
      </c>
      <c r="E30" s="1868" t="s">
        <v>2086</v>
      </c>
      <c r="F30" s="1867" t="s">
        <v>2088</v>
      </c>
      <c r="H30" s="1878">
        <f t="shared" si="0"/>
        <v>5</v>
      </c>
      <c r="I30" s="1878">
        <f t="shared" si="1"/>
        <v>5</v>
      </c>
      <c r="J30" s="1878">
        <f t="shared" si="2"/>
        <v>0</v>
      </c>
    </row>
    <row r="31" spans="1:12" ht="12" customHeight="1" x14ac:dyDescent="0.2">
      <c r="A31" s="1863" t="s">
        <v>1539</v>
      </c>
      <c r="B31" s="1864"/>
      <c r="C31" s="1865" t="s">
        <v>2064</v>
      </c>
      <c r="D31" s="1865" t="s">
        <v>2064</v>
      </c>
      <c r="E31" s="1868" t="s">
        <v>2086</v>
      </c>
      <c r="F31" s="1867" t="s">
        <v>2088</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1392</v>
      </c>
      <c r="B35" s="1872"/>
      <c r="C35" s="2311"/>
      <c r="D35" s="2311"/>
      <c r="E35" s="2311"/>
      <c r="F35" s="2312"/>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297"/>
      <c r="B38" s="2298"/>
      <c r="C38" s="2298"/>
      <c r="D38" s="2298"/>
      <c r="E38" s="2298"/>
      <c r="F38" s="2299"/>
    </row>
    <row r="39" spans="1:11" ht="4.5" hidden="1" customHeight="1" x14ac:dyDescent="0.2">
      <c r="A39" s="1873"/>
      <c r="B39" s="1873"/>
      <c r="C39" s="1873"/>
      <c r="D39" s="1873"/>
      <c r="E39" s="1873"/>
      <c r="F39" s="1873"/>
    </row>
    <row r="40" spans="1:11" s="1870" customFormat="1" ht="12" customHeight="1" x14ac:dyDescent="0.25">
      <c r="A40" s="1874" t="s">
        <v>1391</v>
      </c>
      <c r="B40" s="1875"/>
      <c r="C40" s="2300"/>
      <c r="D40" s="2300"/>
      <c r="E40" s="2300"/>
      <c r="F40" s="2301"/>
      <c r="H40" s="1879"/>
      <c r="I40" s="1879"/>
      <c r="J40" s="1879"/>
      <c r="K40" s="1879"/>
    </row>
    <row r="41" spans="1:11" s="1870" customFormat="1" ht="12" customHeight="1" x14ac:dyDescent="0.25">
      <c r="A41" s="2302" t="s">
        <v>2089</v>
      </c>
      <c r="B41" s="2303"/>
      <c r="C41" s="2303"/>
      <c r="D41" s="2303"/>
      <c r="E41" s="2303"/>
      <c r="F41" s="2304"/>
      <c r="H41" s="1879"/>
      <c r="I41" s="1879"/>
      <c r="J41" s="1879"/>
      <c r="K41" s="1879"/>
    </row>
    <row r="42" spans="1:11" s="1870" customFormat="1" ht="12" customHeight="1" x14ac:dyDescent="0.25">
      <c r="A42" s="2302" t="s">
        <v>2090</v>
      </c>
      <c r="B42" s="2303"/>
      <c r="C42" s="2303"/>
      <c r="D42" s="2303"/>
      <c r="E42" s="2303"/>
      <c r="F42" s="2304"/>
      <c r="H42" s="1879"/>
      <c r="I42" s="1879"/>
      <c r="J42" s="1879"/>
      <c r="K42" s="1879"/>
    </row>
    <row r="43" spans="1:11" s="1870" customFormat="1" ht="15" x14ac:dyDescent="0.25">
      <c r="A43" s="2291" t="s">
        <v>2091</v>
      </c>
      <c r="B43" s="2292"/>
      <c r="C43" s="2292"/>
      <c r="D43" s="2292"/>
      <c r="E43" s="2292"/>
      <c r="F43" s="2293"/>
      <c r="H43" s="1879"/>
      <c r="I43" s="1879"/>
      <c r="J43" s="1879"/>
      <c r="K43" s="1879"/>
    </row>
    <row r="44" spans="1:11" s="1870" customFormat="1" ht="12" hidden="1" customHeight="1" x14ac:dyDescent="0.25">
      <c r="A44" s="2291"/>
      <c r="B44" s="2292"/>
      <c r="C44" s="2292"/>
      <c r="D44" s="2292"/>
      <c r="E44" s="2292"/>
      <c r="F44" s="229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25"/>
  <pageSetup scale="84" orientation="landscape" r:id="rId1"/>
  <headerFooter scaleWithDoc="0">
    <oddFooter>&amp;LSee notes to financial statements.&amp;C36</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G21" sqref="G2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8" t="str">
        <f>COVER!A17</f>
        <v>Career Center of Southern IL</v>
      </c>
      <c r="J6" s="2319"/>
      <c r="Q6" s="1664"/>
    </row>
    <row r="7" spans="1:17" x14ac:dyDescent="0.2">
      <c r="A7" s="2320" t="s">
        <v>869</v>
      </c>
      <c r="B7" s="2321"/>
      <c r="C7" s="2321"/>
      <c r="D7" s="2321"/>
      <c r="E7" s="2322"/>
      <c r="F7" s="1017"/>
      <c r="G7" s="1009"/>
      <c r="H7" s="1016" t="s">
        <v>372</v>
      </c>
      <c r="I7" s="2323">
        <f>COVER!A13</f>
        <v>45000000040</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7" t="s">
        <v>7</v>
      </c>
      <c r="C18" s="2328"/>
      <c r="D18" s="232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0</v>
      </c>
      <c r="F19" s="1813">
        <f t="shared" si="2"/>
        <v>0</v>
      </c>
      <c r="G19" s="1813">
        <f t="shared" si="2"/>
        <v>0</v>
      </c>
      <c r="H19" s="1813">
        <f t="shared" si="2"/>
        <v>0</v>
      </c>
      <c r="I19" s="1813">
        <f t="shared" si="2"/>
        <v>0</v>
      </c>
      <c r="J19" s="1813">
        <f t="shared" si="2"/>
        <v>0</v>
      </c>
    </row>
    <row r="20" spans="1:10" ht="13.5" thickTop="1" x14ac:dyDescent="0.2">
      <c r="A20" s="1035">
        <v>9</v>
      </c>
      <c r="B20" s="2330" t="s">
        <v>1980</v>
      </c>
      <c r="C20" s="2330"/>
      <c r="D20" s="2331"/>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1982</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scaleWithDoc="0">
    <oddHeader xml:space="preserve">&amp;C </oddHeader>
    <oddFooter>&amp;LSee notes to financial statements.&amp;C37</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9" sqref="B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1940" t="s">
        <v>2147</v>
      </c>
    </row>
    <row r="6" spans="1:2" x14ac:dyDescent="0.2">
      <c r="A6" s="1068">
        <v>2</v>
      </c>
      <c r="B6" s="1940" t="s">
        <v>2148</v>
      </c>
    </row>
    <row r="7" spans="1:2" x14ac:dyDescent="0.2">
      <c r="A7" s="1068">
        <v>3</v>
      </c>
      <c r="B7" s="1940" t="s">
        <v>2149</v>
      </c>
    </row>
    <row r="8" spans="1:2" x14ac:dyDescent="0.2">
      <c r="A8" s="1068">
        <v>4</v>
      </c>
      <c r="B8" s="1940" t="s">
        <v>2150</v>
      </c>
    </row>
    <row r="9" spans="1:2" x14ac:dyDescent="0.2">
      <c r="A9" s="1069">
        <v>5</v>
      </c>
      <c r="B9" s="329" t="s">
        <v>2158</v>
      </c>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Career Center of Southern IL</v>
      </c>
    </row>
    <row r="65" spans="2:2" x14ac:dyDescent="0.2">
      <c r="B65" s="1070">
        <f>COVER!A13</f>
        <v>45000000040</v>
      </c>
    </row>
  </sheetData>
  <phoneticPr fontId="14" type="noConversion"/>
  <pageMargins left="0.2" right="0.2" top="1.17" bottom="0.75" header="0.19" footer="0.25"/>
  <pageSetup scale="78" firstPageNumber="32" orientation="portrait" useFirstPageNumber="1" r:id="rId1"/>
  <headerFooter scaleWithDoc="0">
    <oddHeader xml:space="preserve">&amp;C </oddHeader>
    <oddFooter xml:space="preserve">&amp;LSee notes to financial statements.&amp;C38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topLeftCell="A22" zoomScale="110" zoomScaleNormal="110" workbookViewId="0">
      <selection activeCell="B30" sqref="B3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1616</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1619</v>
      </c>
    </row>
    <row r="72" spans="1:9" ht="9" customHeight="1" x14ac:dyDescent="0.2">
      <c r="A72" s="192"/>
      <c r="B72" s="199"/>
    </row>
    <row r="73" spans="1:9" x14ac:dyDescent="0.2">
      <c r="A73" s="189" t="s">
        <v>1620</v>
      </c>
      <c r="B73" s="169" t="s">
        <v>1783</v>
      </c>
    </row>
    <row r="74" spans="1:9" x14ac:dyDescent="0.2">
      <c r="A74" s="189"/>
      <c r="B74" s="169" t="s">
        <v>1782</v>
      </c>
    </row>
    <row r="75" spans="1:9" ht="8.25" customHeight="1" x14ac:dyDescent="0.2">
      <c r="A75" s="189"/>
      <c r="B75" s="189"/>
    </row>
    <row r="76" spans="1:9" ht="12.2" customHeight="1" x14ac:dyDescent="0.2">
      <c r="A76" s="189" t="s">
        <v>1621</v>
      </c>
      <c r="B76" s="198" t="s">
        <v>1784</v>
      </c>
    </row>
    <row r="77" spans="1:9" ht="12.2" customHeight="1" x14ac:dyDescent="0.2">
      <c r="A77" s="190"/>
      <c r="B77" s="169" t="s">
        <v>1622</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 right="0.7" top="0.75" bottom="0.75" header="0.3" footer="0.25"/>
  <pageSetup scale="73" firstPageNumber="5" fitToHeight="0" orientation="portrait" r:id="rId4"/>
  <headerFooter scaleWithDoc="0">
    <oddFooter>&amp;LSee notes to financial statements.&amp;C2</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7" sqref="C1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28" sqref="D2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619125</xdr:colOff>
                <xdr:row>4</xdr:row>
                <xdr:rowOff>114300</xdr:rowOff>
              </from>
              <to>
                <xdr:col>1</xdr:col>
                <xdr:colOff>1533525</xdr:colOff>
                <xdr:row>8</xdr:row>
                <xdr:rowOff>152400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13" zoomScale="110" zoomScaleNormal="110" workbookViewId="0">
      <selection activeCell="B11" sqref="B1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1986</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1987</v>
      </c>
      <c r="B4" s="2358"/>
      <c r="C4" s="2358"/>
      <c r="D4" s="2358"/>
      <c r="E4" s="2358"/>
      <c r="F4" s="2359"/>
      <c r="G4" s="1074"/>
      <c r="H4" s="1074"/>
    </row>
    <row r="5" spans="1:8" ht="14.25" customHeight="1" x14ac:dyDescent="0.2">
      <c r="A5" s="2360" t="s">
        <v>1983</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3353213</v>
      </c>
      <c r="C8" s="1815">
        <f>'Acct Summary 7-8'!D8</f>
        <v>0</v>
      </c>
      <c r="D8" s="1815">
        <f>'Acct Summary 7-8'!F8</f>
        <v>170024</v>
      </c>
      <c r="E8" s="1815">
        <f>'Acct Summary 7-8'!I8</f>
        <v>0</v>
      </c>
      <c r="F8" s="1815">
        <f>SUM(B8:E8)</f>
        <v>3523237</v>
      </c>
    </row>
    <row r="9" spans="1:8" s="1079" customFormat="1" ht="14.25" customHeight="1" thickBot="1" x14ac:dyDescent="0.25">
      <c r="A9" s="1078" t="s">
        <v>1369</v>
      </c>
      <c r="B9" s="1816">
        <f>'Acct Summary 7-8'!C17</f>
        <v>2306180</v>
      </c>
      <c r="C9" s="1816">
        <f>'Acct Summary 7-8'!D17</f>
        <v>0</v>
      </c>
      <c r="D9" s="1816">
        <f>'Acct Summary 7-8'!F17</f>
        <v>119808</v>
      </c>
      <c r="E9" s="1815"/>
      <c r="F9" s="1815">
        <f>SUM(B9:E9)</f>
        <v>2425988</v>
      </c>
    </row>
    <row r="10" spans="1:8" s="1079" customFormat="1" ht="14.25" thickTop="1" thickBot="1" x14ac:dyDescent="0.25">
      <c r="A10" s="1080" t="s">
        <v>1370</v>
      </c>
      <c r="B10" s="1817">
        <f>(B8-B9)</f>
        <v>1047033</v>
      </c>
      <c r="C10" s="1817">
        <f>(C8-C9)</f>
        <v>0</v>
      </c>
      <c r="D10" s="1817">
        <f>(D8-D9)</f>
        <v>50216</v>
      </c>
      <c r="E10" s="1816">
        <f>(E8-E9)</f>
        <v>0</v>
      </c>
      <c r="F10" s="1818">
        <f>SUM(F8-F9)</f>
        <v>1097249</v>
      </c>
    </row>
    <row r="11" spans="1:8" s="1079" customFormat="1" ht="14.25" thickTop="1" thickBot="1" x14ac:dyDescent="0.25">
      <c r="A11" s="1081" t="s">
        <v>1984</v>
      </c>
      <c r="B11" s="1819">
        <f>'Acct Summary 7-8'!C81</f>
        <v>442373</v>
      </c>
      <c r="C11" s="1819">
        <f>'Acct Summary 7-8'!D81</f>
        <v>0</v>
      </c>
      <c r="D11" s="1819">
        <f>'Acct Summary 7-8'!F81</f>
        <v>58598</v>
      </c>
      <c r="E11" s="1819">
        <f>'Acct Summary 7-8'!I81</f>
        <v>0</v>
      </c>
      <c r="F11" s="1820">
        <f>SUM(B11:E11)</f>
        <v>500971</v>
      </c>
    </row>
    <row r="12" spans="1:8" ht="16.5" customHeight="1" thickTop="1" x14ac:dyDescent="0.2">
      <c r="A12" s="1082"/>
      <c r="B12" s="1083"/>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25"/>
  <pageSetup firstPageNumber="19" fitToHeight="0" orientation="landscape" useFirstPageNumber="1" r:id="rId1"/>
  <headerFooter scaleWithDoc="0">
    <oddFooter>&amp;LSee notes to financial statements.&amp;C39</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9" colorId="8" zoomScaleNormal="100" workbookViewId="0">
      <selection activeCell="D24" sqref="D2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ENTER ACCOUNTING INFO</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scaleWithDoc="0">
    <oddFooter>&amp;LSee notes to financial statements.&amp;C40</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45000000040</v>
      </c>
    </row>
    <row r="3" spans="1:2" x14ac:dyDescent="0.2">
      <c r="A3" t="s">
        <v>956</v>
      </c>
      <c r="B3" s="138" t="str">
        <f>COVER!A15</f>
        <v>Randolph</v>
      </c>
    </row>
    <row r="4" spans="1:2" x14ac:dyDescent="0.2">
      <c r="A4" t="s">
        <v>1007</v>
      </c>
      <c r="B4" s="138" t="str">
        <f>COVER!A17</f>
        <v>Career Center of Southern IL</v>
      </c>
    </row>
    <row r="5" spans="1:2" x14ac:dyDescent="0.2">
      <c r="A5" t="s">
        <v>704</v>
      </c>
      <c r="B5" s="138" t="str">
        <f>COVER!A38</f>
        <v>Mark Stuart</v>
      </c>
    </row>
    <row r="6" spans="1:2" x14ac:dyDescent="0.2">
      <c r="A6" t="s">
        <v>709</v>
      </c>
      <c r="B6" s="138">
        <f>COVER!P35</f>
        <v>0</v>
      </c>
    </row>
    <row r="7" spans="1:2" x14ac:dyDescent="0.2">
      <c r="A7" t="s">
        <v>705</v>
      </c>
      <c r="B7" s="138">
        <f>COVER!I38</f>
        <v>0</v>
      </c>
    </row>
    <row r="8" spans="1:2" x14ac:dyDescent="0.2">
      <c r="A8" t="s">
        <v>706</v>
      </c>
      <c r="B8" s="138" t="str">
        <f>COVER!T38</f>
        <v xml:space="preserve">Kelton Davis </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065-026956</v>
      </c>
    </row>
    <row r="16" spans="1:2" x14ac:dyDescent="0.2">
      <c r="A16" t="s">
        <v>422</v>
      </c>
      <c r="B16" s="138" t="str">
        <f>COVER!T13</f>
        <v xml:space="preserve">Scheffel Boyle </v>
      </c>
    </row>
    <row r="17" spans="1:2" x14ac:dyDescent="0.2">
      <c r="A17" t="s">
        <v>884</v>
      </c>
      <c r="B17" s="138" t="str">
        <f>COVER!T15</f>
        <v>Dale Holtmann</v>
      </c>
    </row>
    <row r="18" spans="1:2" x14ac:dyDescent="0.2">
      <c r="A18" t="s">
        <v>1150</v>
      </c>
      <c r="B18" s="138" t="str">
        <f>COVER!T17</f>
        <v xml:space="preserve">222 East Main Street </v>
      </c>
    </row>
    <row r="19" spans="1:2" x14ac:dyDescent="0.2">
      <c r="A19" t="s">
        <v>886</v>
      </c>
      <c r="B19" s="138" t="str">
        <f>COVER!T25</f>
        <v>dale.holtmann@scheffelboyle.com</v>
      </c>
    </row>
    <row r="20" spans="1:2" x14ac:dyDescent="0.2">
      <c r="A20" t="s">
        <v>887</v>
      </c>
      <c r="B20" s="138" t="str">
        <f>COVER!T19</f>
        <v xml:space="preserve">Belleville </v>
      </c>
    </row>
    <row r="21" spans="1:2" x14ac:dyDescent="0.2">
      <c r="A21" t="s">
        <v>479</v>
      </c>
      <c r="B21" s="138" t="str">
        <f>COVER!X19</f>
        <v xml:space="preserve">IL </v>
      </c>
    </row>
    <row r="22" spans="1:2" x14ac:dyDescent="0.2">
      <c r="A22" t="s">
        <v>888</v>
      </c>
      <c r="B22" s="138">
        <f>COVER!Z19</f>
        <v>62220</v>
      </c>
    </row>
    <row r="23" spans="1:2" x14ac:dyDescent="0.2">
      <c r="A23" t="s">
        <v>1152</v>
      </c>
      <c r="B23" s="138" t="str">
        <f>COVER!T21</f>
        <v>618-277-8100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455924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3850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13551</v>
      </c>
      <c r="C91" s="2" t="s">
        <v>573</v>
      </c>
      <c r="D91" s="2" t="str">
        <f t="shared" si="0"/>
        <v>Error?</v>
      </c>
    </row>
    <row r="92" spans="1:4" x14ac:dyDescent="0.2">
      <c r="A92" s="5">
        <v>31</v>
      </c>
      <c r="B92" s="138">
        <f>'Assets-Liab 5-6'!C39</f>
        <v>442373</v>
      </c>
      <c r="D92" s="2" t="str">
        <f t="shared" si="0"/>
        <v>Error?</v>
      </c>
    </row>
    <row r="93" spans="1:4" x14ac:dyDescent="0.2">
      <c r="A93" s="5">
        <v>32</v>
      </c>
      <c r="B93" s="138">
        <f>'Assets-Liab 5-6'!C41</f>
        <v>455924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58598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58598</v>
      </c>
      <c r="D170" s="2" t="str">
        <f t="shared" si="1"/>
        <v>Error?</v>
      </c>
    </row>
    <row r="171" spans="1:4" x14ac:dyDescent="0.2">
      <c r="A171" s="5">
        <v>110</v>
      </c>
      <c r="B171" s="138">
        <f>'Assets-Liab 5-6'!F41</f>
        <v>58598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v>
      </c>
      <c r="D273" s="2" t="str">
        <f t="shared" si="3"/>
        <v>Error?</v>
      </c>
    </row>
    <row r="274" spans="1:4" x14ac:dyDescent="0.2">
      <c r="A274" s="5">
        <v>213</v>
      </c>
      <c r="B274" s="138">
        <f>'Assets-Liab 5-6'!M17</f>
        <v>1113904</v>
      </c>
      <c r="D274" s="2" t="str">
        <f t="shared" si="3"/>
        <v>Error?</v>
      </c>
    </row>
    <row r="275" spans="1:4" x14ac:dyDescent="0.2">
      <c r="A275" s="5">
        <v>214</v>
      </c>
      <c r="B275" s="138">
        <f>'Assets-Liab 5-6'!M18</f>
        <v>48046</v>
      </c>
      <c r="D275" s="2" t="str">
        <f t="shared" si="3"/>
        <v>Error?</v>
      </c>
    </row>
    <row r="276" spans="1:4" x14ac:dyDescent="0.2">
      <c r="A276" s="5">
        <v>215</v>
      </c>
      <c r="B276" s="138">
        <f>'Assets-Liab 5-6'!M19</f>
        <v>252430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1414381</v>
      </c>
      <c r="C279" s="2" t="s">
        <v>573</v>
      </c>
      <c r="D279" s="2" t="str">
        <f t="shared" si="3"/>
        <v>Error?</v>
      </c>
    </row>
    <row r="280" spans="1:4" x14ac:dyDescent="0.2">
      <c r="A280" s="5">
        <v>219</v>
      </c>
      <c r="B280" s="138">
        <f>'Assets-Liab 5-6'!M40</f>
        <v>1414381</v>
      </c>
      <c r="D280" s="2" t="str">
        <f t="shared" si="3"/>
        <v>Error?</v>
      </c>
    </row>
    <row r="281" spans="1:4" x14ac:dyDescent="0.2">
      <c r="A281" s="5">
        <v>220</v>
      </c>
      <c r="B281" s="138">
        <f>'Assets-Liab 5-6'!M41</f>
        <v>1414381</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507979</v>
      </c>
      <c r="D716" s="2" t="str">
        <f t="shared" si="10"/>
        <v>Error?</v>
      </c>
    </row>
    <row r="717" spans="1:4" x14ac:dyDescent="0.2">
      <c r="A717" s="5">
        <v>656</v>
      </c>
      <c r="B717" s="138">
        <f>'Expenditures 15-22'!C13</f>
        <v>416670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924649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74814</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74814</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573</v>
      </c>
      <c r="D734" s="2" t="str">
        <f t="shared" si="10"/>
        <v>Error?</v>
      </c>
    </row>
    <row r="735" spans="1:4" x14ac:dyDescent="0.2">
      <c r="A735" s="5">
        <v>674</v>
      </c>
      <c r="B735" s="138">
        <f>'Expenditures 15-22'!C55</f>
        <v>153858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153858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57086</v>
      </c>
      <c r="D739" s="2" t="str">
        <f t="shared" si="10"/>
        <v>Error?</v>
      </c>
    </row>
    <row r="740" spans="1:4" x14ac:dyDescent="0.2">
      <c r="A740" s="5">
        <v>679</v>
      </c>
      <c r="B740" s="138">
        <f>'Expenditures 15-22'!C61</f>
        <v>90208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30310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177604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4917</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4917</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411193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1335842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126720</v>
      </c>
      <c r="D774" s="2" t="str">
        <f t="shared" si="11"/>
        <v>Error?</v>
      </c>
    </row>
    <row r="775" spans="1:4" x14ac:dyDescent="0.2">
      <c r="A775" s="5">
        <v>714</v>
      </c>
      <c r="B775" s="138">
        <f>'Expenditures 15-22'!D13</f>
        <v>139380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266100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27632</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27632</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573</v>
      </c>
      <c r="D792" s="2" t="str">
        <f t="shared" si="11"/>
        <v>Error?</v>
      </c>
    </row>
    <row r="793" spans="1:4" x14ac:dyDescent="0.2">
      <c r="A793" s="5">
        <v>732</v>
      </c>
      <c r="B793" s="138">
        <f>'Expenditures 15-22'!D55</f>
        <v>52119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52119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20990</v>
      </c>
      <c r="D797" s="2" t="str">
        <f t="shared" si="11"/>
        <v>Error?</v>
      </c>
    </row>
    <row r="798" spans="1:4" x14ac:dyDescent="0.2">
      <c r="A798" s="5">
        <v>737</v>
      </c>
      <c r="B798" s="138">
        <f>'Expenditures 15-22'!D61</f>
        <v>39487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3687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64164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376</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376</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144291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410391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58771</v>
      </c>
      <c r="D832" s="2" t="str">
        <f t="shared" si="12"/>
        <v>Error?</v>
      </c>
    </row>
    <row r="833" spans="1:4" x14ac:dyDescent="0.2">
      <c r="A833" s="5">
        <v>772</v>
      </c>
      <c r="B833" s="138">
        <f>'Expenditures 15-22'!E13</f>
        <v>49565</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108336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270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270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55680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55680</v>
      </c>
      <c r="C850" s="2" t="s">
        <v>573</v>
      </c>
      <c r="D850" s="2" t="str">
        <f t="shared" si="12"/>
        <v>Error?</v>
      </c>
    </row>
    <row r="851" spans="1:4" x14ac:dyDescent="0.2">
      <c r="A851" s="5">
        <v>790</v>
      </c>
      <c r="B851" s="138">
        <f>'Expenditures 15-22'!E55</f>
        <v>8425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8425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28020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28020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92395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200731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198574</v>
      </c>
      <c r="D890" s="2" t="str">
        <f t="shared" si="12"/>
        <v>Error?</v>
      </c>
    </row>
    <row r="891" spans="1:4" x14ac:dyDescent="0.2">
      <c r="A891" s="5">
        <v>830</v>
      </c>
      <c r="B891" s="138">
        <f>'Expenditures 15-22'!F13</f>
        <v>18436</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217010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7022</v>
      </c>
      <c r="D906" s="2" t="str">
        <f t="shared" si="13"/>
        <v>Error?</v>
      </c>
    </row>
    <row r="907" spans="1:4" x14ac:dyDescent="0.2">
      <c r="A907" s="5">
        <v>846</v>
      </c>
      <c r="B907" s="138">
        <f>'Expenditures 15-22'!F50</f>
        <v>0</v>
      </c>
      <c r="D907" s="2" t="str">
        <f t="shared" si="13"/>
        <v>Error?</v>
      </c>
    </row>
    <row r="908" spans="1:4" x14ac:dyDescent="0.2">
      <c r="A908" s="5">
        <v>847</v>
      </c>
      <c r="B908" s="138">
        <f>'Expenditures 15-22'!F53</f>
        <v>7022</v>
      </c>
      <c r="C908" s="2" t="s">
        <v>573</v>
      </c>
      <c r="D908" s="2" t="str">
        <f t="shared" si="13"/>
        <v>Error?</v>
      </c>
    </row>
    <row r="909" spans="1:4" x14ac:dyDescent="0.2">
      <c r="A909" s="5">
        <v>848</v>
      </c>
      <c r="B909" s="138">
        <f>'Expenditures 15-22'!F55</f>
        <v>60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39</v>
      </c>
      <c r="D913" s="2" t="str">
        <f t="shared" si="13"/>
        <v>Error?</v>
      </c>
    </row>
    <row r="914" spans="1:4" x14ac:dyDescent="0.2">
      <c r="A914" s="5">
        <v>853</v>
      </c>
      <c r="B914" s="138">
        <f>'Expenditures 15-22'!F61</f>
        <v>77268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38433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115740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122822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339832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5265</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5265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5265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5265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4638</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4638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8406</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8406</v>
      </c>
      <c r="C1024" s="2" t="s">
        <v>573</v>
      </c>
      <c r="D1024" s="2" t="str">
        <f t="shared" si="15"/>
        <v>Error?</v>
      </c>
    </row>
    <row r="1025" spans="1:4" x14ac:dyDescent="0.2">
      <c r="A1025" s="5">
        <v>964</v>
      </c>
      <c r="B1025" s="138">
        <f>'Expenditures 15-22'!H55</f>
        <v>1075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1075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9481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14119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892044</v>
      </c>
      <c r="C1104" s="2" t="s">
        <v>573</v>
      </c>
      <c r="D1104" s="2" t="str">
        <f t="shared" si="16"/>
        <v>Error?</v>
      </c>
    </row>
    <row r="1105" spans="1:4" x14ac:dyDescent="0.2">
      <c r="A1105" s="5">
        <v>1044</v>
      </c>
      <c r="B1105" s="138">
        <f>'Expenditures 15-22'!K13</f>
        <v>628689</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1520733</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102716</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102716</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0</v>
      </c>
      <c r="C1119" s="2" t="s">
        <v>573</v>
      </c>
      <c r="D1119" s="2" t="str">
        <f t="shared" si="16"/>
        <v>Error?</v>
      </c>
    </row>
    <row r="1120" spans="1:4" x14ac:dyDescent="0.2">
      <c r="A1120" s="5">
        <v>1059</v>
      </c>
      <c r="B1120" s="138">
        <f>'Expenditures 15-22'!K49</f>
        <v>71108</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71108</v>
      </c>
      <c r="C1122" s="2" t="s">
        <v>573</v>
      </c>
      <c r="D1122" s="2" t="str">
        <f t="shared" si="16"/>
        <v>Error?</v>
      </c>
    </row>
    <row r="1123" spans="1:4" x14ac:dyDescent="0.2">
      <c r="A1123" s="5">
        <v>1062</v>
      </c>
      <c r="B1123" s="138">
        <f>'Expenditures 15-22'!K55</f>
        <v>215537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215537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78115</v>
      </c>
      <c r="C1127" s="2" t="s">
        <v>573</v>
      </c>
      <c r="D1127" s="2" t="str">
        <f t="shared" si="16"/>
        <v>Error?</v>
      </c>
    </row>
    <row r="1128" spans="1:4" x14ac:dyDescent="0.2">
      <c r="A1128" s="5">
        <v>1067</v>
      </c>
      <c r="B1128" s="138">
        <f>'Expenditures 15-22'!K61</f>
        <v>240248</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72430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390793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5293</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5293</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785447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2306180</v>
      </c>
      <c r="C1152" s="2" t="s">
        <v>573</v>
      </c>
      <c r="D1152" s="2" t="str">
        <f t="shared" si="17"/>
        <v>Error?</v>
      </c>
    </row>
    <row r="1153" spans="1:4" x14ac:dyDescent="0.2">
      <c r="A1153" s="5">
        <v>1092</v>
      </c>
      <c r="B1153" s="138">
        <f>'Expenditures 15-22'!K115</f>
        <v>1047033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3987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3987</v>
      </c>
      <c r="C1339" s="2" t="s">
        <v>573</v>
      </c>
      <c r="D1339" s="2" t="str">
        <f t="shared" si="19"/>
        <v>Error?</v>
      </c>
    </row>
    <row r="1340" spans="1:4" x14ac:dyDescent="0.2">
      <c r="A1340" s="5">
        <v>1279</v>
      </c>
      <c r="B1340" s="138">
        <f>'Expenditures 15-22'!C210</f>
        <v>3987</v>
      </c>
      <c r="C1340" s="2" t="s">
        <v>573</v>
      </c>
      <c r="D1340" s="2" t="str">
        <f t="shared" si="19"/>
        <v>Error?</v>
      </c>
    </row>
    <row r="1341" spans="1:4" x14ac:dyDescent="0.2">
      <c r="A1341" s="5">
        <v>1280</v>
      </c>
      <c r="B1341" s="138">
        <f>'Expenditures 15-22'!D182</f>
        <v>1621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1621</v>
      </c>
      <c r="C1345" s="2" t="s">
        <v>573</v>
      </c>
      <c r="D1345" s="2" t="str">
        <f t="shared" si="20"/>
        <v>Error?</v>
      </c>
    </row>
    <row r="1346" spans="1:4" x14ac:dyDescent="0.2">
      <c r="A1346" s="5">
        <v>1285</v>
      </c>
      <c r="B1346" s="138">
        <f>'Expenditures 15-22'!D210</f>
        <v>1621</v>
      </c>
      <c r="C1346" s="2" t="s">
        <v>573</v>
      </c>
      <c r="D1346" s="2" t="str">
        <f t="shared" si="20"/>
        <v>Error?</v>
      </c>
    </row>
    <row r="1347" spans="1:4" x14ac:dyDescent="0.2">
      <c r="A1347" s="5">
        <v>1286</v>
      </c>
      <c r="B1347" s="138">
        <f>'Expenditures 15-22'!E182</f>
        <v>114200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114200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114200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119808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119808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119808</v>
      </c>
      <c r="C1388" s="2" t="s">
        <v>573</v>
      </c>
      <c r="D1388" s="2" t="str">
        <f t="shared" si="20"/>
        <v>Error?</v>
      </c>
    </row>
    <row r="1389" spans="1:4" x14ac:dyDescent="0.2">
      <c r="A1389" s="5">
        <v>1328</v>
      </c>
      <c r="B1389" s="138">
        <f>'Expenditures 15-22'!K211</f>
        <v>50216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582199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442373</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8382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58598</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v>
      </c>
      <c r="D2008" s="2" t="str">
        <f t="shared" si="30"/>
        <v>Error?</v>
      </c>
    </row>
    <row r="2009" spans="1:4" x14ac:dyDescent="0.2">
      <c r="A2009" s="5">
        <v>1948</v>
      </c>
      <c r="B2009" s="138">
        <f>'Cap Outlay Deprec 26'!C8</f>
        <v>1087654</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196631</v>
      </c>
      <c r="D2011" s="2" t="str">
        <f t="shared" si="30"/>
        <v>Error?</v>
      </c>
    </row>
    <row r="2012" spans="1:4" x14ac:dyDescent="0.2">
      <c r="A2012" s="5">
        <v>1951</v>
      </c>
      <c r="B2012" s="138">
        <f>'Cap Outlay Deprec 26'!C13</f>
        <v>17608</v>
      </c>
      <c r="D2012" s="2" t="str">
        <f t="shared" si="30"/>
        <v>Error?</v>
      </c>
    </row>
    <row r="2013" spans="1:4" x14ac:dyDescent="0.2">
      <c r="A2013" s="5">
        <v>1952</v>
      </c>
      <c r="B2013" s="138">
        <f>'Cap Outlay Deprec 26'!C16</f>
        <v>1351379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26250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19378</v>
      </c>
      <c r="D2017" s="2" t="str">
        <f t="shared" si="30"/>
        <v>Error?</v>
      </c>
    </row>
    <row r="2018" spans="1:4" x14ac:dyDescent="0.2">
      <c r="A2018" s="5">
        <v>1957</v>
      </c>
      <c r="B2018" s="138">
        <f>'Cap Outlay Deprec 26'!D13</f>
        <v>4374</v>
      </c>
      <c r="D2018" s="2" t="str">
        <f t="shared" si="30"/>
        <v>Error?</v>
      </c>
    </row>
    <row r="2019" spans="1:4" x14ac:dyDescent="0.2">
      <c r="A2019" s="5">
        <v>1958</v>
      </c>
      <c r="B2019" s="138">
        <f>'Cap Outlay Deprec 26'!D16</f>
        <v>63002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v>
      </c>
      <c r="C2026" s="2" t="s">
        <v>573</v>
      </c>
      <c r="D2026" s="2" t="str">
        <f t="shared" si="30"/>
        <v>Error?</v>
      </c>
    </row>
    <row r="2027" spans="1:4" x14ac:dyDescent="0.2">
      <c r="A2027" s="5">
        <v>1966</v>
      </c>
      <c r="B2027" s="138">
        <f>'Cap Outlay Deprec 26'!F8</f>
        <v>1113904</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216009</v>
      </c>
      <c r="C2029" s="2" t="s">
        <v>573</v>
      </c>
      <c r="D2029" s="2" t="str">
        <f t="shared" si="30"/>
        <v>Error?</v>
      </c>
    </row>
    <row r="2030" spans="1:4" x14ac:dyDescent="0.2">
      <c r="A2030" s="5">
        <v>1969</v>
      </c>
      <c r="B2030" s="138">
        <f>'Cap Outlay Deprec 26'!F13</f>
        <v>21982</v>
      </c>
      <c r="C2030" s="2" t="s">
        <v>573</v>
      </c>
      <c r="D2030" s="2" t="str">
        <f t="shared" si="30"/>
        <v>Error?</v>
      </c>
    </row>
    <row r="2031" spans="1:4" x14ac:dyDescent="0.2">
      <c r="A2031" s="5">
        <v>1970</v>
      </c>
      <c r="B2031" s="138">
        <f>'Cap Outlay Deprec 26'!F16</f>
        <v>1414381</v>
      </c>
      <c r="C2031" s="2" t="s">
        <v>573</v>
      </c>
      <c r="D2031" s="2" t="str">
        <f t="shared" si="30"/>
        <v>Error?</v>
      </c>
    </row>
    <row r="2032" spans="1:4" x14ac:dyDescent="0.2">
      <c r="A2032" s="10">
        <v>1971</v>
      </c>
      <c r="D2032" s="2" t="str">
        <f t="shared" si="30"/>
        <v>OK</v>
      </c>
    </row>
    <row r="2033" spans="1:4" x14ac:dyDescent="0.2">
      <c r="A2033" s="5">
        <v>1972</v>
      </c>
      <c r="B2033" s="138">
        <f>'Cap Outlay Deprec 26'!H8</f>
        <v>203251</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134734</v>
      </c>
      <c r="D2035" s="2" t="str">
        <f t="shared" si="30"/>
        <v>Error?</v>
      </c>
    </row>
    <row r="2036" spans="1:4" x14ac:dyDescent="0.2">
      <c r="A2036" s="5">
        <v>1975</v>
      </c>
      <c r="B2036" s="138">
        <f>'Cap Outlay Deprec 26'!H13</f>
        <v>14421</v>
      </c>
      <c r="D2036" s="2" t="str">
        <f t="shared" si="30"/>
        <v>Error?</v>
      </c>
    </row>
    <row r="2037" spans="1:4" x14ac:dyDescent="0.2">
      <c r="A2037" s="5">
        <v>1976</v>
      </c>
      <c r="B2037" s="138">
        <f>'Cap Outlay Deprec 26'!H16</f>
        <v>376676</v>
      </c>
      <c r="C2037" s="2" t="s">
        <v>573</v>
      </c>
      <c r="D2037" s="2" t="str">
        <f t="shared" si="30"/>
        <v>Error?</v>
      </c>
    </row>
    <row r="2038" spans="1:4" x14ac:dyDescent="0.2">
      <c r="A2038" s="10">
        <v>1977</v>
      </c>
      <c r="D2038" s="2" t="str">
        <f t="shared" si="30"/>
        <v>OK</v>
      </c>
    </row>
    <row r="2039" spans="1:4" x14ac:dyDescent="0.2">
      <c r="A2039" s="5">
        <v>1978</v>
      </c>
      <c r="B2039" s="138">
        <f>'Cap Outlay Deprec 26'!I8</f>
        <v>28021</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14843</v>
      </c>
      <c r="D2041" s="2" t="str">
        <f t="shared" si="30"/>
        <v>Error?</v>
      </c>
    </row>
    <row r="2042" spans="1:4" x14ac:dyDescent="0.2">
      <c r="A2042" s="5">
        <v>1981</v>
      </c>
      <c r="B2042" s="138">
        <f>'Cap Outlay Deprec 26'!I13</f>
        <v>1177</v>
      </c>
      <c r="D2042" s="2" t="str">
        <f t="shared" si="30"/>
        <v>Error?</v>
      </c>
    </row>
    <row r="2043" spans="1:4" x14ac:dyDescent="0.2">
      <c r="A2043" s="5">
        <v>1982</v>
      </c>
      <c r="B2043" s="138">
        <f>'Cap Outlay Deprec 26'!I16</f>
        <v>46288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231272</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149577</v>
      </c>
      <c r="C2053" s="2" t="s">
        <v>573</v>
      </c>
      <c r="D2053" s="2" t="str">
        <f t="shared" si="31"/>
        <v>Error?</v>
      </c>
    </row>
    <row r="2054" spans="1:4" x14ac:dyDescent="0.2">
      <c r="A2054" s="5">
        <v>1993</v>
      </c>
      <c r="B2054" s="138">
        <f>'Cap Outlay Deprec 26'!K13</f>
        <v>15598</v>
      </c>
      <c r="C2054" s="2" t="s">
        <v>573</v>
      </c>
      <c r="D2054" s="2" t="str">
        <f t="shared" si="31"/>
        <v>Error?</v>
      </c>
    </row>
    <row r="2055" spans="1:4" x14ac:dyDescent="0.2">
      <c r="A2055" s="5">
        <v>1994</v>
      </c>
      <c r="B2055" s="138">
        <f>'Cap Outlay Deprec 26'!K16</f>
        <v>422964</v>
      </c>
      <c r="C2055" s="2" t="s">
        <v>573</v>
      </c>
      <c r="D2055" s="2" t="str">
        <f t="shared" si="31"/>
        <v>Error?</v>
      </c>
    </row>
    <row r="2056" spans="1:4" x14ac:dyDescent="0.2">
      <c r="A2056" s="5">
        <v>1995</v>
      </c>
      <c r="B2056" s="138">
        <f>'Cap Outlay Deprec 26'!L5</f>
        <v>1</v>
      </c>
      <c r="C2056" s="2" t="s">
        <v>573</v>
      </c>
      <c r="D2056" s="2" t="str">
        <f t="shared" si="31"/>
        <v>Error?</v>
      </c>
    </row>
    <row r="2057" spans="1:4" x14ac:dyDescent="0.2">
      <c r="A2057" s="5">
        <v>1996</v>
      </c>
      <c r="B2057" s="138">
        <f>'Cap Outlay Deprec 26'!L8</f>
        <v>882632</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66432</v>
      </c>
      <c r="C2059" s="2" t="s">
        <v>573</v>
      </c>
      <c r="D2059" s="2" t="str">
        <f t="shared" si="31"/>
        <v>Error?</v>
      </c>
    </row>
    <row r="2060" spans="1:4" x14ac:dyDescent="0.2">
      <c r="A2060" s="5">
        <v>1999</v>
      </c>
      <c r="B2060" s="138">
        <f>'Cap Outlay Deprec 26'!L13</f>
        <v>6384</v>
      </c>
      <c r="C2060" s="2" t="s">
        <v>573</v>
      </c>
      <c r="D2060" s="2" t="str">
        <f t="shared" si="31"/>
        <v>Error?</v>
      </c>
    </row>
    <row r="2061" spans="1:4" x14ac:dyDescent="0.2">
      <c r="A2061" s="5">
        <v>2000</v>
      </c>
      <c r="B2061" s="138">
        <f>'Cap Outlay Deprec 26'!L16</f>
        <v>991417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791750</v>
      </c>
      <c r="C2551" s="2" t="s">
        <v>573</v>
      </c>
      <c r="D2551" s="2" t="str">
        <f t="shared" si="38"/>
        <v>Error?</v>
      </c>
    </row>
    <row r="2552" spans="1:4" x14ac:dyDescent="0.2">
      <c r="A2552" s="10">
        <v>2491</v>
      </c>
      <c r="D2552" s="2" t="str">
        <f t="shared" si="38"/>
        <v>OK</v>
      </c>
    </row>
    <row r="2553" spans="1:4" x14ac:dyDescent="0.2">
      <c r="A2553" s="5">
        <v>2492</v>
      </c>
      <c r="B2553" s="138">
        <f>'Acct Summary 7-8'!C6</f>
        <v>592586</v>
      </c>
      <c r="C2553" s="2" t="s">
        <v>573</v>
      </c>
      <c r="D2553" s="2" t="str">
        <f t="shared" si="38"/>
        <v>Error?</v>
      </c>
    </row>
    <row r="2554" spans="1:4" x14ac:dyDescent="0.2">
      <c r="A2554" s="5">
        <v>2493</v>
      </c>
      <c r="B2554" s="138">
        <f>'Acct Summary 7-8'!C7</f>
        <v>1763198</v>
      </c>
      <c r="C2554" s="2" t="s">
        <v>573</v>
      </c>
      <c r="D2554" s="2" t="str">
        <f t="shared" si="38"/>
        <v>Error?</v>
      </c>
    </row>
    <row r="2555" spans="1:4" x14ac:dyDescent="0.2">
      <c r="A2555" s="5">
        <v>2494</v>
      </c>
      <c r="B2555" s="138">
        <f>'Acct Summary 7-8'!C8</f>
        <v>3353213</v>
      </c>
      <c r="C2555" s="2" t="s">
        <v>573</v>
      </c>
      <c r="D2555" s="2" t="str">
        <f t="shared" si="38"/>
        <v>Error?</v>
      </c>
    </row>
    <row r="2556" spans="1:4" x14ac:dyDescent="0.2">
      <c r="A2556" s="5">
        <v>2495</v>
      </c>
      <c r="B2556" s="138">
        <f>'Acct Summary 7-8'!C12</f>
        <v>1520733</v>
      </c>
      <c r="C2556" s="2" t="s">
        <v>573</v>
      </c>
      <c r="D2556" s="2" t="str">
        <f t="shared" si="38"/>
        <v>Error?</v>
      </c>
    </row>
    <row r="2557" spans="1:4" x14ac:dyDescent="0.2">
      <c r="A2557" s="5">
        <v>2496</v>
      </c>
      <c r="B2557" s="138">
        <f>'Acct Summary 7-8'!C13</f>
        <v>785447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2306180</v>
      </c>
      <c r="C2561" s="2" t="s">
        <v>573</v>
      </c>
      <c r="D2561" s="2" t="str">
        <f t="shared" si="39"/>
        <v>Error?</v>
      </c>
    </row>
    <row r="2562" spans="1:4" x14ac:dyDescent="0.2">
      <c r="A2562" s="5">
        <v>2501</v>
      </c>
      <c r="B2562" s="138">
        <f>'Acct Summary 7-8'!C20</f>
        <v>1047033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82970</v>
      </c>
      <c r="C2591" s="2" t="s">
        <v>573</v>
      </c>
      <c r="D2591" s="2" t="str">
        <f t="shared" si="39"/>
        <v>Error?</v>
      </c>
    </row>
    <row r="2592" spans="1:4" x14ac:dyDescent="0.2">
      <c r="A2592" s="10">
        <v>2531</v>
      </c>
      <c r="D2592" s="2" t="str">
        <f t="shared" si="39"/>
        <v>OK</v>
      </c>
    </row>
    <row r="2593" spans="1:4" x14ac:dyDescent="0.2">
      <c r="A2593" s="5">
        <v>2532</v>
      </c>
      <c r="B2593" s="138">
        <f>'Acct Summary 7-8'!F6</f>
        <v>87054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170024</v>
      </c>
      <c r="C2595" s="2" t="s">
        <v>573</v>
      </c>
      <c r="D2595" s="2" t="str">
        <f t="shared" si="39"/>
        <v>Error?</v>
      </c>
    </row>
    <row r="2596" spans="1:4" x14ac:dyDescent="0.2">
      <c r="A2596" s="5">
        <v>2535</v>
      </c>
      <c r="B2596" s="138">
        <f>'Acct Summary 7-8'!F13</f>
        <v>119808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119808</v>
      </c>
      <c r="C2600" s="2" t="s">
        <v>573</v>
      </c>
      <c r="D2600" s="2" t="str">
        <f t="shared" si="39"/>
        <v>Error?</v>
      </c>
    </row>
    <row r="2601" spans="1:4" x14ac:dyDescent="0.2">
      <c r="A2601" s="5">
        <v>2540</v>
      </c>
      <c r="B2601" s="138">
        <f>'Acct Summary 7-8'!F20</f>
        <v>50216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1186859</v>
      </c>
      <c r="D3230" s="2" t="str">
        <f t="shared" si="49"/>
        <v>Error?</v>
      </c>
    </row>
    <row r="3231" spans="1:4" x14ac:dyDescent="0.2">
      <c r="A3231" s="5">
        <v>3170</v>
      </c>
      <c r="B3231" s="138">
        <f>'Acct Summary 7-8'!C76</f>
        <v>1186859</v>
      </c>
      <c r="C3231" s="2" t="s">
        <v>573</v>
      </c>
      <c r="D3231" s="2" t="str">
        <f t="shared" si="49"/>
        <v>Error?</v>
      </c>
    </row>
    <row r="3232" spans="1:4" x14ac:dyDescent="0.2">
      <c r="A3232" s="5">
        <v>3171</v>
      </c>
      <c r="B3232" s="138">
        <f>'Acct Summary 7-8'!C77</f>
        <v>-1186859</v>
      </c>
      <c r="C3232" s="2" t="s">
        <v>573</v>
      </c>
      <c r="D3232" s="2" t="str">
        <f t="shared" si="49"/>
        <v>Error?</v>
      </c>
    </row>
    <row r="3233" spans="1:4" x14ac:dyDescent="0.2">
      <c r="A3233" s="5">
        <v>3172</v>
      </c>
      <c r="B3233" s="138">
        <f>'Acct Summary 7-8'!C78</f>
        <v>-139826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50216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205679</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347076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1548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38433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545547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3898760</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170024</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545547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2851727</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119808</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500971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2826</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38093</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1186859</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95375</v>
      </c>
      <c r="D5079" s="2" t="str">
        <f t="shared" si="78"/>
        <v>Error?</v>
      </c>
    </row>
    <row r="5080" spans="1:4" x14ac:dyDescent="0.2">
      <c r="A5080" s="5">
        <v>5019</v>
      </c>
      <c r="B5080" s="138">
        <f>'Revenues 9-14'!C30</f>
        <v>965</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636902</v>
      </c>
      <c r="D5086" s="2" t="str">
        <f t="shared" si="78"/>
        <v>Error?</v>
      </c>
    </row>
    <row r="5087" spans="1:4" x14ac:dyDescent="0.2">
      <c r="A5087" s="5">
        <v>5026</v>
      </c>
      <c r="B5087" s="138">
        <f>'Revenues 9-14'!C40</f>
        <v>733242</v>
      </c>
      <c r="C5087" s="2" t="s">
        <v>573</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7306</v>
      </c>
      <c r="D5095" s="2" t="str">
        <f t="shared" si="78"/>
        <v>Error?</v>
      </c>
    </row>
    <row r="5096" spans="1:4" x14ac:dyDescent="0.2">
      <c r="A5096" s="5">
        <v>5035</v>
      </c>
      <c r="B5096" s="138">
        <f>'Revenues 9-14'!C75</f>
        <v>7306</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6008</v>
      </c>
      <c r="D5099" s="2" t="str">
        <f t="shared" si="78"/>
        <v>Error?</v>
      </c>
    </row>
    <row r="5100" spans="1:4" x14ac:dyDescent="0.2">
      <c r="A5100" s="5">
        <v>5039</v>
      </c>
      <c r="B5100" s="138">
        <f>'Revenues 9-14'!C80</f>
        <v>2865</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8873</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2475</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2475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1761</v>
      </c>
      <c r="D5119" s="2" t="str">
        <f t="shared" ref="D5119:D5182" si="79">IF(ISBLANK(B5119),"OK",IF(A5119-B5119=0,"OK","Error?"))</f>
        <v>Error?</v>
      </c>
    </row>
    <row r="5120" spans="1:4" x14ac:dyDescent="0.2">
      <c r="A5120" s="5">
        <v>5059</v>
      </c>
      <c r="B5120" s="138">
        <f>'Revenues 9-14'!C108</f>
        <v>39854</v>
      </c>
      <c r="C5120" s="2" t="s">
        <v>573</v>
      </c>
      <c r="D5120" s="2" t="str">
        <f t="shared" si="79"/>
        <v>Error?</v>
      </c>
    </row>
    <row r="5121" spans="1:4" x14ac:dyDescent="0.2">
      <c r="A5121" s="5">
        <v>5060</v>
      </c>
      <c r="B5121" s="138">
        <f>'Revenues 9-14'!C109</f>
        <v>791750</v>
      </c>
      <c r="C5121" s="2" t="s">
        <v>573</v>
      </c>
      <c r="D5121" s="2" t="str">
        <f t="shared" si="79"/>
        <v>Error?</v>
      </c>
    </row>
    <row r="5122" spans="1:4" x14ac:dyDescent="0.2">
      <c r="A5122" s="5">
        <v>5061</v>
      </c>
      <c r="B5122" s="138">
        <f>'Revenues 9-14'!C111</f>
        <v>204000</v>
      </c>
      <c r="D5122" s="2" t="str">
        <f t="shared" si="79"/>
        <v>Error?</v>
      </c>
    </row>
    <row r="5123" spans="1:4" x14ac:dyDescent="0.2">
      <c r="A5123" s="5">
        <v>5062</v>
      </c>
      <c r="B5123" s="138">
        <f>'Revenues 9-14'!C112</f>
        <v>1679</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205679</v>
      </c>
      <c r="C5125" s="2" t="s">
        <v>573</v>
      </c>
      <c r="D5125" s="2" t="str">
        <f t="shared" si="79"/>
        <v>Error?</v>
      </c>
    </row>
    <row r="5126" spans="1:4" x14ac:dyDescent="0.2">
      <c r="A5126" s="5">
        <v>5065</v>
      </c>
      <c r="B5126" s="138">
        <f>'Revenues 9-14'!C117</f>
        <v>455108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455108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133778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133778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871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2829</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137478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592586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26600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14848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44274</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532065</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1763198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1763198</v>
      </c>
      <c r="C5326" s="2" t="s">
        <v>573</v>
      </c>
      <c r="D5326" s="2" t="str">
        <f t="shared" si="82"/>
        <v>Error?</v>
      </c>
    </row>
    <row r="5327" spans="1:5" x14ac:dyDescent="0.2">
      <c r="A5327" s="5">
        <v>5266</v>
      </c>
      <c r="B5327" s="138">
        <f>'Revenues 9-14'!C268</f>
        <v>3353213</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82970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82970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82970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87054</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87054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87054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87054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170024</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2826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105027</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57050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3821</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9701</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-139826</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50216</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-0.31608167767924356</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0.85695757534386841</v>
      </c>
      <c r="D6279" s="2" t="str">
        <f t="shared" si="97"/>
        <v>Error?</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35046</v>
      </c>
      <c r="D7597" s="2" t="str">
        <f t="shared" si="122"/>
        <v>Error?</v>
      </c>
      <c r="E7597" s="2" t="s">
        <v>19</v>
      </c>
    </row>
    <row r="7598" spans="1:5" x14ac:dyDescent="0.2">
      <c r="A7598">
        <f t="shared" si="123"/>
        <v>7537</v>
      </c>
      <c r="B7598" s="138">
        <f>'Cap Outlay Deprec 26'!D6</f>
        <v>13000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48046</v>
      </c>
      <c r="D7600" s="2" t="str">
        <f t="shared" si="122"/>
        <v>Error?</v>
      </c>
      <c r="E7600" s="2" t="s">
        <v>19</v>
      </c>
    </row>
    <row r="7601" spans="1:5" x14ac:dyDescent="0.2">
      <c r="A7601">
        <f t="shared" si="123"/>
        <v>7540</v>
      </c>
      <c r="B7601" s="138">
        <f>'Cap Outlay Deprec 26'!H6</f>
        <v>9831</v>
      </c>
      <c r="D7601" s="2" t="str">
        <f t="shared" si="122"/>
        <v>Error?</v>
      </c>
      <c r="E7601" s="2" t="s">
        <v>19</v>
      </c>
    </row>
    <row r="7602" spans="1:5" x14ac:dyDescent="0.2">
      <c r="A7602">
        <f t="shared" si="123"/>
        <v>7541</v>
      </c>
      <c r="B7602" s="138">
        <f>'Cap Outlay Deprec 26'!I6</f>
        <v>2247</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12078</v>
      </c>
      <c r="D7604" s="2" t="str">
        <f t="shared" si="122"/>
        <v>Error?</v>
      </c>
      <c r="E7604" s="2" t="s">
        <v>19</v>
      </c>
    </row>
    <row r="7605" spans="1:5" x14ac:dyDescent="0.2">
      <c r="A7605">
        <f t="shared" si="123"/>
        <v>7544</v>
      </c>
      <c r="B7605" s="138">
        <f>'Cap Outlay Deprec 26'!L6</f>
        <v>35968</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14439</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14439</v>
      </c>
      <c r="D7618" s="2" t="str">
        <f t="shared" si="124"/>
        <v>Error?</v>
      </c>
      <c r="E7618" s="2" t="s">
        <v>19</v>
      </c>
    </row>
    <row r="7619" spans="1:5" x14ac:dyDescent="0.2">
      <c r="A7619">
        <f t="shared" si="123"/>
        <v>7558</v>
      </c>
      <c r="B7619" s="138">
        <f>'Cap Outlay Deprec 26'!H14</f>
        <v>14439</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14439</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46288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196755.27000000002</v>
      </c>
      <c r="D7797" s="2" t="str">
        <f t="shared" si="127"/>
        <v>Error?</v>
      </c>
      <c r="E7797" s="4" t="s">
        <v>1903</v>
      </c>
    </row>
    <row r="7798" spans="1:5" x14ac:dyDescent="0.2">
      <c r="A7798">
        <v>7737</v>
      </c>
      <c r="B7798" s="138">
        <f>'Contracts Paid in CY 29'!F141</f>
        <v>74305.11</v>
      </c>
      <c r="D7798" s="2" t="str">
        <f t="shared" si="127"/>
        <v>Error?</v>
      </c>
      <c r="E7798" s="4" t="s">
        <v>1903</v>
      </c>
    </row>
    <row r="7799" spans="1:5" x14ac:dyDescent="0.2">
      <c r="A7799">
        <v>7738</v>
      </c>
      <c r="B7799" s="138">
        <f>'Contracts Paid in CY 29'!G141</f>
        <v>78528</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5" t="s">
        <v>1191</v>
      </c>
      <c r="B2" s="2405"/>
      <c r="C2" s="2405"/>
      <c r="D2" s="2405"/>
      <c r="E2" s="2405"/>
      <c r="F2" s="2405"/>
      <c r="G2" s="2405"/>
      <c r="H2" s="2405"/>
      <c r="I2" s="2405"/>
      <c r="J2" s="2405"/>
      <c r="K2" s="2405"/>
      <c r="L2" s="2405"/>
    </row>
    <row r="3" spans="1:29" ht="13.5" customHeight="1" x14ac:dyDescent="0.2">
      <c r="A3" s="2391" t="s">
        <v>1190</v>
      </c>
      <c r="B3" s="2391"/>
      <c r="C3" s="2391"/>
      <c r="D3" s="2391"/>
      <c r="E3" s="2391"/>
      <c r="F3" s="2391"/>
      <c r="G3" s="2391"/>
      <c r="H3" s="2391"/>
      <c r="I3" s="2391"/>
      <c r="J3" s="2391"/>
      <c r="K3" s="2391"/>
      <c r="L3" s="2391"/>
    </row>
    <row r="4" spans="1:29" ht="13.5" customHeight="1" x14ac:dyDescent="0.2">
      <c r="A4" s="2405" t="s">
        <v>1988</v>
      </c>
      <c r="B4" s="2422"/>
      <c r="C4" s="2422"/>
      <c r="D4" s="2422"/>
      <c r="E4" s="2422"/>
      <c r="F4" s="2422"/>
      <c r="G4" s="2422"/>
      <c r="H4" s="2422"/>
      <c r="I4" s="2422"/>
      <c r="J4" s="2422"/>
      <c r="K4" s="2422"/>
      <c r="L4" s="242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5" t="str">
        <f>COVER!A17</f>
        <v>Career Center of Southern IL</v>
      </c>
      <c r="B7" s="2386"/>
      <c r="C7" s="2386"/>
      <c r="D7" s="2423"/>
      <c r="E7" s="2424">
        <f>COVER!A13</f>
        <v>45000000040</v>
      </c>
      <c r="F7" s="2425"/>
      <c r="G7" s="2392" t="str">
        <f>COVER!T23</f>
        <v>065-026956</v>
      </c>
      <c r="H7" s="2393"/>
      <c r="I7" s="2393"/>
      <c r="J7" s="2393"/>
      <c r="K7" s="2393"/>
      <c r="L7" s="239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5"/>
      <c r="B9" s="2396"/>
      <c r="C9" s="2396"/>
      <c r="D9" s="2396"/>
      <c r="E9" s="2396"/>
      <c r="F9" s="2397"/>
      <c r="G9" s="2398" t="str">
        <f>COVER!T13</f>
        <v xml:space="preserve">Scheffel Boyle </v>
      </c>
      <c r="H9" s="2399"/>
      <c r="I9" s="2399"/>
      <c r="J9" s="2399"/>
      <c r="K9" s="2399"/>
      <c r="L9" s="2400"/>
    </row>
    <row r="10" spans="1:29" ht="13.5" customHeight="1" x14ac:dyDescent="0.2">
      <c r="A10" s="2382" t="str">
        <f>COVER!A38</f>
        <v>Mark Stuart</v>
      </c>
      <c r="B10" s="2383"/>
      <c r="C10" s="2383"/>
      <c r="D10" s="2383"/>
      <c r="E10" s="2383"/>
      <c r="F10" s="2384"/>
      <c r="G10" s="2398" t="str">
        <f>COVER!T17</f>
        <v xml:space="preserve">222 East Main Street </v>
      </c>
      <c r="H10" s="2411"/>
      <c r="I10" s="2411"/>
      <c r="J10" s="2411"/>
      <c r="K10" s="2411"/>
      <c r="L10" s="2412"/>
    </row>
    <row r="11" spans="1:29" ht="13.5" customHeight="1" x14ac:dyDescent="0.2">
      <c r="A11" s="1184" t="s">
        <v>1519</v>
      </c>
      <c r="B11" s="1185"/>
      <c r="C11" s="1186"/>
      <c r="D11" s="1191"/>
      <c r="E11" s="1186"/>
      <c r="F11" s="1190"/>
      <c r="G11" s="2398" t="str">
        <f>COVER!T19</f>
        <v xml:space="preserve">Belleville </v>
      </c>
      <c r="H11" s="2411"/>
      <c r="I11" s="2411"/>
      <c r="J11" s="2411"/>
      <c r="K11" s="2411"/>
      <c r="L11" s="2412"/>
    </row>
    <row r="12" spans="1:29" ht="13.5" customHeight="1" x14ac:dyDescent="0.2">
      <c r="A12" s="2416" t="s">
        <v>1518</v>
      </c>
      <c r="B12" s="2417"/>
      <c r="C12" s="2417"/>
      <c r="D12" s="2417"/>
      <c r="E12" s="2417"/>
      <c r="F12" s="2418"/>
      <c r="G12" s="2413"/>
      <c r="H12" s="2414"/>
      <c r="I12" s="2414"/>
      <c r="J12" s="2414"/>
      <c r="K12" s="2414"/>
      <c r="L12" s="2415"/>
    </row>
    <row r="13" spans="1:29" ht="13.5" customHeight="1" x14ac:dyDescent="0.2">
      <c r="A13" s="2398"/>
      <c r="B13" s="2411"/>
      <c r="C13" s="2411"/>
      <c r="D13" s="2411"/>
      <c r="E13" s="2411"/>
      <c r="F13" s="2412"/>
      <c r="G13" s="2406" t="s">
        <v>1520</v>
      </c>
      <c r="H13" s="2407"/>
      <c r="I13" s="2419" t="str">
        <f>COVER!T25</f>
        <v>dale.holtmann@scheffelboyle.com</v>
      </c>
      <c r="J13" s="2420"/>
      <c r="K13" s="2420"/>
      <c r="L13" s="2421"/>
    </row>
    <row r="14" spans="1:29" ht="13.5" customHeight="1" x14ac:dyDescent="0.2">
      <c r="A14" s="2398" t="str">
        <f>COVER!A19</f>
        <v xml:space="preserve">6137 Beck Road </v>
      </c>
      <c r="B14" s="2411"/>
      <c r="C14" s="2411"/>
      <c r="D14" s="2411"/>
      <c r="E14" s="2411"/>
      <c r="F14" s="2412"/>
      <c r="G14" s="1195" t="s">
        <v>1185</v>
      </c>
      <c r="H14" s="1193"/>
      <c r="I14" s="1193"/>
      <c r="J14" s="1193"/>
      <c r="K14" s="1193"/>
      <c r="L14" s="1194"/>
    </row>
    <row r="15" spans="1:29" ht="13.5" customHeight="1" x14ac:dyDescent="0.2">
      <c r="A15" s="2398" t="str">
        <f>COVER!A21</f>
        <v xml:space="preserve">Red Bud </v>
      </c>
      <c r="B15" s="2411"/>
      <c r="C15" s="2411"/>
      <c r="D15" s="2411"/>
      <c r="E15" s="2411"/>
      <c r="F15" s="2412"/>
      <c r="G15" s="2408" t="str">
        <f>COVER!T15</f>
        <v>Dale Holtmann</v>
      </c>
      <c r="H15" s="2409"/>
      <c r="I15" s="2409"/>
      <c r="J15" s="2409"/>
      <c r="K15" s="2409"/>
      <c r="L15" s="2410"/>
    </row>
    <row r="16" spans="1:29" ht="12.2" customHeight="1" x14ac:dyDescent="0.2">
      <c r="A16" s="2388">
        <f>COVER!A25</f>
        <v>62278</v>
      </c>
      <c r="B16" s="2389"/>
      <c r="C16" s="2389"/>
      <c r="D16" s="2389"/>
      <c r="E16" s="2389"/>
      <c r="F16" s="2390"/>
      <c r="G16" s="2401"/>
      <c r="H16" s="2402"/>
      <c r="I16" s="2402"/>
      <c r="J16" s="2402"/>
      <c r="K16" s="2402"/>
      <c r="L16" s="2403"/>
    </row>
    <row r="17" spans="1:13" ht="12.2" customHeight="1" x14ac:dyDescent="0.2">
      <c r="A17" s="2404"/>
      <c r="B17" s="2389"/>
      <c r="C17" s="2389"/>
      <c r="D17" s="2389"/>
      <c r="E17" s="2389"/>
      <c r="F17" s="2390"/>
      <c r="G17" s="1195" t="s">
        <v>1184</v>
      </c>
      <c r="H17" s="1193"/>
      <c r="I17" s="1193"/>
      <c r="J17" s="1193"/>
      <c r="K17" s="1197" t="s">
        <v>1183</v>
      </c>
      <c r="L17" s="1190"/>
      <c r="M17" s="1183"/>
    </row>
    <row r="18" spans="1:13" ht="12.2" customHeight="1" x14ac:dyDescent="0.2">
      <c r="A18" s="2382"/>
      <c r="B18" s="2383"/>
      <c r="C18" s="2383"/>
      <c r="D18" s="2383"/>
      <c r="E18" s="2383"/>
      <c r="F18" s="2384"/>
      <c r="G18" s="2385" t="str">
        <f>COVER!T21</f>
        <v>618-277-8100</v>
      </c>
      <c r="H18" s="2386"/>
      <c r="I18" s="2386"/>
      <c r="J18" s="2386"/>
      <c r="K18" s="2385" t="str">
        <f>COVER!X21</f>
        <v>618-277-9307</v>
      </c>
      <c r="L18" s="238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2064</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2064</v>
      </c>
      <c r="C26" s="1202" t="s">
        <v>1699</v>
      </c>
    </row>
    <row r="27" spans="1:13" s="1198" customFormat="1" ht="9" customHeight="1" x14ac:dyDescent="0.2">
      <c r="B27" s="1203"/>
      <c r="C27" s="1202"/>
    </row>
    <row r="28" spans="1:13" s="1198" customFormat="1" ht="12.2" customHeight="1" x14ac:dyDescent="0.2">
      <c r="A28" s="1205"/>
      <c r="B28" s="1201" t="s">
        <v>2064</v>
      </c>
      <c r="C28" s="1202" t="s">
        <v>1700</v>
      </c>
    </row>
    <row r="29" spans="1:13" s="1198" customFormat="1" ht="9" customHeight="1" x14ac:dyDescent="0.2">
      <c r="A29" s="1205"/>
      <c r="B29" s="1203"/>
      <c r="C29" s="1202"/>
    </row>
    <row r="30" spans="1:13" s="1198" customFormat="1" ht="12.2" customHeight="1" x14ac:dyDescent="0.2">
      <c r="B30" s="1201" t="s">
        <v>2064</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2064</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2064</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2064</v>
      </c>
      <c r="C38" s="1202" t="s">
        <v>1566</v>
      </c>
    </row>
    <row r="39" spans="1:8" ht="9" customHeight="1" x14ac:dyDescent="0.2">
      <c r="B39" s="1203"/>
      <c r="C39" s="1206"/>
    </row>
    <row r="40" spans="1:8" s="1198" customFormat="1" ht="13.5" customHeight="1" x14ac:dyDescent="0.2">
      <c r="B40" s="1201" t="s">
        <v>2064</v>
      </c>
      <c r="C40" s="1202" t="s">
        <v>1567</v>
      </c>
    </row>
    <row r="41" spans="1:8" ht="9" customHeight="1" x14ac:dyDescent="0.2">
      <c r="A41" s="1207"/>
      <c r="B41" s="1203"/>
      <c r="C41" s="1206"/>
    </row>
    <row r="42" spans="1:8" s="1198" customFormat="1" ht="13.5" customHeight="1" x14ac:dyDescent="0.2">
      <c r="B42" s="1201" t="s">
        <v>2064</v>
      </c>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Footer>&amp;C41</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Layout" zoomScaleNormal="125" workbookViewId="0">
      <selection activeCell="D165" sqref="D165:D168"/>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Career Center of Southern IL</v>
      </c>
      <c r="B1" s="2422"/>
      <c r="C1" s="2422"/>
      <c r="D1" s="2422"/>
    </row>
    <row r="2" spans="1:11" s="1212" customFormat="1" ht="12.75" x14ac:dyDescent="0.2">
      <c r="A2" s="2427">
        <f>'Single Audit Cover'!E7</f>
        <v>45000000040</v>
      </c>
      <c r="B2" s="2428"/>
      <c r="C2" s="2428"/>
      <c r="D2" s="2428"/>
    </row>
    <row r="3" spans="1:11" s="1212" customFormat="1" ht="12.75" x14ac:dyDescent="0.2">
      <c r="A3" s="2426" t="s">
        <v>1513</v>
      </c>
      <c r="B3" s="2422"/>
      <c r="C3" s="2422"/>
      <c r="D3" s="242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42" fitToHeight="0" orientation="portrait" useFirstPageNumber="1" r:id="rId5"/>
  <headerFooter differentFirst="1" scaleWithDoc="0">
    <oddFooter>&amp;C&amp;P</oddFooter>
    <firstFooter>&amp;C42</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Layout" zoomScaleNormal="110" zoomScaleSheetLayoutView="100" workbookViewId="0">
      <selection activeCell="D55" sqref="D5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Career Center of Southern IL</v>
      </c>
      <c r="B1" s="2430"/>
      <c r="C1" s="2430"/>
      <c r="D1" s="2430"/>
      <c r="E1" s="2430"/>
    </row>
    <row r="2" spans="1:5" x14ac:dyDescent="0.2">
      <c r="A2" s="2431">
        <f>'Single Audit Cover'!E7</f>
        <v>45000000040</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1763198</v>
      </c>
    </row>
    <row r="11" spans="1:5" ht="18" customHeight="1" x14ac:dyDescent="0.2">
      <c r="A11" s="1258" t="s">
        <v>1240</v>
      </c>
      <c r="B11" s="1259"/>
      <c r="C11" s="1259"/>
    </row>
    <row r="12" spans="1:5" x14ac:dyDescent="0.2">
      <c r="A12" s="1258" t="s">
        <v>1239</v>
      </c>
      <c r="B12" s="1259" t="s">
        <v>1238</v>
      </c>
      <c r="C12" s="1259"/>
      <c r="D12" s="1261">
        <f>SUM('Revenues 9-14'!C112:D112,'Revenues 9-14'!F112:G112)</f>
        <v>1679</v>
      </c>
    </row>
    <row r="13" spans="1:5" x14ac:dyDescent="0.2">
      <c r="A13" s="1258" t="s">
        <v>1237</v>
      </c>
      <c r="B13" s="1259"/>
      <c r="C13" s="1259"/>
    </row>
    <row r="14" spans="1:5" x14ac:dyDescent="0.2">
      <c r="A14" s="1258" t="s">
        <v>1727</v>
      </c>
      <c r="B14" s="1259"/>
      <c r="C14" s="1259"/>
      <c r="D14" s="1261">
        <f>'ICR Computation 30'!E11</f>
        <v>2826</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0</v>
      </c>
    </row>
    <row r="19" spans="1:4" ht="13.5" thickBot="1" x14ac:dyDescent="0.25">
      <c r="A19" s="1262" t="s">
        <v>1235</v>
      </c>
      <c r="D19" s="1263">
        <f>SUM(D10:D17)</f>
        <v>1767703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t="s">
        <v>2127</v>
      </c>
      <c r="B24" s="2432"/>
      <c r="D24" s="1265">
        <v>-27023</v>
      </c>
    </row>
    <row r="25" spans="1:4" x14ac:dyDescent="0.2">
      <c r="A25" s="2429" t="s">
        <v>2151</v>
      </c>
      <c r="B25" s="2429"/>
      <c r="D25" s="1265">
        <v>-2826</v>
      </c>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1737854</v>
      </c>
    </row>
    <row r="33" spans="1:4" x14ac:dyDescent="0.2">
      <c r="D33" s="1266"/>
    </row>
    <row r="34" spans="1:4" x14ac:dyDescent="0.2">
      <c r="A34" s="317" t="s">
        <v>1232</v>
      </c>
    </row>
    <row r="35" spans="1:4" x14ac:dyDescent="0.2">
      <c r="A35" s="317" t="s">
        <v>1231</v>
      </c>
      <c r="B35" s="1255" t="s">
        <v>1230</v>
      </c>
      <c r="D35" s="1267">
        <v>1737854</v>
      </c>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1737854</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44" orientation="portrait" useFirstPageNumber="1" r:id="rId1"/>
  <headerFooter differentFirst="1" scaleWithDoc="0">
    <oddFooter>&amp;C&amp;P</oddFooter>
    <firstFooter>&amp;C44</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A29" sqref="A29:XFD2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1" t="str">
        <f>'Single Audit Cover'!A7</f>
        <v>Career Center of Southern IL</v>
      </c>
      <c r="C1" s="2434"/>
      <c r="D1" s="2434"/>
      <c r="E1" s="2434"/>
      <c r="F1" s="2434"/>
      <c r="G1" s="2434"/>
      <c r="H1" s="2434"/>
      <c r="I1" s="2434"/>
      <c r="J1" s="2434"/>
      <c r="K1" s="2434"/>
      <c r="L1" s="2434"/>
      <c r="M1" s="2434"/>
    </row>
    <row r="2" spans="2:14" ht="15" x14ac:dyDescent="0.2">
      <c r="B2" s="2435">
        <f>'Single Audit Cover'!E7</f>
        <v>45000000040</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1733</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1838</v>
      </c>
      <c r="I8" s="1316" t="s">
        <v>1262</v>
      </c>
      <c r="J8" s="1315" t="s">
        <v>1989</v>
      </c>
      <c r="K8" s="1316" t="s">
        <v>1261</v>
      </c>
      <c r="L8" s="1317" t="s">
        <v>1257</v>
      </c>
      <c r="M8" s="1318" t="s">
        <v>30</v>
      </c>
    </row>
    <row r="9" spans="2:14" ht="14.25" x14ac:dyDescent="0.2">
      <c r="B9" s="1322" t="s">
        <v>1259</v>
      </c>
      <c r="C9" s="1310" t="s">
        <v>1734</v>
      </c>
      <c r="D9" s="1311" t="s">
        <v>1735</v>
      </c>
      <c r="E9" s="1319" t="s">
        <v>1838</v>
      </c>
      <c r="F9" s="1320" t="s">
        <v>1989</v>
      </c>
      <c r="G9" s="1321" t="s">
        <v>1838</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2092</v>
      </c>
      <c r="C11" s="1335"/>
      <c r="D11" s="1336"/>
      <c r="E11" s="1337"/>
      <c r="F11" s="1337"/>
      <c r="G11" s="1337"/>
      <c r="H11" s="1337"/>
      <c r="I11" s="1337"/>
      <c r="J11" s="1337"/>
      <c r="K11" s="1337"/>
      <c r="L11" s="1337">
        <f>+G11+I11+K11</f>
        <v>0</v>
      </c>
      <c r="M11" s="1337"/>
    </row>
    <row r="12" spans="2:14" ht="20.100000000000001" customHeight="1" x14ac:dyDescent="0.2">
      <c r="B12" s="1334" t="s">
        <v>2093</v>
      </c>
      <c r="C12" s="1338"/>
      <c r="D12" s="1339"/>
      <c r="E12" s="1340"/>
      <c r="F12" s="1340"/>
      <c r="G12" s="1340"/>
      <c r="H12" s="1340"/>
      <c r="I12" s="1340"/>
      <c r="J12" s="1340"/>
      <c r="K12" s="1340"/>
      <c r="L12" s="1337">
        <f t="shared" ref="L12:L27" si="0">+G12+I12+K12</f>
        <v>0</v>
      </c>
      <c r="M12" s="1340"/>
    </row>
    <row r="13" spans="2:14" ht="20.100000000000001" customHeight="1" x14ac:dyDescent="0.2">
      <c r="B13" s="1334" t="s">
        <v>2094</v>
      </c>
      <c r="C13" s="1338">
        <v>10.553000000000001</v>
      </c>
      <c r="D13" s="1339" t="s">
        <v>2098</v>
      </c>
      <c r="E13" s="1340"/>
      <c r="F13" s="1340">
        <v>12245</v>
      </c>
      <c r="G13" s="1340"/>
      <c r="H13" s="1340"/>
      <c r="I13" s="1340">
        <v>12245</v>
      </c>
      <c r="J13" s="1340"/>
      <c r="K13" s="1340"/>
      <c r="L13" s="1337">
        <f t="shared" si="0"/>
        <v>12245</v>
      </c>
      <c r="M13" s="1340" t="s">
        <v>2106</v>
      </c>
    </row>
    <row r="14" spans="2:14" ht="20.100000000000001" customHeight="1" x14ac:dyDescent="0.2">
      <c r="B14" s="1334" t="s">
        <v>2094</v>
      </c>
      <c r="C14" s="1338">
        <v>10.553000000000001</v>
      </c>
      <c r="D14" s="1339" t="s">
        <v>2099</v>
      </c>
      <c r="E14" s="1340">
        <v>13314</v>
      </c>
      <c r="F14" s="1340">
        <v>2603</v>
      </c>
      <c r="G14" s="1340">
        <v>13314</v>
      </c>
      <c r="H14" s="1340"/>
      <c r="I14" s="1340">
        <v>2603</v>
      </c>
      <c r="J14" s="1340"/>
      <c r="K14" s="1340"/>
      <c r="L14" s="1337">
        <f t="shared" si="0"/>
        <v>15917</v>
      </c>
      <c r="M14" s="1340" t="s">
        <v>2106</v>
      </c>
    </row>
    <row r="15" spans="2:14" ht="20.100000000000001" customHeight="1" x14ac:dyDescent="0.2">
      <c r="B15" s="1334" t="s">
        <v>2094</v>
      </c>
      <c r="C15" s="1338">
        <v>10.553000000000001</v>
      </c>
      <c r="D15" s="1339" t="s">
        <v>2100</v>
      </c>
      <c r="E15" s="1340">
        <v>2721</v>
      </c>
      <c r="F15" s="1340"/>
      <c r="G15" s="1340">
        <v>2721</v>
      </c>
      <c r="H15" s="1340"/>
      <c r="I15" s="1340"/>
      <c r="J15" s="1340"/>
      <c r="K15" s="1340"/>
      <c r="L15" s="1337">
        <f t="shared" si="0"/>
        <v>2721</v>
      </c>
      <c r="M15" s="1340" t="s">
        <v>2106</v>
      </c>
    </row>
    <row r="16" spans="2:14" ht="20.100000000000001" customHeight="1" x14ac:dyDescent="0.2">
      <c r="B16" s="1334" t="s">
        <v>2095</v>
      </c>
      <c r="C16" s="1338">
        <v>10.555</v>
      </c>
      <c r="D16" s="1339" t="s">
        <v>2101</v>
      </c>
      <c r="E16" s="1340"/>
      <c r="F16" s="1340">
        <v>21835</v>
      </c>
      <c r="G16" s="1340"/>
      <c r="H16" s="1340"/>
      <c r="I16" s="1340">
        <v>21835</v>
      </c>
      <c r="J16" s="1340"/>
      <c r="K16" s="1340"/>
      <c r="L16" s="1337">
        <f t="shared" si="0"/>
        <v>21835</v>
      </c>
      <c r="M16" s="1340" t="s">
        <v>2106</v>
      </c>
    </row>
    <row r="17" spans="2:14" ht="20.100000000000001" customHeight="1" x14ac:dyDescent="0.2">
      <c r="B17" s="1334" t="s">
        <v>2095</v>
      </c>
      <c r="C17" s="1338">
        <v>10.555</v>
      </c>
      <c r="D17" s="1339" t="s">
        <v>2102</v>
      </c>
      <c r="E17" s="1340">
        <v>24173</v>
      </c>
      <c r="F17" s="1340">
        <v>4765</v>
      </c>
      <c r="G17" s="1340">
        <v>24173</v>
      </c>
      <c r="H17" s="1340"/>
      <c r="I17" s="1340">
        <v>4765</v>
      </c>
      <c r="J17" s="1340"/>
      <c r="K17" s="1340"/>
      <c r="L17" s="1337">
        <f t="shared" si="0"/>
        <v>28938</v>
      </c>
      <c r="M17" s="1340" t="s">
        <v>2106</v>
      </c>
    </row>
    <row r="18" spans="2:14" ht="20.100000000000001" customHeight="1" x14ac:dyDescent="0.2">
      <c r="B18" s="1334" t="s">
        <v>2096</v>
      </c>
      <c r="C18" s="1338">
        <v>10.555</v>
      </c>
      <c r="D18" s="1339" t="s">
        <v>2103</v>
      </c>
      <c r="E18" s="1340">
        <v>5093</v>
      </c>
      <c r="F18" s="1340"/>
      <c r="G18" s="1340">
        <v>5093</v>
      </c>
      <c r="H18" s="1340"/>
      <c r="I18" s="1340"/>
      <c r="J18" s="1340"/>
      <c r="K18" s="1340"/>
      <c r="L18" s="1337">
        <f t="shared" si="0"/>
        <v>5093</v>
      </c>
      <c r="M18" s="1340" t="s">
        <v>2106</v>
      </c>
    </row>
    <row r="19" spans="2:14" ht="20.100000000000001" customHeight="1" x14ac:dyDescent="0.2">
      <c r="B19" s="1334" t="s">
        <v>2097</v>
      </c>
      <c r="C19" s="1338">
        <v>10.555</v>
      </c>
      <c r="D19" s="1339" t="s">
        <v>2104</v>
      </c>
      <c r="E19" s="1340"/>
      <c r="F19" s="1340">
        <v>2826</v>
      </c>
      <c r="G19" s="1340"/>
      <c r="H19" s="1340"/>
      <c r="I19" s="1340">
        <v>2826</v>
      </c>
      <c r="J19" s="1340"/>
      <c r="K19" s="1340"/>
      <c r="L19" s="1337">
        <f t="shared" si="0"/>
        <v>2826</v>
      </c>
      <c r="M19" s="1340" t="s">
        <v>2106</v>
      </c>
    </row>
    <row r="20" spans="2:14" ht="20.100000000000001" customHeight="1" x14ac:dyDescent="0.2">
      <c r="B20" s="1334" t="s">
        <v>2097</v>
      </c>
      <c r="C20" s="1338">
        <v>10.555</v>
      </c>
      <c r="D20" s="1339" t="s">
        <v>2105</v>
      </c>
      <c r="E20" s="1340">
        <v>3358</v>
      </c>
      <c r="F20" s="1340"/>
      <c r="G20" s="1340">
        <v>3358</v>
      </c>
      <c r="H20" s="1340"/>
      <c r="I20" s="1340"/>
      <c r="J20" s="1340"/>
      <c r="K20" s="1340"/>
      <c r="L20" s="1337">
        <f t="shared" si="0"/>
        <v>3358</v>
      </c>
      <c r="M20" s="1340" t="s">
        <v>2106</v>
      </c>
    </row>
    <row r="21" spans="2:14" ht="20.100000000000001" customHeight="1" x14ac:dyDescent="0.2">
      <c r="B21" s="1334" t="s">
        <v>2107</v>
      </c>
      <c r="C21" s="1338"/>
      <c r="D21" s="1339"/>
      <c r="E21" s="1340">
        <f>48659</f>
        <v>48659</v>
      </c>
      <c r="F21" s="1340">
        <v>44274</v>
      </c>
      <c r="G21" s="1340">
        <v>48659</v>
      </c>
      <c r="H21" s="1340"/>
      <c r="I21" s="1340">
        <v>44274</v>
      </c>
      <c r="J21" s="1340"/>
      <c r="K21" s="1340"/>
      <c r="L21" s="1337">
        <f t="shared" si="0"/>
        <v>92933</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t="s">
        <v>2108</v>
      </c>
      <c r="C23" s="1338"/>
      <c r="D23" s="1339"/>
      <c r="E23" s="1340"/>
      <c r="F23" s="1340"/>
      <c r="G23" s="1340"/>
      <c r="H23" s="1340"/>
      <c r="I23" s="1340"/>
      <c r="J23" s="1340"/>
      <c r="K23" s="1340"/>
      <c r="L23" s="1337">
        <f t="shared" si="0"/>
        <v>0</v>
      </c>
      <c r="M23" s="1340"/>
    </row>
    <row r="24" spans="2:14" ht="20.100000000000001" customHeight="1" x14ac:dyDescent="0.2">
      <c r="B24" s="1334" t="s">
        <v>2109</v>
      </c>
      <c r="C24" s="1338"/>
      <c r="D24" s="1339"/>
      <c r="E24" s="1340"/>
      <c r="F24" s="1340"/>
      <c r="G24" s="1340"/>
      <c r="H24" s="1340"/>
      <c r="I24" s="1340"/>
      <c r="J24" s="1340"/>
      <c r="K24" s="1340"/>
      <c r="L24" s="1337">
        <f t="shared" si="0"/>
        <v>0</v>
      </c>
      <c r="M24" s="1340"/>
    </row>
    <row r="25" spans="2:14" ht="20.100000000000001" customHeight="1" x14ac:dyDescent="0.2">
      <c r="B25" s="1334" t="s">
        <v>2110</v>
      </c>
      <c r="C25" s="1338">
        <v>17.266999999999999</v>
      </c>
      <c r="D25" s="1339"/>
      <c r="E25" s="1340">
        <v>432178</v>
      </c>
      <c r="F25" s="1340">
        <v>451605</v>
      </c>
      <c r="G25" s="1340">
        <v>352032</v>
      </c>
      <c r="H25" s="1340"/>
      <c r="I25" s="1340">
        <v>434226</v>
      </c>
      <c r="J25" s="1340"/>
      <c r="K25" s="1340">
        <v>17379</v>
      </c>
      <c r="L25" s="1337">
        <f t="shared" si="0"/>
        <v>803637</v>
      </c>
      <c r="M25" s="1340"/>
    </row>
    <row r="26" spans="2:14" ht="20.100000000000001" customHeight="1" x14ac:dyDescent="0.2">
      <c r="B26" s="1334" t="s">
        <v>2111</v>
      </c>
      <c r="C26" s="1338">
        <v>17.266999999999999</v>
      </c>
      <c r="D26" s="1339"/>
      <c r="E26" s="1340">
        <v>-80146</v>
      </c>
      <c r="F26" s="1340">
        <v>-17379</v>
      </c>
      <c r="G26" s="1340"/>
      <c r="H26" s="1340"/>
      <c r="I26" s="1340"/>
      <c r="J26" s="1340"/>
      <c r="K26" s="1340">
        <v>-17379</v>
      </c>
      <c r="L26" s="1337">
        <f t="shared" si="0"/>
        <v>-17379</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1737</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1738</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1740</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0" firstPageNumber="45" orientation="landscape" useFirstPageNumber="1" r:id="rId1"/>
  <headerFooter differentFirst="1" scaleWithDoc="0">
    <firstFooter>&amp;C45</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L27" sqref="L2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1" t="str">
        <f>'Single Audit Cover'!A7</f>
        <v>Career Center of Southern IL</v>
      </c>
      <c r="C1" s="2434"/>
      <c r="D1" s="2434"/>
      <c r="E1" s="2434"/>
      <c r="F1" s="2434"/>
      <c r="G1" s="2434"/>
      <c r="H1" s="2434"/>
      <c r="I1" s="2434"/>
      <c r="J1" s="2434"/>
      <c r="K1" s="2434"/>
      <c r="L1" s="2434"/>
      <c r="M1" s="2434"/>
    </row>
    <row r="2" spans="2:14" ht="15" x14ac:dyDescent="0.2">
      <c r="B2" s="2435">
        <f>'Single Audit Cover'!E7</f>
        <v>45000000040</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1733</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1838</v>
      </c>
      <c r="I8" s="1316" t="s">
        <v>1262</v>
      </c>
      <c r="J8" s="1315" t="s">
        <v>1989</v>
      </c>
      <c r="K8" s="1316" t="s">
        <v>1261</v>
      </c>
      <c r="L8" s="1317" t="s">
        <v>1257</v>
      </c>
      <c r="M8" s="1318" t="s">
        <v>30</v>
      </c>
    </row>
    <row r="9" spans="2:14" ht="14.25" x14ac:dyDescent="0.2">
      <c r="B9" s="1322" t="s">
        <v>1259</v>
      </c>
      <c r="C9" s="1310" t="s">
        <v>1734</v>
      </c>
      <c r="D9" s="1311" t="s">
        <v>1735</v>
      </c>
      <c r="E9" s="1319" t="s">
        <v>1838</v>
      </c>
      <c r="F9" s="1320" t="s">
        <v>1989</v>
      </c>
      <c r="G9" s="1321" t="s">
        <v>1838</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2112</v>
      </c>
      <c r="C11" s="1335"/>
      <c r="D11" s="1336"/>
      <c r="E11" s="1337"/>
      <c r="F11" s="1337"/>
      <c r="G11" s="1337"/>
      <c r="H11" s="1337"/>
      <c r="I11" s="1337"/>
      <c r="J11" s="1337"/>
      <c r="K11" s="1337"/>
      <c r="L11" s="1337">
        <f>+G11+I11+K11</f>
        <v>0</v>
      </c>
      <c r="M11" s="1337"/>
    </row>
    <row r="12" spans="2:14" ht="20.100000000000001" customHeight="1" x14ac:dyDescent="0.2">
      <c r="B12" s="1334" t="s">
        <v>2110</v>
      </c>
      <c r="C12" s="1338">
        <v>17.266999999999999</v>
      </c>
      <c r="D12" s="1339"/>
      <c r="E12" s="1340">
        <v>113931</v>
      </c>
      <c r="F12" s="1340">
        <v>80460</v>
      </c>
      <c r="G12" s="1340">
        <v>86083</v>
      </c>
      <c r="H12" s="1340"/>
      <c r="I12" s="1340">
        <v>70816</v>
      </c>
      <c r="J12" s="1340"/>
      <c r="K12" s="1340">
        <v>9644</v>
      </c>
      <c r="L12" s="1337">
        <f t="shared" ref="L12:L27" si="0">+G12+I12+K12</f>
        <v>166543</v>
      </c>
      <c r="M12" s="1340" t="s">
        <v>2106</v>
      </c>
    </row>
    <row r="13" spans="2:14" ht="20.100000000000001" customHeight="1" x14ac:dyDescent="0.2">
      <c r="B13" s="1334" t="s">
        <v>2111</v>
      </c>
      <c r="C13" s="1338">
        <v>17.266999999999999</v>
      </c>
      <c r="D13" s="1339"/>
      <c r="E13" s="1340">
        <v>-27848</v>
      </c>
      <c r="F13" s="1340">
        <v>-9644</v>
      </c>
      <c r="G13" s="1340"/>
      <c r="H13" s="1340"/>
      <c r="I13" s="1340"/>
      <c r="J13" s="1340"/>
      <c r="K13" s="1340">
        <v>-9644</v>
      </c>
      <c r="L13" s="1337">
        <f t="shared" si="0"/>
        <v>-9644</v>
      </c>
      <c r="M13" s="1340" t="s">
        <v>2106</v>
      </c>
    </row>
    <row r="14" spans="2:14" ht="20.100000000000001" customHeight="1" x14ac:dyDescent="0.2">
      <c r="B14" s="1334" t="s">
        <v>2113</v>
      </c>
      <c r="C14" s="1338"/>
      <c r="D14" s="1339"/>
      <c r="E14" s="1340">
        <v>438115</v>
      </c>
      <c r="F14" s="1340">
        <v>505042</v>
      </c>
      <c r="G14" s="1340">
        <v>438115</v>
      </c>
      <c r="H14" s="1340"/>
      <c r="I14" s="1340">
        <v>505042</v>
      </c>
      <c r="J14" s="1340"/>
      <c r="K14" s="1340"/>
      <c r="L14" s="1337">
        <f t="shared" si="0"/>
        <v>943157</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t="s">
        <v>2114</v>
      </c>
      <c r="C16" s="1338"/>
      <c r="D16" s="1339"/>
      <c r="E16" s="1340"/>
      <c r="F16" s="1340"/>
      <c r="G16" s="1340"/>
      <c r="H16" s="1340"/>
      <c r="I16" s="1340"/>
      <c r="J16" s="1340"/>
      <c r="K16" s="1340"/>
      <c r="L16" s="1337">
        <f t="shared" si="0"/>
        <v>0</v>
      </c>
      <c r="M16" s="1340"/>
    </row>
    <row r="17" spans="2:14" ht="20.100000000000001" customHeight="1" x14ac:dyDescent="0.2">
      <c r="B17" s="1334" t="s">
        <v>2115</v>
      </c>
      <c r="C17" s="1338"/>
      <c r="D17" s="1339"/>
      <c r="E17" s="1340"/>
      <c r="F17" s="1340"/>
      <c r="G17" s="1340"/>
      <c r="H17" s="1340"/>
      <c r="I17" s="1340"/>
      <c r="J17" s="1340"/>
      <c r="K17" s="1340"/>
      <c r="L17" s="1337">
        <f t="shared" si="0"/>
        <v>0</v>
      </c>
      <c r="M17" s="1340"/>
    </row>
    <row r="18" spans="2:14" ht="20.100000000000001" customHeight="1" x14ac:dyDescent="0.2">
      <c r="B18" s="1334" t="s">
        <v>2116</v>
      </c>
      <c r="C18" s="1338">
        <v>84.048000000000002</v>
      </c>
      <c r="D18" s="1339"/>
      <c r="E18" s="1340">
        <v>3236</v>
      </c>
      <c r="F18" s="1340">
        <v>1679</v>
      </c>
      <c r="G18" s="1340">
        <v>3236</v>
      </c>
      <c r="H18" s="1340"/>
      <c r="I18" s="1340">
        <v>1679</v>
      </c>
      <c r="J18" s="1340"/>
      <c r="K18" s="1340"/>
      <c r="L18" s="1337">
        <f t="shared" si="0"/>
        <v>4915</v>
      </c>
      <c r="M18" s="1340" t="s">
        <v>2106</v>
      </c>
    </row>
    <row r="19" spans="2:14" ht="20.100000000000001" customHeight="1" x14ac:dyDescent="0.2">
      <c r="B19" s="1334" t="s">
        <v>2117</v>
      </c>
      <c r="C19" s="1338"/>
      <c r="D19" s="1339"/>
      <c r="E19" s="1340">
        <v>3236</v>
      </c>
      <c r="F19" s="1340">
        <v>1679</v>
      </c>
      <c r="G19" s="1340">
        <v>3236</v>
      </c>
      <c r="H19" s="1340"/>
      <c r="I19" s="1340">
        <v>1679</v>
      </c>
      <c r="J19" s="1340"/>
      <c r="K19" s="1340"/>
      <c r="L19" s="1337">
        <f t="shared" si="0"/>
        <v>4915</v>
      </c>
      <c r="M19" s="1340"/>
    </row>
    <row r="20" spans="2:14" ht="20.100000000000001" customHeight="1" x14ac:dyDescent="0.2">
      <c r="B20" s="1334" t="s">
        <v>2118</v>
      </c>
      <c r="C20" s="1338"/>
      <c r="D20" s="1339"/>
      <c r="E20" s="1340"/>
      <c r="F20" s="1340"/>
      <c r="G20" s="1340"/>
      <c r="H20" s="1340"/>
      <c r="I20" s="1340"/>
      <c r="J20" s="1340"/>
      <c r="K20" s="1340"/>
      <c r="L20" s="1337">
        <f t="shared" ref="L20:L25" si="1">+G20+I20+K20</f>
        <v>0</v>
      </c>
      <c r="M20" s="1340"/>
    </row>
    <row r="21" spans="2:14" ht="20.100000000000001" customHeight="1" x14ac:dyDescent="0.2">
      <c r="B21" s="1334" t="s">
        <v>2119</v>
      </c>
      <c r="C21" s="1338"/>
      <c r="D21" s="1339"/>
      <c r="E21" s="1340"/>
      <c r="F21" s="1340"/>
      <c r="G21" s="1340"/>
      <c r="H21" s="1340"/>
      <c r="I21" s="1340"/>
      <c r="J21" s="1340"/>
      <c r="K21" s="1340"/>
      <c r="L21" s="1337">
        <f t="shared" si="1"/>
        <v>0</v>
      </c>
      <c r="M21" s="1340"/>
    </row>
    <row r="22" spans="2:14" ht="20.100000000000001" customHeight="1" x14ac:dyDescent="0.2">
      <c r="B22" s="1334" t="s">
        <v>2120</v>
      </c>
      <c r="C22" s="1338">
        <v>84.063000000000002</v>
      </c>
      <c r="D22" s="1339"/>
      <c r="E22" s="1340">
        <v>488744</v>
      </c>
      <c r="F22" s="1340">
        <v>489943</v>
      </c>
      <c r="G22" s="1340">
        <v>488744</v>
      </c>
      <c r="H22" s="1340"/>
      <c r="I22" s="1340">
        <v>489943</v>
      </c>
      <c r="J22" s="1340"/>
      <c r="K22" s="1340"/>
      <c r="L22" s="1337">
        <f t="shared" si="1"/>
        <v>978687</v>
      </c>
      <c r="M22" s="1340" t="s">
        <v>2106</v>
      </c>
    </row>
    <row r="23" spans="2:14" ht="20.100000000000001" customHeight="1" x14ac:dyDescent="0.2">
      <c r="B23" s="1334" t="s">
        <v>2121</v>
      </c>
      <c r="C23" s="1338">
        <v>84.268000000000001</v>
      </c>
      <c r="D23" s="1339"/>
      <c r="E23" s="1340">
        <v>783797</v>
      </c>
      <c r="F23" s="1340">
        <v>696916</v>
      </c>
      <c r="G23" s="1340">
        <v>783797</v>
      </c>
      <c r="H23" s="1340"/>
      <c r="I23" s="1340">
        <v>696916</v>
      </c>
      <c r="J23" s="1340"/>
      <c r="K23" s="1340"/>
      <c r="L23" s="1337">
        <f t="shared" si="1"/>
        <v>1480713</v>
      </c>
      <c r="M23" s="1340" t="s">
        <v>2106</v>
      </c>
    </row>
    <row r="24" spans="2:14" ht="20.100000000000001" customHeight="1" x14ac:dyDescent="0.2">
      <c r="B24" s="1334" t="s">
        <v>2122</v>
      </c>
      <c r="C24" s="1338"/>
      <c r="D24" s="1339"/>
      <c r="E24" s="1340">
        <v>1272541</v>
      </c>
      <c r="F24" s="1340">
        <v>1186859</v>
      </c>
      <c r="G24" s="1340">
        <v>1272541</v>
      </c>
      <c r="H24" s="1340"/>
      <c r="I24" s="1340">
        <v>1186859</v>
      </c>
      <c r="J24" s="1340"/>
      <c r="K24" s="1340"/>
      <c r="L24" s="1337">
        <f t="shared" si="1"/>
        <v>2459400</v>
      </c>
      <c r="M24" s="1340"/>
    </row>
    <row r="25" spans="2:14" ht="20.100000000000001" customHeight="1" x14ac:dyDescent="0.2">
      <c r="B25" s="1334" t="s">
        <v>2123</v>
      </c>
      <c r="C25" s="1338"/>
      <c r="D25" s="1339"/>
      <c r="E25" s="1340">
        <v>1272541</v>
      </c>
      <c r="F25" s="1340">
        <v>1186859</v>
      </c>
      <c r="G25" s="1340">
        <v>1272541</v>
      </c>
      <c r="H25" s="1340"/>
      <c r="I25" s="1340">
        <v>1186859</v>
      </c>
      <c r="J25" s="1340"/>
      <c r="K25" s="1340"/>
      <c r="L25" s="1337">
        <f t="shared" si="1"/>
        <v>2459400</v>
      </c>
      <c r="M25" s="1340"/>
    </row>
    <row r="26" spans="2:14" ht="20.100000000000001" customHeight="1" x14ac:dyDescent="0.2">
      <c r="B26" s="1334" t="s">
        <v>2124</v>
      </c>
      <c r="C26" s="1338"/>
      <c r="D26" s="1339"/>
      <c r="E26" s="1340">
        <v>1272541</v>
      </c>
      <c r="F26" s="1340">
        <v>1186859</v>
      </c>
      <c r="G26" s="1340">
        <v>1272541</v>
      </c>
      <c r="H26" s="1340"/>
      <c r="I26" s="1340">
        <v>1186859</v>
      </c>
      <c r="J26" s="1340"/>
      <c r="K26" s="1340"/>
      <c r="L26" s="1337">
        <f t="shared" si="0"/>
        <v>2459400</v>
      </c>
      <c r="M26" s="1340"/>
    </row>
    <row r="27" spans="2:14" ht="20.100000000000001" customHeight="1" x14ac:dyDescent="0.2">
      <c r="B27" s="1334" t="s">
        <v>2125</v>
      </c>
      <c r="C27" s="1338"/>
      <c r="D27" s="1339"/>
      <c r="E27" s="1340">
        <v>1762551</v>
      </c>
      <c r="F27" s="1340">
        <v>1737854</v>
      </c>
      <c r="G27" s="1340">
        <v>1762551</v>
      </c>
      <c r="H27" s="1340"/>
      <c r="I27" s="1340">
        <v>1737854</v>
      </c>
      <c r="J27" s="1340"/>
      <c r="K27" s="1340"/>
      <c r="L27" s="1337">
        <f t="shared" si="0"/>
        <v>3500405</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1737</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1738</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1740</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0" firstPageNumber="46" orientation="landscape" useFirstPageNumber="1" r:id="rId1"/>
  <headerFooter differentFirst="1" scaleWithDoc="0">
    <firstFooter>&amp;C46</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110" zoomScaleNormal="110" workbookViewId="0">
      <selection activeCell="O87" sqref="O8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2068</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25"/>
  <pageSetup scale="85" firstPageNumber="6" orientation="portrait" r:id="rId1"/>
  <headerFooter differentFirst="1" scaleWithDoc="0">
    <oddHeader xml:space="preserve">&amp;C </oddHeader>
    <oddFooter>&amp;LSee notes to finanial statements.&amp;C4</oddFooter>
    <firstFooter>&amp;LSee notes to financial statements.&amp;C3</first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52"/>
  <sheetViews>
    <sheetView showGridLines="0" zoomScale="120" zoomScaleNormal="120" workbookViewId="0">
      <selection activeCell="C33" sqref="C3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9" t="str">
        <f>'Single Audit Cover'!A7</f>
        <v>Career Center of Southern IL</v>
      </c>
      <c r="B1" s="2439"/>
      <c r="C1" s="2439"/>
      <c r="D1" s="2439"/>
      <c r="E1" s="2439"/>
      <c r="F1" s="2439"/>
    </row>
    <row r="2" spans="1:7" ht="13.5" customHeight="1" x14ac:dyDescent="0.2">
      <c r="A2" s="2435">
        <f>'Single Audit Cover'!E7</f>
        <v>45000000040</v>
      </c>
      <c r="B2" s="2435"/>
      <c r="C2" s="2435"/>
      <c r="D2" s="2435"/>
      <c r="E2" s="2435"/>
      <c r="F2" s="2435"/>
      <c r="G2" s="1272"/>
    </row>
    <row r="3" spans="1:7" ht="15.75" customHeight="1" x14ac:dyDescent="0.2">
      <c r="A3" s="2440" t="s">
        <v>1271</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7"/>
      <c r="D5" s="317"/>
    </row>
    <row r="6" spans="1:7" ht="13.5" customHeight="1" x14ac:dyDescent="0.2">
      <c r="A6" s="1273" t="s">
        <v>1728</v>
      </c>
      <c r="C6" s="317"/>
      <c r="D6" s="317"/>
    </row>
    <row r="7" spans="1:7" ht="60.95" customHeight="1" x14ac:dyDescent="0.2">
      <c r="A7" s="2438" t="s">
        <v>2126</v>
      </c>
      <c r="B7" s="2438"/>
      <c r="C7" s="2438"/>
      <c r="D7" s="2438"/>
      <c r="E7" s="2438"/>
      <c r="F7" s="2438"/>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2064</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8" t="s">
        <v>1730</v>
      </c>
      <c r="B13" s="2438"/>
      <c r="C13" s="2438"/>
      <c r="D13" s="2438"/>
      <c r="E13" s="2438"/>
      <c r="F13" s="2438"/>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t="s">
        <v>2106</v>
      </c>
      <c r="C17" s="1282" t="s">
        <v>2106</v>
      </c>
      <c r="D17" s="2442" t="s">
        <v>2106</v>
      </c>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6" t="s">
        <v>1731</v>
      </c>
      <c r="B32" s="2446"/>
      <c r="C32" s="2446"/>
      <c r="D32" s="2446"/>
      <c r="E32" s="2446"/>
      <c r="F32" s="2446"/>
    </row>
    <row r="33" spans="1:6" ht="13.5" customHeight="1" x14ac:dyDescent="0.2">
      <c r="A33" s="328" t="s">
        <v>1434</v>
      </c>
      <c r="B33" s="328"/>
      <c r="C33" s="1285">
        <v>2826</v>
      </c>
      <c r="D33" s="1903"/>
      <c r="E33" s="1283"/>
    </row>
    <row r="34" spans="1:6" ht="13.5" customHeight="1" x14ac:dyDescent="0.2">
      <c r="A34" s="328" t="s">
        <v>1837</v>
      </c>
      <c r="B34" s="328"/>
      <c r="C34" s="1286">
        <v>0</v>
      </c>
      <c r="D34" s="1903" t="s">
        <v>1589</v>
      </c>
      <c r="E34" s="2447">
        <f>+C33+C34</f>
        <v>2826</v>
      </c>
      <c r="F34" s="244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383</v>
      </c>
      <c r="D38" s="1903"/>
      <c r="E38" s="1283"/>
    </row>
    <row r="39" spans="1:6" ht="14.25" customHeight="1" x14ac:dyDescent="0.2">
      <c r="A39" s="328"/>
      <c r="B39" s="328" t="s">
        <v>1436</v>
      </c>
      <c r="C39" s="1289" t="s">
        <v>383</v>
      </c>
      <c r="D39" s="1903"/>
      <c r="E39" s="1283"/>
    </row>
    <row r="40" spans="1:6" ht="14.25" customHeight="1" x14ac:dyDescent="0.2">
      <c r="A40" s="328"/>
      <c r="B40" s="328" t="s">
        <v>1437</v>
      </c>
      <c r="C40" s="1289" t="s">
        <v>383</v>
      </c>
      <c r="D40" s="1903"/>
      <c r="E40" s="1283"/>
    </row>
    <row r="41" spans="1:6" ht="14.25" customHeight="1" x14ac:dyDescent="0.2">
      <c r="A41" s="328"/>
      <c r="B41" s="328" t="s">
        <v>1438</v>
      </c>
      <c r="C41" s="1289" t="s">
        <v>383</v>
      </c>
      <c r="D41" s="1903"/>
      <c r="E41" s="1283"/>
    </row>
    <row r="42" spans="1:6" ht="14.25" customHeight="1" x14ac:dyDescent="0.2">
      <c r="A42" s="328" t="s">
        <v>1439</v>
      </c>
      <c r="B42" s="328"/>
      <c r="C42" s="1901" t="s">
        <v>383</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5" t="s">
        <v>1551</v>
      </c>
      <c r="C51" s="2445"/>
      <c r="D51" s="2445"/>
    </row>
    <row r="52" spans="1:5" ht="14.25" customHeight="1" x14ac:dyDescent="0.2">
      <c r="A52" s="1298"/>
      <c r="B52" s="2445"/>
      <c r="C52" s="2445"/>
      <c r="D52" s="2445"/>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7" firstPageNumber="47" orientation="portrait" useFirstPageNumber="1" r:id="rId1"/>
  <headerFooter differentFirst="1" scaleWithDoc="0">
    <firstFooter>&amp;C47</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D46" sqref="D46"/>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Career Center of Southern IL</v>
      </c>
      <c r="C1" s="2455"/>
      <c r="D1" s="2455"/>
      <c r="E1" s="2455"/>
      <c r="F1" s="2455"/>
      <c r="G1" s="2455"/>
      <c r="H1" s="2455"/>
      <c r="I1" s="2455"/>
      <c r="J1" s="1406"/>
    </row>
    <row r="2" spans="2:10" s="317" customFormat="1" ht="12.75" customHeight="1" x14ac:dyDescent="0.2">
      <c r="B2" s="2456">
        <f>'Single Audit Cover'!E7</f>
        <v>45000000040</v>
      </c>
      <c r="C2" s="2457"/>
      <c r="D2" s="2457"/>
      <c r="E2" s="2457"/>
      <c r="F2" s="2457"/>
      <c r="G2" s="2457"/>
      <c r="H2" s="2457"/>
      <c r="I2" s="2457"/>
      <c r="J2" s="1406"/>
    </row>
    <row r="3" spans="2:10" s="317" customFormat="1" ht="12.75" customHeight="1" x14ac:dyDescent="0.2">
      <c r="B3" s="2458" t="s">
        <v>1285</v>
      </c>
      <c r="C3" s="2459"/>
      <c r="D3" s="2459"/>
      <c r="E3" s="2459"/>
      <c r="F3" s="2459"/>
      <c r="G3" s="2459"/>
      <c r="H3" s="2459"/>
      <c r="I3" s="2459"/>
      <c r="J3" s="1407"/>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8" t="s">
        <v>1284</v>
      </c>
      <c r="C7" s="2459"/>
      <c r="D7" s="2459"/>
      <c r="E7" s="2459"/>
      <c r="F7" s="2459"/>
      <c r="G7" s="2459"/>
      <c r="H7" s="2459"/>
      <c r="I7" s="245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0" t="s">
        <v>2128</v>
      </c>
      <c r="D11" s="246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2064</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2064</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2064</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2064</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t="s">
        <v>2064</v>
      </c>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1" t="s">
        <v>2129</v>
      </c>
      <c r="E29" s="2461"/>
      <c r="F29" s="2461"/>
      <c r="G29" s="2461"/>
      <c r="H29" s="2461"/>
      <c r="I29" s="2461"/>
    </row>
    <row r="30" spans="2:9" s="317" customFormat="1" x14ac:dyDescent="0.2">
      <c r="B30" s="1365"/>
      <c r="C30" s="322"/>
      <c r="D30" s="1417" t="s">
        <v>1747</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1748</v>
      </c>
      <c r="C35" s="1426"/>
      <c r="D35" s="1264"/>
    </row>
    <row r="36" spans="2:9" ht="6" customHeight="1" x14ac:dyDescent="0.2">
      <c r="B36" s="1425"/>
      <c r="C36" s="1426"/>
      <c r="D36" s="1264"/>
    </row>
    <row r="37" spans="2:9" ht="17.25" customHeight="1" x14ac:dyDescent="0.2">
      <c r="B37" s="1427" t="s">
        <v>1749</v>
      </c>
      <c r="C37" s="2462" t="s">
        <v>1750</v>
      </c>
      <c r="D37" s="2463"/>
      <c r="E37" s="2463"/>
      <c r="F37" s="2464"/>
      <c r="G37" s="2462" t="s">
        <v>1592</v>
      </c>
      <c r="H37" s="2463"/>
      <c r="I37" s="2464"/>
    </row>
    <row r="38" spans="2:9" ht="16.5" customHeight="1" x14ac:dyDescent="0.2">
      <c r="B38" s="1428">
        <v>84.063000000000002</v>
      </c>
      <c r="C38" s="2450" t="s">
        <v>2130</v>
      </c>
      <c r="D38" s="2451"/>
      <c r="E38" s="2451"/>
      <c r="F38" s="2452"/>
      <c r="G38" s="2465">
        <v>489943</v>
      </c>
      <c r="H38" s="2466"/>
      <c r="I38" s="2467"/>
    </row>
    <row r="39" spans="2:9" ht="16.5" customHeight="1" x14ac:dyDescent="0.2">
      <c r="B39" s="1428">
        <v>84.268000000000001</v>
      </c>
      <c r="C39" s="2450" t="s">
        <v>2131</v>
      </c>
      <c r="D39" s="2451"/>
      <c r="E39" s="2451"/>
      <c r="F39" s="2452"/>
      <c r="G39" s="2453">
        <v>696916</v>
      </c>
      <c r="H39" s="2453"/>
      <c r="I39" s="2453"/>
    </row>
    <row r="40" spans="2:9" ht="16.5" customHeight="1" x14ac:dyDescent="0.2">
      <c r="B40" s="1428"/>
      <c r="C40" s="2450"/>
      <c r="D40" s="2451"/>
      <c r="E40" s="2451"/>
      <c r="F40" s="2452"/>
      <c r="G40" s="2453"/>
      <c r="H40" s="2453"/>
      <c r="I40" s="2453"/>
    </row>
    <row r="41" spans="2:9" ht="16.5" customHeight="1" x14ac:dyDescent="0.2">
      <c r="B41" s="1428"/>
      <c r="C41" s="2450"/>
      <c r="D41" s="2451"/>
      <c r="E41" s="2451"/>
      <c r="F41" s="2452"/>
      <c r="G41" s="2453"/>
      <c r="H41" s="2453"/>
      <c r="I41" s="2453"/>
    </row>
    <row r="42" spans="2:9" ht="16.5" customHeight="1" x14ac:dyDescent="0.2">
      <c r="B42" s="1428"/>
      <c r="C42" s="2450"/>
      <c r="D42" s="2451"/>
      <c r="E42" s="2451"/>
      <c r="F42" s="2452"/>
      <c r="G42" s="2453"/>
      <c r="H42" s="2453"/>
      <c r="I42" s="2453"/>
    </row>
    <row r="43" spans="2:9" ht="16.5" customHeight="1" x14ac:dyDescent="0.2">
      <c r="B43" s="1428"/>
      <c r="C43" s="2468" t="s">
        <v>1593</v>
      </c>
      <c r="D43" s="2469"/>
      <c r="E43" s="2469"/>
      <c r="F43" s="2470"/>
      <c r="G43" s="2471">
        <f>SUM(G38:I42)</f>
        <v>1186859</v>
      </c>
      <c r="H43" s="2471"/>
      <c r="I43" s="2471"/>
    </row>
    <row r="44" spans="2:9" ht="12.75" customHeight="1" x14ac:dyDescent="0.2"/>
    <row r="45" spans="2:9" ht="12.75" customHeight="1" x14ac:dyDescent="0.2">
      <c r="B45" s="1419" t="s">
        <v>1840</v>
      </c>
      <c r="D45" s="2472">
        <v>1737854</v>
      </c>
      <c r="E45" s="2473"/>
    </row>
    <row r="46" spans="2:9" ht="5.25" customHeight="1" x14ac:dyDescent="0.2">
      <c r="B46" s="1429"/>
      <c r="D46" s="1430"/>
      <c r="E46" s="1431"/>
    </row>
    <row r="47" spans="2:9" ht="12.75" customHeight="1" x14ac:dyDescent="0.2">
      <c r="B47" s="1297" t="s">
        <v>1594</v>
      </c>
      <c r="C47" s="1297"/>
      <c r="D47" s="1432">
        <f>+G43/D45</f>
        <v>0.68294517260943666</v>
      </c>
      <c r="E47" s="1433"/>
      <c r="F47" s="1434"/>
      <c r="I47" s="1435"/>
    </row>
    <row r="48" spans="2:9" ht="9.9499999999999993" customHeight="1" x14ac:dyDescent="0.2"/>
    <row r="49" spans="1:9" x14ac:dyDescent="0.2">
      <c r="B49" s="1365" t="s">
        <v>1273</v>
      </c>
      <c r="C49" s="1279"/>
      <c r="D49" s="1279"/>
      <c r="E49" s="2474">
        <v>750000</v>
      </c>
      <c r="F49" s="2474"/>
      <c r="G49" s="2474"/>
      <c r="H49" s="322"/>
    </row>
    <row r="51" spans="1:9" ht="13.5" customHeight="1" x14ac:dyDescent="0.2">
      <c r="B51" s="1365" t="s">
        <v>1272</v>
      </c>
      <c r="C51" s="1279"/>
      <c r="E51" s="1422"/>
      <c r="F51" s="1297" t="s">
        <v>885</v>
      </c>
      <c r="G51" s="1422" t="s">
        <v>2063</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1751</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1752</v>
      </c>
      <c r="C58" s="1448"/>
      <c r="D58" s="1448"/>
    </row>
    <row r="59" spans="1:9" s="1445" customFormat="1" ht="3.95" customHeight="1" x14ac:dyDescent="0.2">
      <c r="A59" s="1442"/>
      <c r="B59" s="1447"/>
      <c r="C59" s="1448"/>
      <c r="D59" s="1448"/>
    </row>
    <row r="60" spans="1:9" s="1445" customFormat="1" ht="13.5" customHeight="1" x14ac:dyDescent="0.2">
      <c r="A60" s="1442"/>
      <c r="B60" s="1447" t="s">
        <v>1753</v>
      </c>
      <c r="C60" s="1448"/>
      <c r="D60" s="1448"/>
    </row>
    <row r="61" spans="1:9" s="1445" customFormat="1" ht="3.95" customHeight="1" x14ac:dyDescent="0.2">
      <c r="A61" s="1442"/>
      <c r="B61" s="1447"/>
      <c r="C61" s="1448"/>
      <c r="D61" s="1448"/>
    </row>
    <row r="62" spans="1:9" s="1445" customFormat="1" ht="12.75" customHeight="1" x14ac:dyDescent="0.2">
      <c r="A62" s="1442"/>
      <c r="B62" s="1447" t="s">
        <v>1754</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8" orientation="portrait" useFirstPageNumber="1" r:id="rId1"/>
  <headerFooter differentFirst="1" scaleWithDoc="0">
    <firstFooter>&amp;C48</first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Career Center of Southern IL</v>
      </c>
      <c r="C1" s="2454"/>
      <c r="D1" s="2454"/>
      <c r="E1" s="2454"/>
      <c r="F1" s="2454"/>
      <c r="G1" s="2454"/>
      <c r="H1" s="2454"/>
      <c r="I1" s="2454"/>
      <c r="J1" s="2454"/>
      <c r="K1" s="2454"/>
      <c r="L1" s="1371"/>
      <c r="M1" s="1371"/>
    </row>
    <row r="2" spans="1:13" ht="12" customHeight="1" x14ac:dyDescent="0.2">
      <c r="B2" s="2456">
        <f>'Single Audit Cover'!E7</f>
        <v>45000000040</v>
      </c>
      <c r="C2" s="2456"/>
      <c r="D2" s="2456"/>
      <c r="E2" s="2456"/>
      <c r="F2" s="2456"/>
      <c r="G2" s="2456"/>
      <c r="H2" s="2456"/>
      <c r="I2" s="2456"/>
      <c r="J2" s="2456"/>
      <c r="K2" s="2456"/>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1741</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1742</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1743</v>
      </c>
      <c r="C31" s="1400"/>
      <c r="D31" s="1375"/>
      <c r="E31" s="1376"/>
      <c r="F31" s="1376"/>
      <c r="G31" s="1377"/>
      <c r="H31" s="1376"/>
      <c r="I31" s="1377"/>
      <c r="J31" s="1376"/>
      <c r="K31" s="1376"/>
      <c r="L31" s="1378"/>
    </row>
    <row r="32" spans="2:12" s="322" customFormat="1" ht="44.25" customHeight="1" x14ac:dyDescent="0.2">
      <c r="B32" s="2475"/>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1744</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1745</v>
      </c>
      <c r="C38" s="1404"/>
    </row>
    <row r="39" spans="1:13" ht="9.6" customHeight="1" x14ac:dyDescent="0.2">
      <c r="B39" s="1297" t="s">
        <v>1286</v>
      </c>
      <c r="C39" s="1297"/>
      <c r="M39" s="1405"/>
    </row>
    <row r="40" spans="1:13" ht="12.6" customHeight="1" x14ac:dyDescent="0.2">
      <c r="B40" s="1404" t="s">
        <v>1746</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9" orientation="portrait" useFirstPageNumber="1" r:id="rId1"/>
  <headerFooter differentFirst="1" scaleWithDoc="0">
    <firstFooter>&amp;C49</first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topLeftCell="A4" zoomScale="110" zoomScaleNormal="110" workbookViewId="0">
      <selection activeCell="A4" sqref="A4:K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Career Center of Southern IL</v>
      </c>
      <c r="C1" s="2481"/>
      <c r="D1" s="2481"/>
      <c r="E1" s="2481"/>
      <c r="F1" s="2481"/>
      <c r="G1" s="2481"/>
      <c r="H1" s="2481"/>
      <c r="I1" s="2481"/>
      <c r="J1" s="2481"/>
      <c r="K1" s="2481"/>
      <c r="L1" s="1449"/>
    </row>
    <row r="2" spans="1:12" ht="12.75" customHeight="1" x14ac:dyDescent="0.2">
      <c r="B2" s="2482">
        <f>'Single Audit Cover'!E7</f>
        <v>45000000040</v>
      </c>
      <c r="C2" s="2482"/>
      <c r="D2" s="2482"/>
      <c r="E2" s="2482"/>
      <c r="F2" s="2482"/>
      <c r="G2" s="2482"/>
      <c r="H2" s="2482"/>
      <c r="I2" s="2482"/>
      <c r="J2" s="2482"/>
      <c r="K2" s="2482"/>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1755</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1"/>
      <c r="G12" s="2461"/>
      <c r="H12" s="2461"/>
      <c r="I12" s="2461"/>
      <c r="J12" s="2461"/>
      <c r="K12" s="246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4"/>
      <c r="E14" s="2484"/>
      <c r="F14" s="2484"/>
      <c r="H14" s="1459" t="s">
        <v>1303</v>
      </c>
      <c r="I14" s="2485"/>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5"/>
      <c r="E16" s="2485"/>
      <c r="F16" s="2485"/>
      <c r="G16" s="2485"/>
      <c r="H16" s="2485"/>
      <c r="I16" s="2485"/>
      <c r="J16" s="2485"/>
      <c r="K16" s="2485"/>
      <c r="L16" s="322"/>
    </row>
    <row r="17" spans="2:12" ht="13.5" customHeight="1" x14ac:dyDescent="0.2">
      <c r="B17" s="1384" t="s">
        <v>1301</v>
      </c>
      <c r="C17" s="1384"/>
      <c r="D17" s="2486"/>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1756</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1757</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1758</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1759</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1760</v>
      </c>
      <c r="C44" s="1403"/>
      <c r="D44" s="322"/>
      <c r="E44" s="322"/>
      <c r="F44" s="322"/>
    </row>
    <row r="45" spans="2:12" ht="10.5" customHeight="1" x14ac:dyDescent="0.2">
      <c r="B45" s="1404" t="s">
        <v>1761</v>
      </c>
      <c r="C45" s="1404"/>
      <c r="G45" s="317"/>
      <c r="I45" s="317"/>
    </row>
    <row r="46" spans="2:12" ht="11.1" customHeight="1" x14ac:dyDescent="0.2">
      <c r="B46" s="1404" t="s">
        <v>1762</v>
      </c>
      <c r="C46" s="1404"/>
      <c r="G46" s="317"/>
      <c r="I46" s="317"/>
    </row>
    <row r="47" spans="2:12" ht="11.1" customHeight="1" x14ac:dyDescent="0.2">
      <c r="B47" s="1404" t="s">
        <v>1763</v>
      </c>
      <c r="C47" s="1404"/>
      <c r="G47" s="317"/>
      <c r="I47" s="317"/>
    </row>
    <row r="48" spans="2:12" ht="11.1" customHeight="1" x14ac:dyDescent="0.2">
      <c r="B48" s="1404" t="s">
        <v>1764</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50" orientation="portrait" useFirstPageNumber="1" r:id="rId1"/>
  <headerFooter differentFirst="1" scaleWithDoc="0">
    <firstFooter>&amp;C50</first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13" sqref="D1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4" t="str">
        <f>'Single Audit Cover'!A7</f>
        <v>Career Center of Southern IL</v>
      </c>
      <c r="C1" s="2454"/>
      <c r="D1" s="2454"/>
      <c r="E1" s="1469"/>
    </row>
    <row r="2" spans="2:5" s="1279" customFormat="1" ht="12.75" customHeight="1" x14ac:dyDescent="0.2">
      <c r="B2" s="2456">
        <f>'Single Audit Cover'!E7</f>
        <v>45000000040</v>
      </c>
      <c r="C2" s="2456"/>
      <c r="D2" s="2456"/>
      <c r="E2" s="1470"/>
    </row>
    <row r="3" spans="2:5" ht="12.75" customHeight="1" x14ac:dyDescent="0.2">
      <c r="B3" s="2477" t="s">
        <v>1765</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1766</v>
      </c>
      <c r="C5" s="328"/>
      <c r="D5" s="328"/>
      <c r="E5" s="328"/>
    </row>
    <row r="6" spans="2:5" s="1279" customFormat="1" ht="13.5" customHeight="1" x14ac:dyDescent="0.2">
      <c r="B6" s="1473" t="s">
        <v>1315</v>
      </c>
      <c r="C6" s="1473" t="s">
        <v>1314</v>
      </c>
      <c r="D6" s="1473" t="s">
        <v>1767</v>
      </c>
    </row>
    <row r="7" spans="2:5" ht="13.5" customHeight="1" x14ac:dyDescent="0.2">
      <c r="B7" s="1474" t="s">
        <v>2106</v>
      </c>
      <c r="C7" s="324" t="s">
        <v>2106</v>
      </c>
      <c r="D7" s="324" t="s">
        <v>2106</v>
      </c>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1768</v>
      </c>
    </row>
    <row r="46" spans="2:5" ht="12.2" customHeight="1" x14ac:dyDescent="0.2">
      <c r="B46" s="1483" t="s">
        <v>1769</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51" orientation="portrait" useFirstPageNumber="1" r:id="rId1"/>
  <headerFooter differentFirst="1" scaleWithDoc="0">
    <firstFooter>&amp;C51</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4" colorId="8" zoomScale="110" zoomScaleNormal="110" workbookViewId="0">
      <selection activeCell="D11" sqref="D11:J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3523237</v>
      </c>
      <c r="E16" s="356"/>
      <c r="F16" s="1733">
        <f>SUM('Acct Summary 7-8'!C17,'Acct Summary 7-8'!D17,'Acct Summary 7-8'!F17)</f>
        <v>2425988</v>
      </c>
      <c r="G16" s="356"/>
      <c r="H16" s="1733">
        <f>SUM(D16-F16)</f>
        <v>1097249</v>
      </c>
      <c r="I16" s="222"/>
      <c r="J16" s="1733">
        <f>SUM('Acct Summary 7-8'!C81,'Acct Summary 7-8'!D81,'Acct Summary 7-8'!F81,'Acct Summary 7-8'!I81)</f>
        <v>500971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25"/>
  <pageSetup scale="90" firstPageNumber="3" orientation="portrait" useFirstPageNumber="1" r:id="rId1"/>
  <headerFooter scaleWithDoc="0">
    <oddFooter>&amp;LSee notes to financial statements.&amp;C5</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F13" sqref="F1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Career Center of Southern IL</v>
      </c>
      <c r="E7" s="391"/>
      <c r="G7" s="252"/>
      <c r="H7" s="387"/>
      <c r="I7" s="387"/>
      <c r="J7" s="387"/>
      <c r="K7" s="387"/>
      <c r="L7" s="329"/>
      <c r="M7" s="329"/>
      <c r="N7" s="329"/>
      <c r="O7" s="329"/>
      <c r="P7" s="329"/>
    </row>
    <row r="8" spans="1:18" ht="12.75" x14ac:dyDescent="0.2">
      <c r="A8" s="329"/>
      <c r="B8" s="329"/>
      <c r="C8" s="389" t="s">
        <v>1125</v>
      </c>
      <c r="D8" s="392">
        <f>COVER!A13</f>
        <v>45000000040</v>
      </c>
      <c r="E8" s="393"/>
      <c r="G8" s="329"/>
      <c r="H8" s="329"/>
      <c r="I8" s="329"/>
      <c r="J8" s="329"/>
      <c r="K8" s="329"/>
      <c r="L8" s="329"/>
      <c r="M8" s="329"/>
      <c r="N8" s="329"/>
      <c r="O8" s="329"/>
      <c r="P8" s="329"/>
    </row>
    <row r="9" spans="1:18" ht="12.75" x14ac:dyDescent="0.2">
      <c r="A9" s="329"/>
      <c r="B9" s="329"/>
      <c r="C9" s="389" t="s">
        <v>713</v>
      </c>
      <c r="D9" s="394" t="str">
        <f>COVER!A15</f>
        <v>Randolph</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500971</v>
      </c>
      <c r="I12" s="404"/>
      <c r="J12" s="404"/>
      <c r="K12" s="405">
        <f>TRUNC((H12/H13*100000),5)/100000</f>
        <v>0.142190548</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3523237</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2425988</v>
      </c>
      <c r="I17" s="404"/>
      <c r="J17" s="416"/>
      <c r="K17" s="405">
        <f>TRUNC((H17/H18*100000),5)/100000</f>
        <v>0.68856792769999997</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3523237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348624</v>
      </c>
      <c r="I24" s="422"/>
      <c r="J24" s="422"/>
      <c r="K24" s="423">
        <f>TRUNC(((H24/H25*100000)/100000),2)</f>
        <v>51.73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6738.85556</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25"/>
  <pageSetup scale="85" firstPageNumber="4" orientation="landscape" useFirstPageNumber="1" r:id="rId3"/>
  <headerFooter scaleWithDoc="0">
    <oddHeader xml:space="preserve">&amp;C </oddHeader>
    <oddFooter>&amp;LSee notes to financial statements&amp;8.&amp;C6</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F1" colorId="8" zoomScale="110" zoomScaleNormal="110" workbookViewId="0">
      <pane ySplit="2" topLeftCell="A3" activePane="bottomLeft" state="frozen"/>
      <selection activeCell="A4" sqref="A4:F4"/>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347076</v>
      </c>
      <c r="D4" s="466"/>
      <c r="E4" s="466"/>
      <c r="F4" s="466">
        <v>1548</v>
      </c>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105027</v>
      </c>
      <c r="D8" s="467"/>
      <c r="E8" s="467"/>
      <c r="F8" s="467">
        <v>57050</v>
      </c>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v>3821</v>
      </c>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455924</v>
      </c>
      <c r="D13" s="1737">
        <f t="shared" ref="D13:L13" si="0">SUM(D4:D12)</f>
        <v>0</v>
      </c>
      <c r="E13" s="1737">
        <f t="shared" si="0"/>
        <v>0</v>
      </c>
      <c r="F13" s="1737">
        <f t="shared" si="0"/>
        <v>58598</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v>
      </c>
      <c r="N16" s="484"/>
    </row>
    <row r="17" spans="1:14" s="485" customFormat="1" ht="12.75" customHeight="1" x14ac:dyDescent="0.2">
      <c r="A17" s="482" t="s">
        <v>1403</v>
      </c>
      <c r="B17" s="483">
        <v>230</v>
      </c>
      <c r="C17" s="477"/>
      <c r="D17" s="477"/>
      <c r="E17" s="477"/>
      <c r="F17" s="477"/>
      <c r="G17" s="477"/>
      <c r="H17" s="477"/>
      <c r="I17" s="477"/>
      <c r="J17" s="477"/>
      <c r="K17" s="477"/>
      <c r="L17" s="477"/>
      <c r="M17" s="467">
        <v>1113904</v>
      </c>
      <c r="N17" s="484"/>
    </row>
    <row r="18" spans="1:14" s="485" customFormat="1" ht="12.75" customHeight="1" x14ac:dyDescent="0.2">
      <c r="A18" s="482" t="s">
        <v>1404</v>
      </c>
      <c r="B18" s="483">
        <v>240</v>
      </c>
      <c r="C18" s="477"/>
      <c r="D18" s="477"/>
      <c r="E18" s="477"/>
      <c r="F18" s="477"/>
      <c r="G18" s="477"/>
      <c r="H18" s="477"/>
      <c r="I18" s="477"/>
      <c r="J18" s="477"/>
      <c r="K18" s="477"/>
      <c r="L18" s="477"/>
      <c r="M18" s="467">
        <v>48046</v>
      </c>
      <c r="N18" s="484"/>
    </row>
    <row r="19" spans="1:14" s="485" customFormat="1" ht="12.75" customHeight="1" x14ac:dyDescent="0.2">
      <c r="A19" s="482" t="s">
        <v>1405</v>
      </c>
      <c r="B19" s="483">
        <v>250</v>
      </c>
      <c r="C19" s="477"/>
      <c r="D19" s="477"/>
      <c r="E19" s="477"/>
      <c r="F19" s="477"/>
      <c r="G19" s="477"/>
      <c r="H19" s="477"/>
      <c r="I19" s="477"/>
      <c r="J19" s="477"/>
      <c r="K19" s="477"/>
      <c r="L19" s="477"/>
      <c r="M19" s="467">
        <v>252430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1414381</v>
      </c>
      <c r="N23" s="1688">
        <f>SUM(N21:N22)</f>
        <v>0</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9701</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3850</v>
      </c>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13551</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442373</v>
      </c>
      <c r="D39" s="466"/>
      <c r="E39" s="466"/>
      <c r="F39" s="466">
        <v>58598</v>
      </c>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1414381</v>
      </c>
      <c r="N40" s="497"/>
    </row>
    <row r="41" spans="1:14" ht="13.5" customHeight="1" thickBot="1" x14ac:dyDescent="0.25">
      <c r="A41" s="1736" t="s">
        <v>655</v>
      </c>
      <c r="B41" s="1706"/>
      <c r="C41" s="1688">
        <f>(SUM(C34,C37,C38,C39))</f>
        <v>455924</v>
      </c>
      <c r="D41" s="1688">
        <f t="shared" ref="D41:L41" si="2">SUM(D34,D37,D38:D39)</f>
        <v>0</v>
      </c>
      <c r="E41" s="1688">
        <f t="shared" si="2"/>
        <v>0</v>
      </c>
      <c r="F41" s="1688">
        <f t="shared" si="2"/>
        <v>58598</v>
      </c>
      <c r="G41" s="1688">
        <f t="shared" si="2"/>
        <v>0</v>
      </c>
      <c r="H41" s="1688">
        <f t="shared" si="2"/>
        <v>0</v>
      </c>
      <c r="I41" s="1688">
        <f t="shared" si="2"/>
        <v>0</v>
      </c>
      <c r="J41" s="1688">
        <f t="shared" si="2"/>
        <v>0</v>
      </c>
      <c r="K41" s="1688">
        <f t="shared" si="2"/>
        <v>0</v>
      </c>
      <c r="L41" s="1688">
        <f t="shared" si="2"/>
        <v>0</v>
      </c>
      <c r="M41" s="1688">
        <f>SUM(M40)</f>
        <v>1414381</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25"/>
  <pageSetup scale="75" firstPageNumber="10" orientation="landscape" useFirstPageNumber="1" r:id="rId1"/>
  <headerFooter differentFirst="1" scaleWithDoc="0">
    <oddHeader xml:space="preserve">&amp;C&amp;"Arial,Bold"&amp;9BASIC FINANCIAL STATEMENTS
STATEMENT OF ASSETS AND LIABILITIES ARISING FROM CASH TRANSACTIONS
STATEMENT OF POSITION AS OF JUNE 30, 2019
</oddHeader>
    <oddFooter>&amp;LSee notes to financial statements.&amp;C8</oddFooter>
    <firstHeader xml:space="preserve">&amp;C&amp;"Arial,Bold"BASIC FINANCIAL STATEMENTS
STATEMENT OF ASSETS AND LIABILITIES ARISING FROM CASH TRANSACTIONS
STATEMENT OF POSITION AS OF JUNE 30, 2019
</firstHeader>
    <firstFooter>&amp;LSee notes to financial statements.&amp;C7</first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4" sqref="A4:F4"/>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8" t="s">
        <v>1499</v>
      </c>
      <c r="B4" s="1929">
        <v>1000</v>
      </c>
      <c r="C4" s="1742">
        <f>'Revenues 9-14'!C109</f>
        <v>791750</v>
      </c>
      <c r="D4" s="1742">
        <f>'Revenues 9-14'!D109</f>
        <v>0</v>
      </c>
      <c r="E4" s="1742">
        <f>'Revenues 9-14'!E109</f>
        <v>0</v>
      </c>
      <c r="F4" s="1742">
        <f>'Revenues 9-14'!F109</f>
        <v>82970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205679</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592586</v>
      </c>
      <c r="D6" s="1743">
        <f>'Revenues 9-14'!D170</f>
        <v>0</v>
      </c>
      <c r="E6" s="1743">
        <f>'Revenues 9-14'!E170</f>
        <v>0</v>
      </c>
      <c r="F6" s="1743">
        <f>'Revenues 9-14'!F170</f>
        <v>87054</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1763198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3353213</v>
      </c>
      <c r="D8" s="1688">
        <f t="shared" ref="D8:K8" si="0">SUM(D4:D7)</f>
        <v>0</v>
      </c>
      <c r="E8" s="1688">
        <f t="shared" si="0"/>
        <v>0</v>
      </c>
      <c r="F8" s="1688">
        <f t="shared" si="0"/>
        <v>170024</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545547</v>
      </c>
      <c r="D9" s="516"/>
      <c r="E9" s="481"/>
      <c r="F9" s="481"/>
      <c r="G9" s="517"/>
      <c r="H9" s="481"/>
      <c r="I9" s="509" t="s">
        <v>1169</v>
      </c>
      <c r="J9" s="478"/>
      <c r="K9" s="481"/>
      <c r="L9" s="347"/>
    </row>
    <row r="10" spans="1:13" s="519" customFormat="1" ht="13.5" thickBot="1" x14ac:dyDescent="0.25">
      <c r="A10" s="1736" t="s">
        <v>1173</v>
      </c>
      <c r="B10" s="1709"/>
      <c r="C10" s="1688">
        <f>SUM(C8:C9)</f>
        <v>3898760</v>
      </c>
      <c r="D10" s="1688">
        <f t="shared" ref="D10:K10" si="1">SUM(D8:D9)</f>
        <v>0</v>
      </c>
      <c r="E10" s="1688">
        <f t="shared" si="1"/>
        <v>0</v>
      </c>
      <c r="F10" s="1688">
        <f t="shared" si="1"/>
        <v>170024</v>
      </c>
      <c r="G10" s="1688">
        <f t="shared" si="1"/>
        <v>0</v>
      </c>
      <c r="H10" s="1688">
        <f t="shared" si="1"/>
        <v>0</v>
      </c>
      <c r="I10" s="1688">
        <f t="shared" si="1"/>
        <v>0</v>
      </c>
      <c r="J10" s="1688">
        <f t="shared" si="1"/>
        <v>0</v>
      </c>
      <c r="K10" s="1688">
        <f t="shared" si="1"/>
        <v>0</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2">
        <f>'Expenditures 15-22'!K33</f>
        <v>1520733</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785447</v>
      </c>
      <c r="D13" s="1743">
        <f>'Expenditures 15-22'!K129</f>
        <v>0</v>
      </c>
      <c r="E13" s="469" t="s">
        <v>1169</v>
      </c>
      <c r="F13" s="1743">
        <f>'Expenditures 15-22'!K184</f>
        <v>119808</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2306180</v>
      </c>
      <c r="D17" s="1688">
        <f t="shared" si="2"/>
        <v>0</v>
      </c>
      <c r="E17" s="1688">
        <f t="shared" si="2"/>
        <v>0</v>
      </c>
      <c r="F17" s="1688">
        <f t="shared" si="2"/>
        <v>119808</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545547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2851727</v>
      </c>
      <c r="D19" s="1688">
        <f t="shared" si="4"/>
        <v>0</v>
      </c>
      <c r="E19" s="1688">
        <f t="shared" si="4"/>
        <v>0</v>
      </c>
      <c r="F19" s="1688">
        <f t="shared" si="4"/>
        <v>119808</v>
      </c>
      <c r="G19" s="1688">
        <f t="shared" si="4"/>
        <v>0</v>
      </c>
      <c r="H19" s="1688">
        <f t="shared" si="4"/>
        <v>0</v>
      </c>
      <c r="I19" s="468"/>
      <c r="J19" s="1688">
        <f>SUM(J17:J18)</f>
        <v>0</v>
      </c>
      <c r="K19" s="1688">
        <f>SUM(K17:K18)</f>
        <v>0</v>
      </c>
      <c r="L19" s="347"/>
    </row>
    <row r="20" spans="1:12" ht="16.5" thickTop="1" thickBot="1" x14ac:dyDescent="0.25">
      <c r="A20" s="2127" t="s">
        <v>1655</v>
      </c>
      <c r="B20" s="2128"/>
      <c r="C20" s="1746">
        <f>C8-C17</f>
        <v>1047033</v>
      </c>
      <c r="D20" s="1746">
        <f t="shared" ref="D20:K20" si="5">D8-D17</f>
        <v>0</v>
      </c>
      <c r="E20" s="1746">
        <f t="shared" si="5"/>
        <v>0</v>
      </c>
      <c r="F20" s="1746">
        <f t="shared" si="5"/>
        <v>50216</v>
      </c>
      <c r="G20" s="1746">
        <f t="shared" si="5"/>
        <v>0</v>
      </c>
      <c r="H20" s="1746">
        <f t="shared" si="5"/>
        <v>0</v>
      </c>
      <c r="I20" s="1746">
        <f t="shared" si="5"/>
        <v>0</v>
      </c>
      <c r="J20" s="1746">
        <f t="shared" si="5"/>
        <v>0</v>
      </c>
      <c r="K20" s="1746">
        <f t="shared" si="5"/>
        <v>0</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1793</v>
      </c>
      <c r="B30" s="527">
        <v>7160</v>
      </c>
      <c r="C30" s="477"/>
      <c r="D30" s="467"/>
      <c r="E30" s="477"/>
      <c r="F30" s="477"/>
      <c r="G30" s="477"/>
      <c r="H30" s="477"/>
      <c r="I30" s="477"/>
      <c r="J30" s="477"/>
      <c r="K30" s="477"/>
      <c r="L30" s="524"/>
    </row>
    <row r="31" spans="1:12" s="485" customFormat="1" ht="26.25" x14ac:dyDescent="0.2">
      <c r="A31" s="1489" t="s">
        <v>1797</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3">
        <f>D30</f>
        <v>0</v>
      </c>
      <c r="L52" s="524"/>
    </row>
    <row r="53" spans="1:12" s="485" customFormat="1" ht="26.25" x14ac:dyDescent="0.2">
      <c r="A53" s="1490" t="s">
        <v>1795</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v>1186859</v>
      </c>
      <c r="D75" s="531"/>
      <c r="E75" s="530"/>
      <c r="F75" s="532"/>
      <c r="G75" s="532"/>
      <c r="H75" s="532"/>
      <c r="I75" s="530"/>
      <c r="J75" s="530"/>
      <c r="K75" s="532"/>
      <c r="L75" s="524"/>
    </row>
    <row r="76" spans="1:12" s="485" customFormat="1" ht="14.25" thickTop="1" thickBot="1" x14ac:dyDescent="0.25">
      <c r="A76" s="2117" t="s">
        <v>440</v>
      </c>
      <c r="B76" s="2118"/>
      <c r="C76" s="1703">
        <f t="shared" ref="C76:K76" si="7">SUM(C47:C75)</f>
        <v>1186859</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9" t="s">
        <v>1177</v>
      </c>
      <c r="B77" s="2120"/>
      <c r="C77" s="1703">
        <f t="shared" ref="C77:K77" si="8">C44-C76</f>
        <v>-1186859</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3" t="s">
        <v>597</v>
      </c>
      <c r="B78" s="2124"/>
      <c r="C78" s="1702">
        <f t="shared" ref="C78:K78" si="9">C20+C77</f>
        <v>-139826</v>
      </c>
      <c r="D78" s="1702">
        <f t="shared" si="9"/>
        <v>0</v>
      </c>
      <c r="E78" s="1702">
        <f t="shared" si="9"/>
        <v>0</v>
      </c>
      <c r="F78" s="1702">
        <f t="shared" si="9"/>
        <v>50216</v>
      </c>
      <c r="G78" s="1702">
        <f t="shared" si="9"/>
        <v>0</v>
      </c>
      <c r="H78" s="1702">
        <f t="shared" si="9"/>
        <v>0</v>
      </c>
      <c r="I78" s="1702">
        <f t="shared" si="9"/>
        <v>0</v>
      </c>
      <c r="J78" s="1702">
        <f t="shared" si="9"/>
        <v>0</v>
      </c>
      <c r="K78" s="1702">
        <f t="shared" si="9"/>
        <v>0</v>
      </c>
      <c r="L78" s="533"/>
    </row>
    <row r="79" spans="1:12" ht="13.5" thickTop="1" x14ac:dyDescent="0.2">
      <c r="A79" s="1494" t="s">
        <v>1948</v>
      </c>
      <c r="B79" s="534"/>
      <c r="C79" s="478">
        <v>582199</v>
      </c>
      <c r="D79" s="535"/>
      <c r="E79" s="535"/>
      <c r="F79" s="535">
        <v>8382</v>
      </c>
      <c r="G79" s="535"/>
      <c r="H79" s="535"/>
      <c r="I79" s="535"/>
      <c r="J79" s="535"/>
      <c r="K79" s="535"/>
      <c r="L79" s="347"/>
    </row>
    <row r="80" spans="1:12" x14ac:dyDescent="0.2">
      <c r="A80" s="2129" t="s">
        <v>1794</v>
      </c>
      <c r="B80" s="2130"/>
      <c r="C80" s="467"/>
      <c r="D80" s="467"/>
      <c r="E80" s="467"/>
      <c r="F80" s="467"/>
      <c r="G80" s="467"/>
      <c r="H80" s="467"/>
      <c r="I80" s="467"/>
      <c r="J80" s="467"/>
      <c r="K80" s="467"/>
      <c r="L80" s="347"/>
    </row>
    <row r="81" spans="1:12" ht="13.5" thickBot="1" x14ac:dyDescent="0.25">
      <c r="A81" s="2121" t="s">
        <v>1949</v>
      </c>
      <c r="B81" s="2122"/>
      <c r="C81" s="1688">
        <f>(SUM(C78:C80))</f>
        <v>442373</v>
      </c>
      <c r="D81" s="1688">
        <f>SUM(D78:D80)</f>
        <v>0</v>
      </c>
      <c r="E81" s="1688">
        <f t="shared" ref="E81:K81" si="10">SUM(E78:E80)</f>
        <v>0</v>
      </c>
      <c r="F81" s="1688">
        <f t="shared" si="10"/>
        <v>58598</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-139826</v>
      </c>
      <c r="D82" s="538">
        <f t="shared" ref="D82:K82" si="11">(D81-D79)</f>
        <v>0</v>
      </c>
      <c r="E82" s="538">
        <f t="shared" si="11"/>
        <v>0</v>
      </c>
      <c r="F82" s="538">
        <f t="shared" si="11"/>
        <v>50216</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-0.31608167767924356</v>
      </c>
      <c r="D83" s="540" t="e">
        <f t="shared" ref="D83:K83" si="12">D82/D81</f>
        <v>#DIV/0!</v>
      </c>
      <c r="E83" s="540" t="e">
        <f t="shared" si="12"/>
        <v>#DIV/0!</v>
      </c>
      <c r="F83" s="540">
        <f t="shared" si="12"/>
        <v>0.85695757534386841</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 bottom="0.48" header="0.19" footer="0.25"/>
  <pageSetup scale="73" firstPageNumber="7" orientation="landscape" useFirstPageNumber="1" r:id="rId1"/>
  <headerFooter differentFirst="1" scaleWithDoc="0">
    <oddHeader xml:space="preserve">&amp;CBASIC FINANCIAL STATEMENT
STATEMENT OF REVENUES RECEIVED/REVENUES, EXPENDITURES/DISBURSED/EXPENDITURES, OTHER 
SOURCES (USES) AND CHANGES IN FUND BALANCE
ALL FUNDS - FOR THE YEAR ENDING JUNE 30, 2019 </oddHeader>
    <oddFooter>&amp;LSee notes to financial statements.&amp;C10</oddFooter>
    <firstHeader xml:space="preserve">&amp;CBASIC FINANCIAL STATEMENT
STATEMENT OF REVENUES RECEIVED/REVENUES, EXPENDITURES/DISBURSED/EXPENDITURES, OTHER 
SOURCES (USES) AND CHANGES IN FUND BALANCE
ALL FUNDS - FOR THE YEAR ENDING JUNE 30, 2019 </firstHeader>
    <firstFooter>&amp;LSee notes to financial statements.&amp;C9</first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showWhiteSpace="0" view="pageLayout" colorId="8" zoomScaleNormal="110" zoomScaleSheetLayoutView="70" workbookViewId="0">
      <selection activeCell="C29" sqref="C2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1801</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v>95375</v>
      </c>
      <c r="D29" s="468"/>
      <c r="E29" s="468"/>
      <c r="F29" s="468"/>
      <c r="G29" s="468"/>
      <c r="H29" s="468"/>
      <c r="I29" s="468"/>
      <c r="J29" s="468"/>
      <c r="K29" s="468"/>
    </row>
    <row r="30" spans="1:11" ht="12.75" customHeight="1" x14ac:dyDescent="0.2">
      <c r="A30" s="463" t="s">
        <v>1026</v>
      </c>
      <c r="B30" s="470">
        <v>1333</v>
      </c>
      <c r="C30" s="551">
        <v>965</v>
      </c>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v>636902</v>
      </c>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733242</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v>82970</v>
      </c>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82970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0</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v>7306</v>
      </c>
      <c r="D74" s="468"/>
      <c r="E74" s="468"/>
      <c r="F74" s="468"/>
      <c r="G74" s="468"/>
      <c r="H74" s="468"/>
      <c r="I74" s="468"/>
      <c r="J74" s="468"/>
      <c r="K74" s="468"/>
    </row>
    <row r="75" spans="1:11" ht="12.75" customHeight="1" thickBot="1" x14ac:dyDescent="0.25">
      <c r="A75" s="1708" t="s">
        <v>548</v>
      </c>
      <c r="B75" s="1709"/>
      <c r="C75" s="1688">
        <f>SUM(C69:C74)</f>
        <v>7306</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6008</v>
      </c>
      <c r="D79" s="466"/>
      <c r="E79" s="468"/>
      <c r="F79" s="468"/>
      <c r="G79" s="468"/>
      <c r="H79" s="468"/>
      <c r="I79" s="468"/>
      <c r="J79" s="468"/>
      <c r="K79" s="468"/>
    </row>
    <row r="80" spans="1:11" ht="12.75" customHeight="1" x14ac:dyDescent="0.2">
      <c r="A80" s="463" t="s">
        <v>551</v>
      </c>
      <c r="B80" s="470">
        <v>1730</v>
      </c>
      <c r="C80" s="551">
        <v>2865</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8873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v>2475</v>
      </c>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2475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38093</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1761</v>
      </c>
      <c r="D107" s="466"/>
      <c r="E107" s="466"/>
      <c r="F107" s="466"/>
      <c r="G107" s="466"/>
      <c r="H107" s="466"/>
      <c r="I107" s="466"/>
      <c r="J107" s="467"/>
      <c r="K107" s="466"/>
    </row>
    <row r="108" spans="1:12" ht="12.75" customHeight="1" thickBot="1" x14ac:dyDescent="0.25">
      <c r="A108" s="1708" t="s">
        <v>487</v>
      </c>
      <c r="B108" s="1712"/>
      <c r="C108" s="1707">
        <f>SUM(C95:C107)</f>
        <v>39854</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791750</v>
      </c>
      <c r="D109" s="1715">
        <f t="shared" si="4"/>
        <v>0</v>
      </c>
      <c r="E109" s="1715">
        <f t="shared" si="4"/>
        <v>0</v>
      </c>
      <c r="F109" s="1715">
        <f t="shared" si="4"/>
        <v>82970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204000</v>
      </c>
      <c r="D111" s="481"/>
      <c r="E111" s="561"/>
      <c r="F111" s="481"/>
      <c r="G111" s="481"/>
      <c r="H111" s="561"/>
      <c r="I111" s="468"/>
      <c r="J111" s="468"/>
      <c r="K111" s="468"/>
    </row>
    <row r="112" spans="1:12" ht="12.75" customHeight="1" x14ac:dyDescent="0.2">
      <c r="A112" s="463" t="s">
        <v>824</v>
      </c>
      <c r="B112" s="470">
        <v>2200</v>
      </c>
      <c r="C112" s="551">
        <v>1679</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205679</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455108</v>
      </c>
      <c r="D117" s="481"/>
      <c r="E117" s="466"/>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1800</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455108</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133778</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133778</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871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87054</v>
      </c>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87054</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v>2829</v>
      </c>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5" t="s">
        <v>398</v>
      </c>
      <c r="B169" s="2146"/>
      <c r="C169" s="1722">
        <f t="shared" ref="C169:K169" si="6">SUM(C132,C141,C145,C146:C150,C155,C156:C167,C168)</f>
        <v>137478</v>
      </c>
      <c r="D169" s="1722">
        <f t="shared" si="6"/>
        <v>0</v>
      </c>
      <c r="E169" s="1722">
        <f t="shared" si="6"/>
        <v>0</v>
      </c>
      <c r="F169" s="1722">
        <f t="shared" si="6"/>
        <v>87054</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592586</v>
      </c>
      <c r="D170" s="1715">
        <f t="shared" si="7"/>
        <v>0</v>
      </c>
      <c r="E170" s="1715">
        <f t="shared" si="7"/>
        <v>0</v>
      </c>
      <c r="F170" s="1715">
        <f t="shared" si="7"/>
        <v>87054</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9" t="s">
        <v>1802</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26600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14848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v>2826</v>
      </c>
      <c r="D197" s="468"/>
      <c r="E197" s="561"/>
      <c r="F197" s="468"/>
      <c r="G197" s="585"/>
      <c r="H197" s="468"/>
      <c r="I197" s="468"/>
      <c r="J197" s="468"/>
      <c r="K197" s="468"/>
    </row>
    <row r="198" spans="1:11" ht="12.75" customHeight="1" thickBot="1" x14ac:dyDescent="0.25">
      <c r="A198" s="1708" t="s">
        <v>548</v>
      </c>
      <c r="B198" s="1709"/>
      <c r="C198" s="1688">
        <f>SUM(C190:C197)</f>
        <v>44274</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v>532065</v>
      </c>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v>1186859</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1763198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1763198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3353213</v>
      </c>
      <c r="D268" s="1715">
        <f t="shared" si="12"/>
        <v>0</v>
      </c>
      <c r="E268" s="1715">
        <f t="shared" si="12"/>
        <v>0</v>
      </c>
      <c r="F268" s="1715">
        <f t="shared" si="12"/>
        <v>170024</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25"/>
  <pageSetup scale="74" firstPageNumber="11" fitToWidth="0" fitToHeight="0" orientation="landscape" useFirstPageNumber="1" r:id="rId1"/>
  <headerFooter differentFirst="1" scaleWithDoc="0">
    <oddHeader>&amp;C&amp;"Arial,Bold"&amp;9STATEMENT OF REVENUES RECEIVED/REVENUES
FOR THE YEAR ENDING JUNE 30, 2019</oddHeader>
    <oddFooter>&amp;LSee notes to financial statements.&amp;C&amp;P</oddFooter>
    <firstHeader>&amp;C&amp;"Arial,Bold"STATEMENT OF REVENUES RECEIVED/REVENUES
FOR THE YEAR ENDING JUNE 30, 2019</firstHeader>
    <firstFooter>&amp;LSee notes to financial statements.&amp;C11</first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99" activePane="bottomLeft" state="frozen"/>
      <selection activeCell="A4" sqref="A4:F4"/>
      <selection pane="bottomLeft" activeCell="C211" sqref="C21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1801</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v>507979</v>
      </c>
      <c r="D12" s="466">
        <v>126720</v>
      </c>
      <c r="E12" s="466">
        <v>58771</v>
      </c>
      <c r="F12" s="466">
        <v>198574</v>
      </c>
      <c r="G12" s="466"/>
      <c r="H12" s="466"/>
      <c r="I12" s="467"/>
      <c r="J12" s="467"/>
      <c r="K12" s="1671">
        <f t="shared" si="0"/>
        <v>892044</v>
      </c>
      <c r="L12" s="466">
        <v>781145</v>
      </c>
    </row>
    <row r="13" spans="1:14" x14ac:dyDescent="0.2">
      <c r="A13" s="1504" t="s">
        <v>723</v>
      </c>
      <c r="B13" s="614">
        <v>1400</v>
      </c>
      <c r="C13" s="466">
        <v>416670</v>
      </c>
      <c r="D13" s="466">
        <v>139380</v>
      </c>
      <c r="E13" s="466">
        <v>49565</v>
      </c>
      <c r="F13" s="466">
        <v>18436</v>
      </c>
      <c r="G13" s="466"/>
      <c r="H13" s="466">
        <v>4638</v>
      </c>
      <c r="I13" s="467"/>
      <c r="J13" s="467"/>
      <c r="K13" s="1671">
        <f t="shared" si="0"/>
        <v>628689</v>
      </c>
      <c r="L13" s="466">
        <v>600390</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924649</v>
      </c>
      <c r="D33" s="1670">
        <f t="shared" ref="D33:L33" si="1">SUM(D5:D32)</f>
        <v>266100</v>
      </c>
      <c r="E33" s="1670">
        <f t="shared" si="1"/>
        <v>108336</v>
      </c>
      <c r="F33" s="1670">
        <f t="shared" si="1"/>
        <v>217010</v>
      </c>
      <c r="G33" s="1670">
        <f t="shared" si="1"/>
        <v>0</v>
      </c>
      <c r="H33" s="1670">
        <f t="shared" si="1"/>
        <v>4638</v>
      </c>
      <c r="I33" s="1670">
        <f t="shared" si="1"/>
        <v>0</v>
      </c>
      <c r="J33" s="1670">
        <f t="shared" si="1"/>
        <v>0</v>
      </c>
      <c r="K33" s="1670">
        <f t="shared" si="1"/>
        <v>1520733</v>
      </c>
      <c r="L33" s="1670">
        <f t="shared" si="1"/>
        <v>1381535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74814</v>
      </c>
      <c r="D37" s="466">
        <v>27632</v>
      </c>
      <c r="E37" s="466">
        <v>270</v>
      </c>
      <c r="F37" s="466"/>
      <c r="G37" s="466"/>
      <c r="H37" s="466"/>
      <c r="I37" s="467"/>
      <c r="J37" s="467"/>
      <c r="K37" s="1671">
        <f t="shared" si="2"/>
        <v>102716</v>
      </c>
      <c r="L37" s="466">
        <v>108103</v>
      </c>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74814</v>
      </c>
      <c r="D42" s="1670">
        <f t="shared" ref="D42:L42" si="3">SUM(D36:D41)</f>
        <v>27632</v>
      </c>
      <c r="E42" s="1670">
        <f t="shared" si="3"/>
        <v>270</v>
      </c>
      <c r="F42" s="1670">
        <f t="shared" si="3"/>
        <v>0</v>
      </c>
      <c r="G42" s="1670">
        <f t="shared" si="3"/>
        <v>0</v>
      </c>
      <c r="H42" s="1670">
        <f t="shared" si="3"/>
        <v>0</v>
      </c>
      <c r="I42" s="1670">
        <f t="shared" si="3"/>
        <v>0</v>
      </c>
      <c r="J42" s="1670">
        <f t="shared" si="3"/>
        <v>0</v>
      </c>
      <c r="K42" s="1670">
        <f t="shared" si="3"/>
        <v>102716</v>
      </c>
      <c r="L42" s="1670">
        <f t="shared" si="3"/>
        <v>108103</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0</v>
      </c>
      <c r="F47" s="1670">
        <f t="shared" si="4"/>
        <v>0</v>
      </c>
      <c r="G47" s="1670">
        <f t="shared" si="4"/>
        <v>0</v>
      </c>
      <c r="H47" s="1670">
        <f t="shared" si="4"/>
        <v>0</v>
      </c>
      <c r="I47" s="1670">
        <f t="shared" si="4"/>
        <v>0</v>
      </c>
      <c r="J47" s="1670">
        <f t="shared" si="4"/>
        <v>0</v>
      </c>
      <c r="K47" s="1670">
        <f t="shared" si="4"/>
        <v>0</v>
      </c>
      <c r="L47" s="1670">
        <f>SUM(L44:L46)</f>
        <v>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55680</v>
      </c>
      <c r="F49" s="481">
        <v>7022</v>
      </c>
      <c r="G49" s="481"/>
      <c r="H49" s="481">
        <v>8406</v>
      </c>
      <c r="I49" s="467"/>
      <c r="J49" s="467"/>
      <c r="K49" s="1672">
        <f>SUM(C49:J49)</f>
        <v>71108</v>
      </c>
      <c r="L49" s="481">
        <v>71696</v>
      </c>
    </row>
    <row r="50" spans="1:14" x14ac:dyDescent="0.2">
      <c r="A50" s="1504" t="s">
        <v>818</v>
      </c>
      <c r="B50" s="614">
        <v>2320</v>
      </c>
      <c r="C50" s="466"/>
      <c r="D50" s="466"/>
      <c r="E50" s="466"/>
      <c r="F50" s="466"/>
      <c r="G50" s="466"/>
      <c r="H50" s="466"/>
      <c r="I50" s="467"/>
      <c r="J50" s="467"/>
      <c r="K50" s="1672">
        <f>SUM(C50:J50)</f>
        <v>0</v>
      </c>
      <c r="L50" s="466"/>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0</v>
      </c>
      <c r="D53" s="1670">
        <f t="shared" ref="D53:L53" si="5">SUM(D49:D52)</f>
        <v>0</v>
      </c>
      <c r="E53" s="1670">
        <f t="shared" si="5"/>
        <v>55680</v>
      </c>
      <c r="F53" s="1670">
        <f t="shared" si="5"/>
        <v>7022</v>
      </c>
      <c r="G53" s="1670">
        <f t="shared" si="5"/>
        <v>0</v>
      </c>
      <c r="H53" s="1670">
        <f t="shared" si="5"/>
        <v>8406</v>
      </c>
      <c r="I53" s="1670">
        <f t="shared" si="5"/>
        <v>0</v>
      </c>
      <c r="J53" s="1670">
        <f t="shared" si="5"/>
        <v>0</v>
      </c>
      <c r="K53" s="1670">
        <f t="shared" si="5"/>
        <v>71108</v>
      </c>
      <c r="L53" s="1670">
        <f t="shared" si="5"/>
        <v>71696</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153858</v>
      </c>
      <c r="D55" s="481">
        <v>52119</v>
      </c>
      <c r="E55" s="481">
        <v>8425</v>
      </c>
      <c r="F55" s="481">
        <v>60</v>
      </c>
      <c r="G55" s="481"/>
      <c r="H55" s="481">
        <v>1075</v>
      </c>
      <c r="I55" s="467"/>
      <c r="J55" s="467"/>
      <c r="K55" s="1672">
        <f>SUM(C55:J55)</f>
        <v>215537</v>
      </c>
      <c r="L55" s="481">
        <v>219063</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153858</v>
      </c>
      <c r="D57" s="1674">
        <f t="shared" ref="D57:K57" si="6">SUM(D55:D56)</f>
        <v>52119</v>
      </c>
      <c r="E57" s="1674">
        <f t="shared" si="6"/>
        <v>8425</v>
      </c>
      <c r="F57" s="1674">
        <f t="shared" si="6"/>
        <v>60</v>
      </c>
      <c r="G57" s="1674">
        <f t="shared" si="6"/>
        <v>0</v>
      </c>
      <c r="H57" s="1674">
        <f t="shared" si="6"/>
        <v>1075</v>
      </c>
      <c r="I57" s="1674">
        <f t="shared" si="6"/>
        <v>0</v>
      </c>
      <c r="J57" s="1674">
        <f t="shared" si="6"/>
        <v>0</v>
      </c>
      <c r="K57" s="1674">
        <f t="shared" si="6"/>
        <v>215537</v>
      </c>
      <c r="L57" s="1670">
        <f>SUM(L55:L56)</f>
        <v>219063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57086</v>
      </c>
      <c r="D60" s="466">
        <v>20990</v>
      </c>
      <c r="E60" s="466"/>
      <c r="F60" s="466">
        <v>39</v>
      </c>
      <c r="G60" s="466"/>
      <c r="H60" s="466"/>
      <c r="I60" s="467"/>
      <c r="J60" s="467"/>
      <c r="K60" s="1672">
        <f t="shared" si="7"/>
        <v>78115</v>
      </c>
      <c r="L60" s="466">
        <v>95179</v>
      </c>
      <c r="M60" s="609"/>
      <c r="N60" s="609"/>
    </row>
    <row r="61" spans="1:14" s="343" customFormat="1" x14ac:dyDescent="0.2">
      <c r="A61" s="1504" t="s">
        <v>197</v>
      </c>
      <c r="B61" s="614">
        <v>2540</v>
      </c>
      <c r="C61" s="466">
        <v>90208</v>
      </c>
      <c r="D61" s="466">
        <v>39487</v>
      </c>
      <c r="E61" s="466">
        <v>28020</v>
      </c>
      <c r="F61" s="466">
        <v>77268</v>
      </c>
      <c r="G61" s="466">
        <v>5265</v>
      </c>
      <c r="H61" s="466"/>
      <c r="I61" s="467"/>
      <c r="J61" s="467"/>
      <c r="K61" s="1672">
        <f t="shared" si="7"/>
        <v>240248</v>
      </c>
      <c r="L61" s="466">
        <v>256723</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30310</v>
      </c>
      <c r="D63" s="466">
        <v>3687</v>
      </c>
      <c r="E63" s="466"/>
      <c r="F63" s="466">
        <v>38433</v>
      </c>
      <c r="G63" s="466"/>
      <c r="H63" s="466"/>
      <c r="I63" s="467"/>
      <c r="J63" s="467"/>
      <c r="K63" s="1672">
        <f t="shared" si="7"/>
        <v>72430</v>
      </c>
      <c r="L63" s="466">
        <v>71120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177604</v>
      </c>
      <c r="D65" s="1670">
        <f t="shared" ref="D65:L65" si="8">SUM(D59:D64)</f>
        <v>64164</v>
      </c>
      <c r="E65" s="1670">
        <f t="shared" si="8"/>
        <v>28020</v>
      </c>
      <c r="F65" s="1670">
        <f t="shared" si="8"/>
        <v>115740</v>
      </c>
      <c r="G65" s="1670">
        <f t="shared" si="8"/>
        <v>5265</v>
      </c>
      <c r="H65" s="1670">
        <f t="shared" si="8"/>
        <v>0</v>
      </c>
      <c r="I65" s="1670">
        <f t="shared" si="8"/>
        <v>0</v>
      </c>
      <c r="J65" s="1670">
        <f t="shared" si="8"/>
        <v>0</v>
      </c>
      <c r="K65" s="1670">
        <f t="shared" si="8"/>
        <v>390793</v>
      </c>
      <c r="L65" s="1670">
        <f t="shared" si="8"/>
        <v>423022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v>4917</v>
      </c>
      <c r="D70" s="466">
        <v>376</v>
      </c>
      <c r="E70" s="466"/>
      <c r="F70" s="466"/>
      <c r="G70" s="466"/>
      <c r="H70" s="466"/>
      <c r="I70" s="467"/>
      <c r="J70" s="467"/>
      <c r="K70" s="1672">
        <f>SUM(C70:J70)</f>
        <v>5293</v>
      </c>
      <c r="L70" s="466">
        <v>5384</v>
      </c>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4917</v>
      </c>
      <c r="D72" s="1670">
        <f t="shared" ref="D72:K72" si="9">SUM(D67:D71)</f>
        <v>376</v>
      </c>
      <c r="E72" s="1670">
        <f t="shared" si="9"/>
        <v>0</v>
      </c>
      <c r="F72" s="1670">
        <f t="shared" si="9"/>
        <v>0</v>
      </c>
      <c r="G72" s="1670">
        <f t="shared" si="9"/>
        <v>0</v>
      </c>
      <c r="H72" s="1670">
        <f t="shared" si="9"/>
        <v>0</v>
      </c>
      <c r="I72" s="1670">
        <f t="shared" si="9"/>
        <v>0</v>
      </c>
      <c r="J72" s="1670">
        <f t="shared" si="9"/>
        <v>0</v>
      </c>
      <c r="K72" s="1670">
        <f t="shared" si="9"/>
        <v>5293</v>
      </c>
      <c r="L72" s="1670">
        <f>SUM(L67:L71)</f>
        <v>5384</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411193</v>
      </c>
      <c r="D74" s="1677">
        <f t="shared" ref="D74:K74" si="10">SUM(D42,D47,D53,D57,D65,D72,D73)</f>
        <v>144291</v>
      </c>
      <c r="E74" s="1677">
        <f t="shared" si="10"/>
        <v>92395</v>
      </c>
      <c r="F74" s="1677">
        <f t="shared" si="10"/>
        <v>122822</v>
      </c>
      <c r="G74" s="1677">
        <f t="shared" si="10"/>
        <v>5265</v>
      </c>
      <c r="H74" s="1677">
        <f t="shared" si="10"/>
        <v>9481</v>
      </c>
      <c r="I74" s="1677">
        <f t="shared" si="10"/>
        <v>0</v>
      </c>
      <c r="J74" s="1677">
        <f t="shared" si="10"/>
        <v>0</v>
      </c>
      <c r="K74" s="1677">
        <f t="shared" si="10"/>
        <v>785447</v>
      </c>
      <c r="L74" s="1677">
        <f>SUM(L42,L47,L53,L57,L65,L72,L73)</f>
        <v>827268</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0</v>
      </c>
      <c r="I102" s="477"/>
      <c r="J102" s="477"/>
      <c r="K102" s="1677">
        <f>SUM(K84,K92,K100,K101)</f>
        <v>0</v>
      </c>
      <c r="L102" s="1677">
        <f>SUM(L84,L92,L100,L101)</f>
        <v>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v>200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200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200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1335842</v>
      </c>
      <c r="D114" s="1670">
        <f t="shared" ref="D114:K114" si="13">SUM(D33,D74,D75,D102,D112,D113)</f>
        <v>410391</v>
      </c>
      <c r="E114" s="1670">
        <f t="shared" si="13"/>
        <v>200731</v>
      </c>
      <c r="F114" s="1670">
        <f t="shared" si="13"/>
        <v>339832</v>
      </c>
      <c r="G114" s="1670">
        <f t="shared" si="13"/>
        <v>5265</v>
      </c>
      <c r="H114" s="1670">
        <f>SUM(H33,H74,H75,H102,H112,H113)</f>
        <v>14119</v>
      </c>
      <c r="I114" s="1670">
        <f t="shared" si="13"/>
        <v>0</v>
      </c>
      <c r="J114" s="1670">
        <f t="shared" si="13"/>
        <v>0</v>
      </c>
      <c r="K114" s="1670">
        <f t="shared" si="13"/>
        <v>2306180</v>
      </c>
      <c r="L114" s="1670">
        <f>SUM(L33,L74,L75,L102,L112,L113)</f>
        <v>2209003</v>
      </c>
    </row>
    <row r="115" spans="1:14" ht="13.5" thickTop="1" x14ac:dyDescent="0.2">
      <c r="A115" s="2157" t="s">
        <v>996</v>
      </c>
      <c r="B115" s="2158"/>
      <c r="C115" s="618"/>
      <c r="D115" s="618"/>
      <c r="E115" s="618"/>
      <c r="F115" s="618"/>
      <c r="G115" s="618"/>
      <c r="H115" s="618"/>
      <c r="I115" s="618"/>
      <c r="J115" s="618"/>
      <c r="K115" s="1684">
        <f>'Revenues 9-14'!C268-'Expenditures 15-22'!K114</f>
        <v>1047033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4"/>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7" t="s">
        <v>1178</v>
      </c>
      <c r="B152" s="2178"/>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7" t="s">
        <v>996</v>
      </c>
      <c r="B175" s="2158"/>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3987</v>
      </c>
      <c r="D182" s="466">
        <v>1621</v>
      </c>
      <c r="E182" s="466">
        <v>114200</v>
      </c>
      <c r="F182" s="466"/>
      <c r="G182" s="466"/>
      <c r="H182" s="466"/>
      <c r="I182" s="467"/>
      <c r="J182" s="467"/>
      <c r="K182" s="1671">
        <f>SUM(C182:J182)</f>
        <v>119808</v>
      </c>
      <c r="L182" s="466">
        <v>131790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3987</v>
      </c>
      <c r="D184" s="1677">
        <f t="shared" ref="D184:J184" si="17">SUM(D180,D182,D183)</f>
        <v>1621</v>
      </c>
      <c r="E184" s="1677">
        <f t="shared" si="17"/>
        <v>114200</v>
      </c>
      <c r="F184" s="1677">
        <f t="shared" si="17"/>
        <v>0</v>
      </c>
      <c r="G184" s="1677">
        <f t="shared" si="17"/>
        <v>0</v>
      </c>
      <c r="H184" s="1677">
        <f t="shared" si="17"/>
        <v>0</v>
      </c>
      <c r="I184" s="1677">
        <f t="shared" si="17"/>
        <v>0</v>
      </c>
      <c r="J184" s="1677">
        <f t="shared" si="17"/>
        <v>0</v>
      </c>
      <c r="K184" s="1677">
        <f>SUM(K180,K182,K183)</f>
        <v>119808</v>
      </c>
      <c r="L184" s="1677">
        <f>SUM(L180, L182:L183)</f>
        <v>131790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3987</v>
      </c>
      <c r="D210" s="1670">
        <f>SUM(D184,D185)</f>
        <v>1621</v>
      </c>
      <c r="E210" s="1670">
        <f>SUM(E184,E185,E196)</f>
        <v>114200</v>
      </c>
      <c r="F210" s="1670">
        <f>SUM(F184,F185)</f>
        <v>0</v>
      </c>
      <c r="G210" s="1670">
        <f>SUM(G184,G185)</f>
        <v>0</v>
      </c>
      <c r="H210" s="1670">
        <f>SUM(H184,H185,H196,H208,H209)</f>
        <v>0</v>
      </c>
      <c r="I210" s="1670">
        <f>SUM(I184,I185)</f>
        <v>0</v>
      </c>
      <c r="J210" s="1670">
        <f>SUM(J184,J185)</f>
        <v>0</v>
      </c>
      <c r="K210" s="1671">
        <f>SUM(K184,K185,K196,K208,K209)</f>
        <v>119808</v>
      </c>
      <c r="L210" s="1670">
        <f>SUM(L184,L185,L196,L208,L209)</f>
        <v>131790</v>
      </c>
    </row>
    <row r="211" spans="1:14" ht="13.5" thickTop="1" x14ac:dyDescent="0.2">
      <c r="A211" s="2157" t="s">
        <v>996</v>
      </c>
      <c r="B211" s="2158"/>
      <c r="C211" s="618"/>
      <c r="D211" s="618"/>
      <c r="E211" s="618"/>
      <c r="F211" s="618"/>
      <c r="G211" s="618"/>
      <c r="H211" s="618"/>
      <c r="I211" s="616"/>
      <c r="J211" s="616"/>
      <c r="K211" s="1684">
        <f>'Revenues 9-14'!F268-'Expenditures 15-22'!K210</f>
        <v>50216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1804</v>
      </c>
      <c r="B249" s="683" t="s">
        <v>282</v>
      </c>
      <c r="C249" s="616"/>
      <c r="D249" s="474"/>
      <c r="E249" s="616"/>
      <c r="F249" s="616"/>
      <c r="G249" s="616"/>
      <c r="H249" s="616"/>
      <c r="I249" s="616"/>
      <c r="J249" s="616"/>
      <c r="K249" s="1672">
        <f t="shared" si="21"/>
        <v>0</v>
      </c>
      <c r="L249" s="466"/>
    </row>
    <row r="250" spans="1:12" x14ac:dyDescent="0.2">
      <c r="A250" s="1505" t="s">
        <v>1805</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1803</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57" t="s">
        <v>996</v>
      </c>
      <c r="B296" s="2158"/>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1804</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70" t="s">
        <v>996</v>
      </c>
      <c r="B343" s="2171"/>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7" t="s">
        <v>996</v>
      </c>
      <c r="B368" s="2158"/>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25"/>
  <pageSetup scale="73" firstPageNumber="17" fitToHeight="0" orientation="landscape" useFirstPageNumber="1" r:id="rId1"/>
  <headerFooter differentFirst="1" scaleWithDoc="0">
    <oddHeader>&amp;C&amp;"Arial,Bold"&amp;9STATEMENT OF EXPENDITURES DISBURSED/EXPENDITURES, BUDGET TO ACTUAL
FOR THE YEAR ENDING JUNE 30, 2019</oddHeader>
    <oddFooter>&amp;LSee notes to financial statements.&amp;C&amp;P</oddFooter>
    <firstHeader>&amp;C&amp;"Arial,Bold"STATEMENT OF EXPENDITURES DISBURSED/EXPENDITURES, BUDGET TO ACTUAL
FOR THE YEAR ENDING JUNE 30, 2019</firstHeader>
    <firstFooter>&amp;LSee notes to financial statements.&amp;C17</first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d21dc803-237d-4c68-8692-8d731fd29118"/>
    <ds:schemaRef ds:uri="http://purl.org/dc/elements/1.1/"/>
    <ds:schemaRef ds:uri="http://www.w3.org/XML/1998/namespace"/>
    <ds:schemaRef ds:uri="http://schemas.microsoft.com/office/2006/documentManagement/types"/>
    <ds:schemaRef ds:uri="http://schemas.microsoft.com/office/2006/metadata/properties"/>
    <ds:schemaRef ds:uri="http://schemas.openxmlformats.org/package/2006/metadata/core-properties"/>
    <ds:schemaRef ds:uri="http://purl.org/dc/dcmitype/"/>
    <ds:schemaRef ds:uri="http://schemas.microsoft.com/office/infopath/2007/PartnerControls"/>
    <ds:schemaRef ds:uri="4d435f69-8686-490b-bd6d-b153bf22ab50"/>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2019-11-07T18:32:32Z</cp:lastPrinted>
  <dcterms:created xsi:type="dcterms:W3CDTF">2003-10-29T19:06:34Z</dcterms:created>
  <dcterms:modified xsi:type="dcterms:W3CDTF">2020-01-14T22:23:52Z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