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D358A574-CB0E-4A15-AB98-63536227FA60}" xr6:coauthVersionLast="36" xr6:coauthVersionMax="36" xr10:uidLastSave="{00000000-0000-0000-0000-000000000000}"/>
  <bookViews>
    <workbookView xWindow="390" yWindow="390" windowWidth="20415" windowHeight="1417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1)" sheetId="183" r:id="rId28"/>
    <sheet name=" SEFA (2)" sheetId="179" r:id="rId29"/>
    <sheet name="SEFA NOTES" sheetId="173" r:id="rId30"/>
    <sheet name="SEFA NOTES (2)" sheetId="184" r:id="rId31"/>
    <sheet name="SF&amp;QC Sec-1" sheetId="174" r:id="rId32"/>
    <sheet name="SF&amp;QC Sec-2" sheetId="175" r:id="rId33"/>
    <sheet name="SF&amp;QC Sec-3" sheetId="176" r:id="rId34"/>
    <sheet name="SF&amp;QC Sec-3 (2)" sheetId="185" r:id="rId35"/>
    <sheet name="SSPAF" sheetId="177" r:id="rId36"/>
  </sheets>
  <definedNames>
    <definedName name="_xlnm.Print_Area" localSheetId="27">' SEFA (1)'!$B$1:$M$46</definedName>
    <definedName name="_xlnm.Print_Area" localSheetId="28">' SEFA (2)'!$B$1:$M$46</definedName>
    <definedName name="_xlnm.Print_Area" localSheetId="6">'Acct Summary 7-8'!$A$1:$K$81</definedName>
    <definedName name="_xlnm.Print_Area" localSheetId="2">'Aud Quest 2'!$A$1:$J$119</definedName>
    <definedName name="_xlnm.Print_Area" localSheetId="3">'FP Info 3'!$A$1:$M$59</definedName>
    <definedName name="_xlnm.Print_Area" localSheetId="18">'Itemization 33'!$A$1:$B$47</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D45" i="174" l="1"/>
  <c r="G39" i="174"/>
  <c r="G38" i="174"/>
  <c r="E34" i="184"/>
  <c r="A4" i="184"/>
  <c r="D35" i="171"/>
  <c r="M22" i="179" l="1"/>
  <c r="J22" i="179"/>
  <c r="I22" i="179"/>
  <c r="H22" i="179"/>
  <c r="G22" i="179"/>
  <c r="F22" i="179"/>
  <c r="E22" i="179"/>
  <c r="M14" i="179"/>
  <c r="M16" i="179" s="1"/>
  <c r="M13" i="179"/>
  <c r="M12" i="179"/>
  <c r="L14" i="179"/>
  <c r="L13" i="179"/>
  <c r="L12" i="179"/>
  <c r="L16" i="179" s="1"/>
  <c r="K14" i="179"/>
  <c r="K16" i="179" s="1"/>
  <c r="K13" i="179"/>
  <c r="K12" i="179"/>
  <c r="J14" i="179"/>
  <c r="J13" i="179"/>
  <c r="J12" i="179"/>
  <c r="J16" i="179" s="1"/>
  <c r="I14" i="179"/>
  <c r="I13" i="179"/>
  <c r="I12" i="179"/>
  <c r="I16" i="179" s="1"/>
  <c r="H14" i="179"/>
  <c r="H13" i="179"/>
  <c r="H12" i="179"/>
  <c r="H16" i="179" s="1"/>
  <c r="G14" i="179"/>
  <c r="G13" i="179"/>
  <c r="G12" i="179"/>
  <c r="G16" i="179" s="1"/>
  <c r="F14" i="179"/>
  <c r="F13" i="179"/>
  <c r="F12" i="179"/>
  <c r="F16" i="179" s="1"/>
  <c r="E16" i="179"/>
  <c r="E14" i="179"/>
  <c r="E13" i="179"/>
  <c r="E12" i="179"/>
  <c r="M27" i="183"/>
  <c r="L27" i="183"/>
  <c r="J27" i="183"/>
  <c r="I27" i="183"/>
  <c r="H27" i="183"/>
  <c r="G27" i="183"/>
  <c r="F27" i="183"/>
  <c r="E27" i="183"/>
  <c r="M17" i="183"/>
  <c r="L17" i="183"/>
  <c r="J17" i="183"/>
  <c r="I17" i="183"/>
  <c r="H17" i="183"/>
  <c r="G17" i="183"/>
  <c r="F17" i="183"/>
  <c r="E17" i="183"/>
  <c r="F14" i="183"/>
  <c r="L26" i="183"/>
  <c r="L25" i="183"/>
  <c r="L24" i="183"/>
  <c r="L23" i="183"/>
  <c r="L22" i="183"/>
  <c r="L21" i="183"/>
  <c r="L20" i="183"/>
  <c r="L19" i="183"/>
  <c r="L18"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A1" i="184"/>
  <c r="B1" i="183"/>
  <c r="B2" i="179"/>
  <c r="B2" i="185"/>
  <c r="A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F50" i="34" l="1"/>
  <c r="F34" i="34"/>
  <c r="F77" i="4"/>
  <c r="B3255" i="106" s="1"/>
  <c r="D3255" i="106" s="1"/>
  <c r="F42" i="34"/>
  <c r="D17" i="7"/>
  <c r="B4104" i="106" s="1"/>
  <c r="D4104" i="106" s="1"/>
  <c r="B7235" i="106"/>
  <c r="D7235" i="106" s="1"/>
  <c r="C129" i="29"/>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D44" i="36"/>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<sst xmlns="http://schemas.openxmlformats.org/spreadsheetml/2006/main" count="5272" uniqueCount="2127">
  <si>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</si>
  <si>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</si>
  <si>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</si>
  <si>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</si>
  <si>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</si>
  <si>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</si>
  <si>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</si>
  <si>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</si>
  <si>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</si>
  <si>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</si>
  <si>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</si>
  <si>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</si>
  <si>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</si>
  <si>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</si>
  <si>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</si>
  <si>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</si>
  <si>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</si>
  <si>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</si>
  <si>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</si>
  <si>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</si>
  <si>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</si>
  <si>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</si>
  <si>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</si>
  <si>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</si>
  <si>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</si>
  <si>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</si>
  <si>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</si>
  <si>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</si>
  <si>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</si>
  <si>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</si>
  <si>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</si>
  <si>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</si>
  <si>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</si>
  <si>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</si>
  <si>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</si>
  <si>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</si>
  <si>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</si>
  <si>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</si>
  <si>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</si>
  <si>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</si>
  <si>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</si>
  <si>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</si>
  <si>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</si>
  <si>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</si>
  <si>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</si>
  <si>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</si>
  <si>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</si>
  <si>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</si>
  <si>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</si>
  <si>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</si>
  <si>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</si>
  <si>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</si>
  <si>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</si>
  <si>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</si>
  <si>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</si>
  <si>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</si>
  <si>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</si>
  <si>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</si>
  <si>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</si>
  <si>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</si>
  <si>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</si>
  <si>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</si>
  <si>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</si>
  <si>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</si>
  <si>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</si>
  <si>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</si>
  <si>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</si>
  <si>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</si>
  <si>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</si>
  <si>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</si>
  <si>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</si>
  <si>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</si>
  <si>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</si>
  <si>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</si>
  <si>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</si>
  <si>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</si>
  <si>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</si>
  <si>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</si>
  <si>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</si>
  <si>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</si>
  <si>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</si>
  <si>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</si>
  <si>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</si>
  <si>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</si>
  <si>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</si>
  <si>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</si>
  <si>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</si>
  <si>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</si>
  <si>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</si>
  <si>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</si>
  <si>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</si>
  <si>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</si>
  <si>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</si>
  <si>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</si>
  <si>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</si>
  <si>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</si>
  <si>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</si>
  <si>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</si>
  <si>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</si>
  <si>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</si>
  <si>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</si>
  <si>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</si>
  <si>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</si>
  <si>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</si>
  <si>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</si>
  <si>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</si>
  <si>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</si>
  <si>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</si>
  <si>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</si>
  <si>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</si>
  <si>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</si>
  <si>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</si>
  <si>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</si>
  <si>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</si>
  <si>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</si>
  <si>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</si>
  <si>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</si>
  <si>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</si>
  <si>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</si>
  <si>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</si>
  <si>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</si>
  <si>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</si>
  <si>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</si>
  <si>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</si>
  <si>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</si>
  <si>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</si>
  <si>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</si>
  <si>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</si>
  <si>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</si>
  <si>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</si>
  <si>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</si>
  <si>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</si>
  <si>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</si>
  <si>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</si>
  <si>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</si>
  <si>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</si>
  <si>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</si>
  <si>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</si>
  <si>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</si>
  <si>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</si>
  <si>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</si>
  <si>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</si>
  <si>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</si>
  <si>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</si>
  <si>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</si>
  <si>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</si>
  <si>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</si>
  <si>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</si>
  <si>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</si>
  <si>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</si>
  <si>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</si>
  <si>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</si>
  <si>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</si>
  <si>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</si>
  <si>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</si>
  <si>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</si>
  <si>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</si>
  <si>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</si>
  <si>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</si>
  <si>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</si>
  <si>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</si>
  <si>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</si>
  <si>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</si>
  <si>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</si>
  <si>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</si>
  <si>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</si>
  <si>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</si>
  <si>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</si>
  <si>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</si>
  <si>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</si>
  <si>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</si>
  <si>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</si>
  <si>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</si>
  <si>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</si>
  <si>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</si>
  <si>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</si>
  <si>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</si>
  <si>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</si>
  <si>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</si>
  <si>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</si>
  <si>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</si>
  <si>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</si>
  <si>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</si>
  <si>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</si>
  <si>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</si>
  <si>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</si>
  <si>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</si>
  <si>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</si>
  <si>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</si>
  <si>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</si>
  <si>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</si>
  <si>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</si>
  <si>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</si>
  <si>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</si>
  <si>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</si>
  <si>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</si>
  <si>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</si>
  <si>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</si>
  <si>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</si>
  <si>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</si>
  <si>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</si>
  <si>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</si>
  <si>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</si>
  <si>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</si>
  <si>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</si>
  <si>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</si>
  <si>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</si>
  <si>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</si>
  <si>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</si>
  <si>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</si>
  <si>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</si>
  <si>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</si>
  <si>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</si>
  <si>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</si>
  <si>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</si>
  <si>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</si>
  <si>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</si>
  <si>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</si>
  <si>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</si>
  <si>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</si>
  <si>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</si>
  <si>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</si>
  <si>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</si>
  <si>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</si>
  <si>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</si>
  <si>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</si>
  <si>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</si>
  <si>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</si>
  <si>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</si>
  <si>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</si>
  <si>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</si>
  <si>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</si>
  <si>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</si>
  <si>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</si>
  <si>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</si>
  <si>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</si>
  <si>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</si>
  <si>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</si>
  <si>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</si>
  <si>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</si>
  <si>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</si>
  <si>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</si>
  <si>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</si>
  <si>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</si>
  <si>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</si>
  <si>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</si>
  <si>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</si>
  <si>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</si>
  <si>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</si>
  <si>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</si>
  <si>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</si>
  <si>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</si>
  <si>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</si>
  <si>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</si>
  <si>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</si>
  <si>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</si>
  <si>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</si>
  <si>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</si>
  <si>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</si>
  <si>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</si>
  <si>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</si>
  <si>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</si>
  <si>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</si>
  <si>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</si>
  <si>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</si>
  <si>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</si>
  <si>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</si>
  <si>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</si>
  <si>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</si>
  <si>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</si>
  <si>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</si>
  <si>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</si>
  <si>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</si>
  <si>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</si>
  <si>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</si>
  <si>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</si>
  <si>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</si>
  <si>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</si>
  <si>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</si>
  <si>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</si>
  <si>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</si>
  <si>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</si>
  <si>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</si>
  <si>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</si>
  <si>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</si>
  <si>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</si>
  <si>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</si>
  <si>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</si>
  <si>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</si>
  <si>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</si>
  <si>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</si>
  <si>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</si>
  <si>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</si>
  <si>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</si>
  <si>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</si>
  <si>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</si>
  <si>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</si>
  <si>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</si>
  <si>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</si>
  <si>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</si>
  <si>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</si>
  <si>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</si>
  <si>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</si>
  <si>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</si>
  <si>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</si>
  <si>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</si>
  <si>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</si>
  <si>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</si>
  <si>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</si>
  <si>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</si>
  <si>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</si>
  <si>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</si>
  <si>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</si>
  <si>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</si>
  <si>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</si>
  <si>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</si>
  <si>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</si>
  <si>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</si>
  <si>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</si>
  <si>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</si>
  <si>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</si>
  <si>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</si>
  <si>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</si>
  <si>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</si>
  <si>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</si>
  <si>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</si>
  <si>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</si>
  <si>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</si>
  <si>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</si>
  <si>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</si>
  <si>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</si>
  <si>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</si>
  <si>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</si>
  <si>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</si>
  <si>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</si>
  <si>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</si>
  <si>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</si>
  <si>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</si>
  <si>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</si>
  <si>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</si>
  <si>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</si>
  <si>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</si>
  <si>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</si>
  <si>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</si>
  <si>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</si>
  <si>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</si>
  <si>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</si>
  <si>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</si>
  <si>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</si>
  <si>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</si>
  <si>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</si>
  <si>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</si>
  <si>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</si>
  <si>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</si>
  <si>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</si>
  <si>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</si>
  <si>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</si>
  <si>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</si>
  <si>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</si>
  <si>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</si>
  <si>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</si>
  <si>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</si>
  <si>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</si>
  <si>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</si>
  <si>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</si>
  <si>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</si>
  <si>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</si>
  <si>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</si>
  <si>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</si>
  <si>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</si>
  <si>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</si>
  <si>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</si>
  <si>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</si>
  <si>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</si>
  <si>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</si>
  <si>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</si>
  <si>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</si>
  <si>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</si>
  <si>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</si>
  <si>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</si>
  <si>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</si>
  <si>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</si>
  <si>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</si>
  <si>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</si>
  <si>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</si>
  <si>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</si>
  <si>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</si>
  <si>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</si>
  <si>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</si>
  <si>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</si>
  <si>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</si>
  <si>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</si>
  <si>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</si>
  <si>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</si>
  <si>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</si>
  <si>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</si>
  <si>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</si>
  <si>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</si>
  <si>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</si>
  <si>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</si>
  <si>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</si>
  <si>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</si>
  <si>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</si>
  <si>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</si>
  <si>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</si>
  <si>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</si>
  <si>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</si>
  <si>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</si>
  <si>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</si>
  <si>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</si>
  <si>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</si>
  <si>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</si>
  <si>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</si>
  <si>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</si>
  <si>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</si>
  <si>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</si>
  <si>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</si>
  <si>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</si>
  <si>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</si>
  <si>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</si>
  <si>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</si>
  <si>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</si>
  <si>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</si>
  <si>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</si>
  <si>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</si>
  <si>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</si>
  <si>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</si>
  <si>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</si>
  <si>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</si>
  <si>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</si>
  <si>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</si>
  <si>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</si>
  <si>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</si>
  <si>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</si>
  <si>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</si>
  <si>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</si>
  <si>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</si>
  <si>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</si>
  <si>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</si>
  <si>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</si>
  <si>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</si>
  <si>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</si>
  <si>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</si>
  <si>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</si>
  <si>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</si>
  <si>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</si>
  <si>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</si>
  <si>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</si>
  <si>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</si>
  <si>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</si>
  <si>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</si>
  <si>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</si>
  <si>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</si>
  <si>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</si>
  <si>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</si>
  <si>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</si>
  <si>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</si>
  <si>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</si>
  <si>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</si>
  <si>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</si>
  <si>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</si>
  <si>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</si>
  <si>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</si>
  <si>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</si>
  <si>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</si>
  <si>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</si>
  <si>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</si>
  <si>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</si>
  <si>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</si>
  <si>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</si>
  <si>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</si>
  <si>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</si>
  <si>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</si>
  <si>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</si>
  <si>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</si>
  <si>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</si>
  <si>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</si>
  <si>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</si>
  <si>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</si>
  <si>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</si>
  <si>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</si>
  <si>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</si>
  <si>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</si>
  <si>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</si>
  <si>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</si>
  <si>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</si>
  <si>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</si>
  <si>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</si>
  <si>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</si>
  <si>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</si>
  <si>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</si>
  <si>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</si>
  <si>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</si>
  <si>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</si>
  <si>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</si>
  <si>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</si>
  <si>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</si>
  <si>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</si>
  <si>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</si>
  <si>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</si>
  <si>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</si>
  <si>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</si>
  <si>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</si>
  <si>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</si>
  <si>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</si>
  <si>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</si>
  <si>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</si>
  <si>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</si>
  <si>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</si>
  <si>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</si>
  <si>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</si>
  <si>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</si>
  <si>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</si>
  <si>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</si>
  <si>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</si>
  <si>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</si>
  <si>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</si>
  <si>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</si>
  <si>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</si>
  <si>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</si>
  <si>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</si>
  <si>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</si>
  <si>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</si>
  <si>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</si>
  <si>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</si>
  <si>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</si>
  <si>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</si>
  <si>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</si>
  <si>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</si>
  <si>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</si>
  <si>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</si>
  <si>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</si>
  <si>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</si>
  <si>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</si>
  <si>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</si>
  <si>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</si>
  <si>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</si>
  <si>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</si>
  <si>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</si>
  <si>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</si>
  <si>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</si>
  <si>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</si>
  <si>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</si>
  <si>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</si>
  <si>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</si>
  <si>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</si>
  <si>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</si>
  <si>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</si>
  <si>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</si>
  <si>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</si>
  <si>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</si>
  <si>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</si>
  <si>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</si>
  <si>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</si>
  <si>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</si>
  <si>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</si>
  <si>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</si>
  <si>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</si>
  <si>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</si>
  <si>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</si>
  <si>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</si>
  <si>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</si>
  <si>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</si>
  <si>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</si>
  <si>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</si>
  <si>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</si>
  <si>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</si>
  <si>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</si>
  <si>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</si>
  <si>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</si>
  <si>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</si>
  <si>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</si>
  <si>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</si>
  <si>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</si>
  <si>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</si>
  <si>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</si>
  <si>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</si>
  <si>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</si>
  <si>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</si>
  <si>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</si>
  <si>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</si>
  <si>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</si>
  <si>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</si>
  <si>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</si>
  <si>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</si>
  <si>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</si>
  <si>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</si>
  <si>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</si>
  <si>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</si>
  <si>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</si>
  <si>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</si>
  <si>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</si>
  <si>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</si>
  <si>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</si>
  <si>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</si>
  <si>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</si>
  <si>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</si>
  <si>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</si>
  <si>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</si>
  <si>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</si>
  <si>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</si>
  <si>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</si>
  <si>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</si>
  <si>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</si>
  <si>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</si>
  <si>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</si>
  <si>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</si>
  <si>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</si>
  <si>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</si>
  <si>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</si>
  <si>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</si>
  <si>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</si>
  <si>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</si>
  <si>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</si>
  <si>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</si>
  <si>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</si>
  <si>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</si>
  <si>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</si>
  <si>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</si>
  <si>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</si>
  <si>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</si>
  <si>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</si>
  <si>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</si>
  <si>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</si>
  <si>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</si>
  <si>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</si>
  <si>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</si>
  <si>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</si>
  <si>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</si>
  <si>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</si>
  <si>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</si>
  <si>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</si>
  <si>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</si>
  <si>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</si>
  <si>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</si>
  <si>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</si>
  <si>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</si>
  <si>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</si>
  <si>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</si>
  <si>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</si>
  <si>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</si>
  <si>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</si>
  <si>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</si>
  <si>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</si>
  <si>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</si>
  <si>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</si>
  <si>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</si>
  <si>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</si>
  <si>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</si>
  <si>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</si>
  <si>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</si>
  <si>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</si>
  <si>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</si>
  <si>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</si>
  <si>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</si>
  <si>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</si>
  <si>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</si>
  <si>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</si>
  <si>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</si>
  <si>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</si>
  <si>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</si>
  <si>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</si>
  <si>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</si>
  <si>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</si>
  <si>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</si>
  <si>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</si>
  <si>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</si>
  <si>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</si>
  <si>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</si>
  <si>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</si>
  <si>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</si>
  <si>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</si>
  <si>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</si>
  <si>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</si>
  <si>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</si>
  <si>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</si>
  <si>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</si>
  <si>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</si>
  <si>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</si>
  <si>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</si>
  <si>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</si>
  <si>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</si>
  <si>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</si>
  <si>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</si>
  <si>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</si>
  <si>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</si>
  <si>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</si>
  <si>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</si>
  <si>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</si>
  <si>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</si>
  <si>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</si>
  <si>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</si>
  <si>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</si>
  <si>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</si>
  <si>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</si>
  <si>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</si>
  <si>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</si>
  <si>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</si>
  <si>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</si>
  <si>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</si>
  <si>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</si>
  <si>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</si>
  <si>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</si>
  <si>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</si>
  <si>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</si>
  <si>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</si>
  <si>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</si>
  <si>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</si>
  <si>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</si>
  <si>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</si>
  <si>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</si>
  <si>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</si>
  <si>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</si>
  <si>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</si>
  <si>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</si>
  <si>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</si>
  <si>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</si>
  <si>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</si>
  <si>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</si>
  <si>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</si>
  <si>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</si>
  <si>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</si>
  <si>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</si>
  <si>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</si>
  <si>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</si>
  <si>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</si>
  <si>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</si>
  <si>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</si>
  <si>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</si>
  <si>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</si>
  <si>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</si>
  <si>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</si>
  <si>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</si>
  <si>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</si>
  <si>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</si>
  <si>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</si>
  <si>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</si>
  <si>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</si>
  <si>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</si>
  <si>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</si>
  <si>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</si>
  <si>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</si>
  <si>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</si>
  <si>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</si>
  <si>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</si>
  <si>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</si>
  <si>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</si>
  <si>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</si>
  <si>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</si>
  <si>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</si>
  <si>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</si>
  <si>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</si>
  <si>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</si>
  <si>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</si>
  <si>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</si>
  <si>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</si>
  <si>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</si>
  <si>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</si>
  <si>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</si>
  <si>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</si>
  <si>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</si>
  <si>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</si>
  <si>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</si>
  <si>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</si>
  <si>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</si>
  <si>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</si>
  <si>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</si>
  <si>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</si>
  <si>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</si>
  <si>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</si>
  <si>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</si>
  <si>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</si>
  <si>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</si>
  <si>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</si>
  <si>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</si>
  <si>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</si>
  <si>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</si>
  <si>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</si>
  <si>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</si>
  <si>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</si>
  <si>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</si>
  <si>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</si>
  <si>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</si>
  <si>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</si>
  <si>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</si>
  <si>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</si>
  <si>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</si>
  <si>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</si>
  <si>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</si>
  <si>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</si>
  <si>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</si>
  <si>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</si>
  <si>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</si>
  <si>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</si>
  <si>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</si>
  <si>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</si>
  <si>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</si>
  <si>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</si>
  <si>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</si>
  <si>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</si>
  <si>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</si>
  <si>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</si>
  <si>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</si>
  <si>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</si>
  <si>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</si>
  <si>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</si>
  <si>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</si>
  <si>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</si>
  <si>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</si>
  <si>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</si>
  <si>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</si>
  <si>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</si>
  <si>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</si>
  <si>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</si>
  <si>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</si>
  <si>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</si>
  <si>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</si>
  <si>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</si>
  <si>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</si>
  <si>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</si>
  <si>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</si>
  <si>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</si>
  <si>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</si>
  <si>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</si>
  <si>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</si>
  <si>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</si>
  <si>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</si>
  <si>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</si>
  <si>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</si>
  <si>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</si>
  <si>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</si>
  <si>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</si>
  <si>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</si>
  <si>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</si>
  <si>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</si>
  <si>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</si>
  <si>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</si>
  <si>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</si>
  <si>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</si>
  <si>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</si>
  <si>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</si>
  <si>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</si>
  <si>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</si>
  <si>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</si>
  <si>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</si>
  <si>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</si>
  <si>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</si>
  <si>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</si>
  <si>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</si>
  <si>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</si>
  <si>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</si>
  <si>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</si>
  <si>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</si>
  <si>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</si>
  <si>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</si>
  <si>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</si>
  <si>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</si>
  <si>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</si>
  <si>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</si>
  <si>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</si>
  <si>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</si>
  <si>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</si>
  <si>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</si>
  <si>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</si>
  <si>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</si>
  <si>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</si>
  <si>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</si>
  <si>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</si>
  <si>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</si>
  <si>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</si>
  <si>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</si>
  <si>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</si>
  <si>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</si>
  <si>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</si>
  <si>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</si>
  <si>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</si>
  <si>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</si>
  <si>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</si>
  <si>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</si>
  <si>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</si>
  <si>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</si>
  <si>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</si>
  <si>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</si>
  <si>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</si>
  <si>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</si>
  <si>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</si>
  <si>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</si>
  <si>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</si>
  <si>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</si>
  <si>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</si>
  <si>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</si>
  <si>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</si>
  <si>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</si>
  <si>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</si>
  <si>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</si>
  <si>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</si>
  <si>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</si>
  <si>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</si>
  <si>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</si>
  <si>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</si>
  <si>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</si>
  <si>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</si>
  <si>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</si>
  <si>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</si>
  <si>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</si>
  <si>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</si>
  <si>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</si>
  <si>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</si>
  <si>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</si>
  <si>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</si>
  <si>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</si>
  <si>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</si>
  <si>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</si>
  <si>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</si>
  <si>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</si>
  <si>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</si>
  <si>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</si>
  <si>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</si>
  <si>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</si>
  <si>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</si>
  <si>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</si>
  <si>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</si>
  <si>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</si>
  <si>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</si>
  <si>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</si>
  <si>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</si>
  <si>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</si>
  <si>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</si>
  <si>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</si>
  <si>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</si>
  <si>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</si>
  <si>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</si>
  <si>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</si>
  <si>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</si>
  <si>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</si>
  <si>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</si>
  <si>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</si>
  <si>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</si>
  <si>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</si>
  <si>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</si>
  <si>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</si>
  <si>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</si>
  <si>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</si>
  <si>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</si>
  <si>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</si>
  <si>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</si>
  <si>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</si>
  <si>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</si>
  <si>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</si>
  <si>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</si>
  <si>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</si>
  <si>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</si>
  <si>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</si>
  <si>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</si>
  <si>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</si>
  <si>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</si>
  <si>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</si>
  <si>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</si>
  <si>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</si>
  <si>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</si>
  <si>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</si>
  <si>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</si>
  <si>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</si>
  <si>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</si>
  <si>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</si>
  <si>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</si>
  <si>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</si>
  <si>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</si>
  <si>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</si>
  <si>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</si>
  <si>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</si>
  <si>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</si>
  <si>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</si>
  <si>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</si>
  <si>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</si>
  <si>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</si>
  <si>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</si>
  <si>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</si>
  <si>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</si>
  <si>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</si>
  <si>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</si>
  <si>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</si>
  <si>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</si>
  <si>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</si>
  <si>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</si>
  <si>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</si>
  <si>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</si>
  <si>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</si>
  <si>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</si>
  <si>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</si>
  <si>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</si>
  <si>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</si>
  <si>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</si>
  <si>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</si>
  <si>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</si>
  <si>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</si>
  <si>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</si>
  <si>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</si>
  <si>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</si>
  <si>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</si>
  <si>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</si>
  <si>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</si>
  <si>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</si>
  <si>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</si>
  <si>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</si>
  <si>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</si>
  <si>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</si>
  <si>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</si>
  <si>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</si>
  <si>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</si>
  <si>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</si>
  <si>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</si>
  <si>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</si>
  <si>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</si>
  <si>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</si>
  <si>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</si>
  <si>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</si>
  <si>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</si>
  <si>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</si>
  <si>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</si>
  <si>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</si>
  <si>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</si>
  <si>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</si>
  <si>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</si>
  <si>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</si>
  <si>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</si>
  <si>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</si>
  <si>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</si>
  <si>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</si>
  <si>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</si>
  <si>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</si>
  <si>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</si>
  <si>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</si>
  <si>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</si>
  <si>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</si>
  <si>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</si>
  <si>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</si>
  <si>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</si>
  <si>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</si>
  <si>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</si>
  <si>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</si>
  <si>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</si>
  <si>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</si>
  <si>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</si>
  <si>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</si>
  <si>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</si>
  <si>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</si>
  <si>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</si>
  <si>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</si>
  <si>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</si>
  <si>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</si>
  <si>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</si>
  <si>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</si>
  <si>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</si>
  <si>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</si>
  <si>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</si>
  <si>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</si>
  <si>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</si>
  <si>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</si>
  <si>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</si>
  <si>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</si>
  <si>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</si>
  <si>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</si>
  <si>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</si>
  <si>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</si>
  <si>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</si>
  <si>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</si>
  <si>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</si>
  <si>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</si>
  <si>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</si>
  <si>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</si>
  <si>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</si>
  <si>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</si>
  <si>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</si>
  <si>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</si>
  <si>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</si>
  <si>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</si>
  <si>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</si>
  <si>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</si>
  <si>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</si>
  <si>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</si>
  <si>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</si>
  <si>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</si>
  <si>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</si>
  <si>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</si>
  <si>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</si>
  <si>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</si>
  <si>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</si>
  <si>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</si>
  <si>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</si>
  <si>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</si>
  <si>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</si>
  <si>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</si>
  <si>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</si>
  <si>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</si>
  <si>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</si>
  <si>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</si>
  <si>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</si>
  <si>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</si>
  <si>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</si>
  <si>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</si>
  <si>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</si>
  <si>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</si>
  <si>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</si>
  <si>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</si>
  <si>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</si>
  <si>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</si>
  <si>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</si>
  <si>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</si>
  <si>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</si>
  <si>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</si>
  <si>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</si>
  <si>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</si>
  <si>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</si>
  <si>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</si>
  <si>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</si>
  <si>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</si>
  <si>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</si>
  <si>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</si>
  <si>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</si>
  <si>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</si>
  <si>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</si>
  <si>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</si>
  <si>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</si>
  <si>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</si>
  <si>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</si>
  <si>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</si>
  <si>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</si>
  <si>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</si>
  <si>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</si>
  <si>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</si>
  <si>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</si>
  <si>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</si>
  <si>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</si>
  <si>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</si>
  <si>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</si>
  <si>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</si>
  <si>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</si>
  <si>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</si>
  <si>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</si>
  <si>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</si>
  <si>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</si>
  <si>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</si>
  <si>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</si>
  <si>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</si>
  <si>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</si>
  <si>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</si>
  <si>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</si>
  <si>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</si>
  <si>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</si>
  <si>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</si>
  <si>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</si>
  <si>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</si>
  <si>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</si>
  <si>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</si>
  <si>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</si>
  <si>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</si>
  <si>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</si>
  <si>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</si>
  <si>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</si>
  <si>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</si>
  <si>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</si>
  <si>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</si>
  <si>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</si>
  <si>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</si>
  <si>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</si>
  <si>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</si>
  <si>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</si>
  <si>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</si>
  <si>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</si>
  <si>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</si>
  <si>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</si>
  <si>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</si>
  <si>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</si>
  <si>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</si>
  <si>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</si>
  <si>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</si>
  <si>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</si>
  <si>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</si>
  <si>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</si>
  <si>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</si>
  <si>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</si>
  <si>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</si>
  <si>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</si>
  <si>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</si>
  <si>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</si>
  <si>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</si>
  <si>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</si>
  <si>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</si>
  <si>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</si>
  <si>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</si>
  <si>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</si>
  <si>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</si>
  <si>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</si>
  <si>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</si>
  <si>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</si>
  <si>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</si>
  <si>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</si>
  <si>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</si>
  <si>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</si>
  <si>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</si>
  <si>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</si>
  <si>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</si>
  <si>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</si>
  <si>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</si>
  <si>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</si>
  <si>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</si>
  <si>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</si>
  <si>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</si>
  <si>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</si>
  <si>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</si>
  <si>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</si>
  <si>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</si>
  <si>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</si>
  <si>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</si>
  <si>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</si>
  <si>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</si>
  <si>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</si>
  <si>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</si>
  <si>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</si>
  <si>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</si>
  <si>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</si>
  <si>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</si>
  <si>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</si>
  <si>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</si>
  <si>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</si>
  <si>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</si>
  <si>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</si>
  <si>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</si>
  <si>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</si>
  <si>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</si>
  <si>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</si>
  <si>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</si>
  <si>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</si>
  <si>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</si>
  <si>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</si>
  <si>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</si>
  <si>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</si>
  <si>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</si>
  <si>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</si>
  <si>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</si>
  <si>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</si>
  <si>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</si>
  <si>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</si>
  <si>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</si>
  <si>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</si>
  <si>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</si>
  <si>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</si>
  <si>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</si>
  <si>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</si>
  <si>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</si>
  <si>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</si>
  <si>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</si>
  <si>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</si>
  <si>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</si>
  <si>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</si>
  <si>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</si>
  <si>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</si>
  <si>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</si>
  <si>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</si>
  <si>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</si>
  <si>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</si>
  <si>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</si>
  <si>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</si>
  <si>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</si>
  <si>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</si>
  <si>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</si>
  <si>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</si>
  <si>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</si>
  <si>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</si>
  <si>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</si>
  <si>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</si>
  <si>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</si>
  <si>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</si>
  <si>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</si>
  <si>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</si>
  <si>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</si>
  <si>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</si>
  <si>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</si>
  <si>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</si>
  <si>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</si>
  <si>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</si>
  <si>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</si>
  <si>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</si>
  <si>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</si>
  <si>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</si>
  <si>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</si>
  <si>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</si>
  <si>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</si>
  <si>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</si>
  <si>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</si>
  <si>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</si>
  <si>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</si>
  <si>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</si>
  <si>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</si>
  <si>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</si>
  <si>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</si>
  <si>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</si>
  <si>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</si>
  <si>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</si>
  <si>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</si>
  <si>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</si>
  <si>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</si>
  <si>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</si>
  <si>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</si>
  <si>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</si>
  <si>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</si>
  <si>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</si>
  <si>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</si>
  <si>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</si>
  <si>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</si>
  <si>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</si>
  <si>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</si>
  <si>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</si>
  <si>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</si>
  <si>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</si>
  <si>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</si>
  <si>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</si>
  <si>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</si>
  <si>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</si>
  <si>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</si>
  <si>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</si>
  <si>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</si>
  <si>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</si>
  <si>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</si>
  <si>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</si>
  <si>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</si>
  <si>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</si>
  <si>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</si>
  <si>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</si>
  <si>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</si>
  <si>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</si>
  <si>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</si>
  <si>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</si>
  <si>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</si>
  <si>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</si>
  <si>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</si>
  <si>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</si>
  <si>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</si>
  <si>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</si>
  <si>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</si>
  <si>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</si>
  <si>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</si>
  <si>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</si>
  <si>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</si>
  <si>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</si>
  <si>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</si>
  <si>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</si>
  <si>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</si>
  <si>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</si>
  <si>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</si>
  <si>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</si>
  <si>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</si>
  <si>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</si>
  <si>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</si>
  <si>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</si>
  <si>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</si>
  <si>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</si>
  <si>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</si>
  <si>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</si>
  <si>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</si>
  <si>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</si>
  <si>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</si>
  <si>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</si>
  <si>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</si>
  <si>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</si>
  <si>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</si>
  <si>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</si>
  <si>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</si>
  <si>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</si>
  <si>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</si>
  <si>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</si>
  <si>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</si>
  <si>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</si>
  <si>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</si>
  <si>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</si>
  <si>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</si>
  <si>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</si>
  <si>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</si>
  <si>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</si>
  <si>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</si>
  <si>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</si>
  <si>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</si>
  <si>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</si>
  <si>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</si>
  <si>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</si>
  <si>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</si>
  <si>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</si>
  <si>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</si>
  <si>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</si>
  <si>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</si>
  <si>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</si>
  <si>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</si>
  <si>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</si>
  <si>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</si>
  <si>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</si>
  <si>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</si>
  <si>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</si>
  <si>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</si>
  <si>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</si>
  <si>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</si>
  <si>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</si>
  <si>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</si>
  <si>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</si>
  <si>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</si>
  <si>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</si>
  <si>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</si>
  <si>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</si>
  <si>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</si>
  <si>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</si>
  <si>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</si>
  <si>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</si>
  <si>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</si>
  <si>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</si>
  <si>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</si>
  <si>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</si>
  <si>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</si>
  <si>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</si>
  <si>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</si>
  <si>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</si>
  <si>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</si>
  <si>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</si>
  <si>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</si>
  <si>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</si>
  <si>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</si>
  <si>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</si>
  <si>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</si>
  <si>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</si>
  <si>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</si>
  <si>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</si>
  <si>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</si>
  <si>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</si>
  <si>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</si>
  <si>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</si>
  <si>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</si>
  <si>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</si>
  <si>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</si>
  <si>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</si>
  <si>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</si>
  <si>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</si>
  <si>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</si>
  <si>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</si>
  <si>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</si>
  <si>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</si>
  <si>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</si>
  <si>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</si>
  <si>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</si>
  <si>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</si>
  <si>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</si>
  <si>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</si>
  <si>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</si>
  <si>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</si>
  <si>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</si>
  <si>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</si>
  <si>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</si>
  <si>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</si>
  <si>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</si>
  <si>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</si>
  <si>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</si>
  <si>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</si>
  <si>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</si>
  <si>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</si>
  <si>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</si>
  <si>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</si>
  <si>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</si>
  <si>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</si>
  <si>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</si>
  <si>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</si>
  <si>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</si>
  <si>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</si>
  <si>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</si>
  <si>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</si>
  <si>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</si>
  <si>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</si>
  <si>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</si>
  <si>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</si>
  <si>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</si>
  <si>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</si>
  <si>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</si>
  <si>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</si>
  <si>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</si>
  <si>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</si>
  <si>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</si>
  <si>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</si>
  <si>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</si>
  <si>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</si>
  <si>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</si>
  <si>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</si>
  <si>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</si>
  <si>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</si>
  <si>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</si>
  <si>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</si>
  <si>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</si>
  <si>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</si>
  <si>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</si>
  <si>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</si>
  <si>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</si>
  <si>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</si>
  <si>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</si>
  <si>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</si>
  <si>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</si>
  <si>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</si>
  <si>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</si>
  <si>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</si>
  <si>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</si>
  <si>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</si>
  <si>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</si>
  <si>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</si>
  <si>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</si>
  <si>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</si>
  <si>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</si>
  <si>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</si>
  <si>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</si>
  <si>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</si>
  <si>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</si>
  <si>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</si>
  <si>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</si>
  <si>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</si>
  <si>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</si>
  <si>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</si>
  <si>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</si>
  <si>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</si>
  <si>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</si>
  <si>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</si>
  <si>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</si>
  <si>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</si>
  <si>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</si>
  <si>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</si>
  <si>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</si>
  <si>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</si>
  <si>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</si>
  <si>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</si>
  <si>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</si>
  <si>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</si>
  <si>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</si>
  <si>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</si>
  <si>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</si>
  <si>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</si>
  <si>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</si>
  <si>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</si>
  <si>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</si>
  <si>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</si>
  <si>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</si>
  <si>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</si>
  <si>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</si>
  <si>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</si>
  <si>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</si>
  <si>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</si>
  <si>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</si>
  <si>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</si>
  <si>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</si>
  <si>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</si>
  <si>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</si>
  <si>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</si>
  <si>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</si>
  <si>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</si>
  <si>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</si>
  <si>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</si>
  <si>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</si>
  <si>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</si>
  <si>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</si>
  <si>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</si>
  <si>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</si>
  <si>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</si>
  <si>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</si>
  <si>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</si>
  <si>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</si>
  <si>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</si>
  <si>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</si>
  <si>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</si>
  <si>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</si>
  <si>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</si>
  <si>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</si>
  <si>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</si>
  <si>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</si>
  <si>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</si>
  <si>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</si>
  <si>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</si>
  <si>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</si>
  <si>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</si>
  <si>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</si>
  <si>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</si>
  <si>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</si>
  <si>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</si>
  <si>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</si>
  <si>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</si>
  <si>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</si>
  <si>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</si>
  <si>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</si>
  <si>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</si>
  <si>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</si>
  <si>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</si>
  <si>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</si>
  <si>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</si>
  <si>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</si>
  <si>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</si>
  <si>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</si>
  <si>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</si>
  <si>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</si>
  <si>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</si>
  <si>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</si>
  <si>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</si>
  <si>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</si>
  <si>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</si>
  <si>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</si>
  <si>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</si>
  <si>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</si>
  <si>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</si>
  <si>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</si>
  <si>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</si>
  <si>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</si>
  <si>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</si>
  <si>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</si>
  <si>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</si>
  <si>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</si>
  <si>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</si>
  <si>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</si>
  <si>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</si>
  <si>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</si>
  <si>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</si>
  <si>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</si>
  <si>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</si>
  <si>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</si>
  <si>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</si>
  <si>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</si>
  <si>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</si>
  <si>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</si>
  <si>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</si>
  <si>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</si>
  <si>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</si>
  <si>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</si>
  <si>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</si>
  <si>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</si>
  <si>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</si>
  <si>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</si>
  <si>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</si>
  <si>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</si>
  <si>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</si>
  <si>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</si>
  <si>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</si>
  <si>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</si>
  <si>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</si>
  <si>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</si>
  <si>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</si>
  <si>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</si>
  <si>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</si>
  <si>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</si>
  <si>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</si>
  <si>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</si>
  <si>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</si>
  <si>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</si>
  <si>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</si>
  <si>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</si>
  <si>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</si>
  <si>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</si>
  <si>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</si>
  <si>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</si>
  <si>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</si>
  <si>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</si>
  <si>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</si>
  <si>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</si>
  <si>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</si>
  <si>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</si>
  <si>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</si>
  <si>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</si>
  <si>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</si>
  <si>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</si>
  <si>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</si>
  <si>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</si>
  <si>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</si>
  <si>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</si>
  <si>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</si>
  <si>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</si>
  <si>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</si>
  <si>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</si>
  <si>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</si>
  <si>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</si>
  <si>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</si>
  <si>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</si>
  <si>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</si>
  <si>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</si>
  <si>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</si>
  <si>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</si>
  <si>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</si>
  <si>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</si>
  <si>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</si>
  <si>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</si>
  <si>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</si>
  <si>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</si>
  <si>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</si>
  <si>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</si>
  <si>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</si>
  <si>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</si>
  <si>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</si>
  <si>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</si>
  <si>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</si>
  <si>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</si>
  <si>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</si>
  <si>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</si>
  <si>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</si>
  <si>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</si>
  <si>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</si>
  <si>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</si>
  <si>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</si>
  <si>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</si>
  <si>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</si>
  <si>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</si>
  <si>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</si>
  <si>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</si>
  <si>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</si>
  <si>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</si>
  <si>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</si>
  <si>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</si>
  <si>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</si>
  <si>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</si>
  <si>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</si>
  <si>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</si>
  <si>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</si>
  <si>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</si>
  <si>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</si>
  <si>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</si>
  <si>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</si>
  <si>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</si>
  <si>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</si>
  <si>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</si>
  <si>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</si>
  <si>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</si>
  <si>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</si>
  <si>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</si>
  <si>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</si>
  <si>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</si>
  <si>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</si>
  <si>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</si>
  <si>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</si>
  <si>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</si>
  <si>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</si>
  <si>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</si>
  <si>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</si>
  <si>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</si>
  <si>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</si>
  <si>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</si>
  <si>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</si>
  <si>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</si>
  <si>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</si>
  <si>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</si>
  <si>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</si>
  <si>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</si>
  <si>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</si>
  <si>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</si>
  <si>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</si>
  <si>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</si>
  <si>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</si>
  <si>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</si>
  <si>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</si>
  <si>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</si>
  <si>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</si>
  <si>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</si>
  <si>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</si>
  <si>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</si>
  <si>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</si>
  <si>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</si>
  <si>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</si>
  <si>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</si>
  <si>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</si>
  <si>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</si>
  <si>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</si>
  <si>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</si>
  <si>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</si>
  <si>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</si>
  <si>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</si>
  <si>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</si>
  <si>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</si>
  <si>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</si>
  <si>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</si>
  <si>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</si>
  <si>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</si>
  <si>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</si>
  <si>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</si>
  <si>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</si>
  <si>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</si>
  <si>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</si>
  <si>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</si>
  <si>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</si>
  <si>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</si>
  <si>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</si>
  <si>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</si>
  <si>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</si>
  <si>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</si>
  <si>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</si>
  <si>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</si>
  <si>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</si>
  <si>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</si>
  <si>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</si>
  <si>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</si>
  <si>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</si>
  <si>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</si>
  <si>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</si>
  <si>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</si>
  <si>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</si>
  <si>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</si>
  <si>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</si>
  <si>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</si>
  <si>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</si>
  <si>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</si>
  <si>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</si>
  <si>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</si>
  <si>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</si>
  <si>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</si>
  <si>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</si>
  <si>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</si>
  <si>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</si>
  <si>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</si>
  <si>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</si>
  <si>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</si>
  <si>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</si>
  <si>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</si>
  <si>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</si>
  <si>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</si>
  <si>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</si>
  <si>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</si>
  <si>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</si>
  <si>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</si>
  <si>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</si>
  <si>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</si>
  <si>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</si>
  <si>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</si>
  <si>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</si>
  <si>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</si>
  <si>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</si>
  <si>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</si>
  <si>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</si>
  <si>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</si>
  <si>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</si>
  <si>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</si>
  <si>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</si>
  <si>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</si>
  <si>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</si>
  <si>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</si>
  <si>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</si>
  <si>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</si>
  <si>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</si>
  <si>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</si>
  <si>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</si>
  <si>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</si>
  <si>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</si>
  <si>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</si>
  <si>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</si>
  <si>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</si>
  <si>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</si>
  <si>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</si>
  <si>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</si>
  <si>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</si>
  <si>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</si>
  <si>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</si>
  <si>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</si>
  <si>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</si>
  <si>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</si>
  <si>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</si>
  <si>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</si>
  <si>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</si>
  <si>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</si>
  <si>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</si>
  <si>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</si>
  <si>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</si>
  <si>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</si>
  <si>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</si>
  <si>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</si>
  <si>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</si>
  <si>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</si>
  <si>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</si>
  <si>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</si>
  <si>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</si>
  <si>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</si>
  <si>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</si>
  <si>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</si>
  <si>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</si>
  <si>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</si>
  <si>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</si>
  <si>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</si>
  <si>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</si>
  <si>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</si>
  <si>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</si>
  <si>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</si>
  <si>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</si>
  <si>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</si>
  <si>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</si>
  <si>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</si>
  <si>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</si>
  <si>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</si>
  <si>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</si>
  <si>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</si>
  <si>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</si>
  <si>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</si>
  <si>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</si>
  <si>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</si>
  <si>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</si>
  <si>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</si>
  <si>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</si>
  <si>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</si>
  <si>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</si>
  <si>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</si>
  <si>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</si>
  <si>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</si>
  <si>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</si>
  <si>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</si>
  <si>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</si>
  <si>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</si>
  <si>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</si>
  <si>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</si>
  <si>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</si>
  <si>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</si>
  <si>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</si>
  <si>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</si>
  <si>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</si>
  <si>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</si>
  <si>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</si>
  <si>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</si>
  <si>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</si>
  <si>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</si>
  <si>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</si>
  <si>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</si>
  <si>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</si>
  <si>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</si>
  <si>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</si>
  <si>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</si>
  <si>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</si>
  <si>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</si>
  <si>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</si>
  <si>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</si>
  <si>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</si>
  <si>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</si>
  <si>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</si>
  <si>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</si>
  <si>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</si>
  <si>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</si>
  <si>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</si>
  <si>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</si>
  <si>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</si>
  <si>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</si>
  <si>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</si>
  <si>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</si>
  <si>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</si>
  <si>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</si>
  <si>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</si>
  <si>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</si>
  <si>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</si>
  <si>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</si>
  <si>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</si>
  <si>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</si>
  <si>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</si>
  <si>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</si>
  <si>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</si>
  <si>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</si>
  <si>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</si>
  <si>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</si>
  <si>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</si>
  <si>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</si>
  <si>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</si>
  <si>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</si>
  <si>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</si>
  <si>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</si>
  <si>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</si>
  <si>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</si>
  <si>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</si>
  <si>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</si>
  <si>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</si>
  <si>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</si>
  <si>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</si>
  <si>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</si>
  <si>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</si>
  <si>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</si>
  <si>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</si>
  <si>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</si>
  <si>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</si>
  <si>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</si>
  <si>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</si>
  <si>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</si>
  <si>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</si>
  <si>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</si>
  <si>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</si>
  <si>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</si>
  <si>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</si>
  <si>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</si>
  <si>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</si>
  <si>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</si>
  <si>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</si>
  <si>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</si>
  <si>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</si>
  <si>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</si>
  <si>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</si>
  <si>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</si>
  <si>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</si>
  <si>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</si>
  <si>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</si>
  <si>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</si>
  <si>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</si>
  <si>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</si>
  <si>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</si>
  <si>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</si>
  <si>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</si>
  <si>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</si>
  <si>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</si>
  <si>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</si>
  <si>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</si>
  <si>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</si>
  <si>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</si>
  <si>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</si>
  <si>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</si>
  <si>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</si>
  <si>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</si>
  <si>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</si>
  <si>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</si>
  <si>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</si>
  <si>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</si>
  <si>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</si>
  <si>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</si>
  <si>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</si>
  <si>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</si>
  <si>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</si>
  <si>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</si>
  <si>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</si>
  <si>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</si>
  <si>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</si>
  <si>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</si>
  <si>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</si>
  <si>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</si>
  <si>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</si>
  <si>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</si>
  <si>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</si>
  <si>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</si>
  <si>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</si>
  <si>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</si>
  <si>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</si>
  <si>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</si>
  <si>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</si>
  <si>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</si>
  <si>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</si>
  <si>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</si>
  <si>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</si>
  <si>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</si>
  <si>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</si>
  <si>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</si>
  <si>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</si>
  <si>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</si>
  <si>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</si>
  <si>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</si>
  <si>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</si>
  <si>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</si>
  <si>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</si>
  <si>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</si>
  <si>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</si>
  <si>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</si>
  <si>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</si>
  <si>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</si>
  <si>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</si>
  <si>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</si>
  <si>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</si>
  <si>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</si>
  <si>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</si>
  <si>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</si>
  <si>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</si>
  <si>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</si>
  <si>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</si>
  <si>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</si>
  <si>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</si>
  <si>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</si>
  <si>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</si>
  <si>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</si>
  <si>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</si>
  <si>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</si>
  <si>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</si>
  <si>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MADISON</t>
  </si>
  <si>
    <t>1800 STOREY LANE</t>
  </si>
  <si>
    <t>COTTAGE HILLS</t>
  </si>
  <si>
    <t>MLENGER@REGION3SEC.ORG</t>
  </si>
  <si>
    <t>The accompanying Schedule of Expenditures of Federal Awards includes the federal grant activity of Region III Special Education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</si>
  <si>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Region III Special Education Cooperative provided federal awards to subrecipients as follows:</t>
  </si>
  <si>
    <r>
      <t xml:space="preserve">The following amounts were expended in the form of non-cash assistance by Region III Special Education Cooperative and </t>
    </r>
    <r>
      <rPr>
        <b/>
        <sz val="9"/>
        <rFont val="Calibri"/>
        <family val="2"/>
        <scheme val="minor"/>
      </rPr>
      <t>should be</t>
    </r>
    <r>
      <rPr>
        <sz val="9"/>
        <rFont val="Calibri"/>
        <family val="2"/>
        <scheme val="minor"/>
      </rPr>
      <t xml:space="preserve"> included in the Schedule of Expenditures of Federal Awards:</t>
    </r>
  </si>
  <si>
    <t>NONE</t>
  </si>
  <si>
    <t>U.S. DEPARTMENT OF EDUCATION:</t>
  </si>
  <si>
    <t>PASS THROUGH ILLINOIS STATE BOARD OF EDUCATION:</t>
  </si>
  <si>
    <t>SP. ED. - PRESCHOOL FLOW THROUGH        (M)</t>
  </si>
  <si>
    <t>SP. ED. - I.D.E.A. FLOW THROUGH                   (M)</t>
  </si>
  <si>
    <t>TOTAL U.S. DEPARTMENT OF EDUCATION</t>
  </si>
  <si>
    <t>84.173A</t>
  </si>
  <si>
    <t>84.027A</t>
  </si>
  <si>
    <t>2018-4600-00</t>
  </si>
  <si>
    <t>2019-4600-00</t>
  </si>
  <si>
    <t>2018-4620-00</t>
  </si>
  <si>
    <t>2019-4620-00</t>
  </si>
  <si>
    <t>U.S. DEPARTMENT OF HEALTH AND HUMAN SERVICES:</t>
  </si>
  <si>
    <t>PASS THROUGH ILLINOIS DEPARTMENT OF HEALTHCARE &amp; FAMILY SERVICES:</t>
  </si>
  <si>
    <t>MEDICAID MATCHING</t>
  </si>
  <si>
    <t>2018-4400-00</t>
  </si>
  <si>
    <t>TOTAL FEDERAL PROGRAMS</t>
  </si>
  <si>
    <t>INFORMATIONAL ONLY:</t>
  </si>
  <si>
    <t>TOTAL CFDA #84.173A</t>
  </si>
  <si>
    <t>TOTAL CFDA #84.027A</t>
  </si>
  <si>
    <t>TOTAL CFDA #93.778</t>
  </si>
  <si>
    <t>TOTAL ALL PROGRAMS</t>
  </si>
  <si>
    <t>CLUSTER PROGRAMS</t>
  </si>
  <si>
    <t>84.173A, 84.027A</t>
  </si>
  <si>
    <t>SP. ED. PRESCHOOL FLOW THROUGH: (2018 PROJECT)</t>
  </si>
  <si>
    <t>SP. ED. PRESCHOOL FLOW THROUGH: (2019 PROJECT)</t>
  </si>
  <si>
    <t>BETHALTO CUSD #8</t>
  </si>
  <si>
    <t>JERSEY CUSD #100</t>
  </si>
  <si>
    <t>SOUTHWESTERN CUSD #9</t>
  </si>
  <si>
    <t>WOOD RIVER - HARTFORD SD #15</t>
  </si>
  <si>
    <t>EAST ALTON ELEMENTARY SD #13</t>
  </si>
  <si>
    <t>SP. ED. I.D.E.A. FLOW THROUGH: (2018 PROJECT)</t>
  </si>
  <si>
    <t>SP. ED. I.D.E.A. FLOW THROUGH: (2019 PROJECT)</t>
  </si>
  <si>
    <t>EAST ALTON WOOD RIVER HIGH SCHOOL DISTRICT #14</t>
  </si>
  <si>
    <t>ADVERSE</t>
  </si>
  <si>
    <t>UNMODIFIED</t>
  </si>
  <si>
    <t>SP. ED. I.D.E.A. FLOW THROUGH</t>
  </si>
  <si>
    <t>SP. ED. PRESCHOOL FLOW THROUGH</t>
  </si>
  <si>
    <t>REVENUES 9-14, EDUCATIONAL FUND, ACCOUNT 1999 - OTHER $5,623</t>
  </si>
  <si>
    <t>EXPENDITURES 15-22, EDUCATIONAL FUND, ACCT 2900 PURCHASED SERVICES - OTHER $21,218</t>
  </si>
  <si>
    <t>U.S. DEPARTMENT OF EDUCATION</t>
  </si>
  <si>
    <t>REPORTING</t>
  </si>
  <si>
    <t>THE JOINT AGREEMENT DID NOT SUBMIT ACCURATE EXPENDITURE REPORT FOR JUNE 30, 2019.</t>
  </si>
  <si>
    <t>THE JOINT AGREEMENT REPORTED EXPENDITURES ON THE CASH BASIS OF ACCOUNTING RATHER THAN THE MODIFIED ACCRUAL BASIS OF ACCOUNTING, WHICH IS HOW THE FINANCIAL STATEMENTS ARE PREPARED.  NO ADDITIONAL GRANT FUNDS WERE RECEIVED.  THE FINAL REPORTS FOR THE PROJECT YEAR ARE ACCURATE.</t>
  </si>
  <si>
    <t>INACCURATE REPORTS AT INTERIM PERIODS.  HOWEVER, THE TOTAL PROJECT REPORTS ARE ACCURATE.  IT IS A TIMING ISSUE.</t>
  </si>
  <si>
    <t>DISCREPANCIES DUE TO DIFFERENCE IN BASIS OF ACCOUNTING USED TO PREPARE REPORTING.</t>
  </si>
  <si>
    <t>THE JOINT AGREEMENT NEEDS TO ENSURE THAT ALL EXPENDITURES OF THE GRANT ARE REPORTED WHEN THE EXPENSE IS INCURRED AND APPROPRIATE EXPENDITURE REPORTS ARE FILED.</t>
  </si>
  <si>
    <t>THE JOINT AGREEMENT PRERPARES THE EXPENDITURE REPORTING BASED ON THE CASH BASIS OF ACCOUNTING AS USED IN OUR INTERNAL FINANCIAL STATEMENTS RATHER THAN THE MODIFIED ACCRUAL BASIS OF ACCOUNTING WHICH IS HOW THE YEAR-END FINANCIAL STATEMENTS ARE PREPARED. BECAUSE NO ADDITIONAL GRANT MONIES WERE RECEIVED AND THE FINAL RERPORTS FOR THE PROJECT YEAR ARE ACCURATE, WE BELIEVE THAT THERE IS NO COST BENEFIT TO CHANGING OUR PROCEDURES.</t>
  </si>
  <si>
    <t>Region III Spec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</si>
</sst>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0" fontId="1" fillId="0" borderId="157"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3" t="s">
        <v>405</v>
      </c>
      <c r="J1" s="1984"/>
      <c r="K1" s="1984"/>
      <c r="L1" s="1984"/>
      <c r="M1" s="1984"/>
      <c r="N1" s="1984"/>
      <c r="O1" s="1984"/>
      <c r="P1" s="1984"/>
      <c r="Q1" s="1984"/>
      <c r="R1" s="1984"/>
      <c r="S1" s="1984"/>
    </row>
    <row r="2" spans="1:28" ht="12" customHeight="1" x14ac:dyDescent="0.2">
      <c r="A2" s="47" t="s">
        <v>1990</v>
      </c>
      <c r="D2" s="48"/>
      <c r="I2" s="1985" t="s">
        <v>979</v>
      </c>
      <c r="J2" s="1984"/>
      <c r="K2" s="1984"/>
      <c r="L2" s="1984"/>
      <c r="M2" s="1984"/>
      <c r="N2" s="1984"/>
      <c r="O2" s="1984"/>
      <c r="P2" s="1984"/>
      <c r="Q2" s="1984"/>
      <c r="R2" s="1984"/>
      <c r="S2" s="1984"/>
    </row>
    <row r="3" spans="1:28" ht="12" customHeight="1" x14ac:dyDescent="0.2">
      <c r="A3" s="155" t="s">
        <v>1942</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c r="C5" s="26" t="s">
        <v>910</v>
      </c>
      <c r="D5" s="84"/>
      <c r="E5" s="84"/>
      <c r="H5" s="38"/>
      <c r="I5" s="1993" t="s">
        <v>680</v>
      </c>
      <c r="J5" s="1992"/>
      <c r="K5" s="1992"/>
      <c r="L5" s="1992"/>
      <c r="M5" s="1992"/>
      <c r="N5" s="1992"/>
      <c r="O5" s="1992"/>
      <c r="P5" s="1992"/>
      <c r="Q5" s="1992"/>
      <c r="R5" s="1992"/>
      <c r="S5" s="1992"/>
    </row>
    <row r="6" spans="1:28" ht="14.1" customHeight="1" x14ac:dyDescent="0.2">
      <c r="B6" s="104" t="s">
        <v>2061</v>
      </c>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18">
        <v>41057801060</v>
      </c>
      <c r="B13" s="2019"/>
      <c r="C13" s="2019"/>
      <c r="D13" s="2019"/>
      <c r="E13" s="2019"/>
      <c r="F13" s="2019"/>
      <c r="G13" s="2019"/>
      <c r="H13" s="2020"/>
      <c r="I13" s="31"/>
      <c r="J13" s="30"/>
      <c r="K13" s="28"/>
      <c r="L13" s="30"/>
      <c r="M13" s="30"/>
      <c r="N13" s="30"/>
      <c r="O13" s="30"/>
      <c r="P13" s="30"/>
      <c r="Q13" s="30"/>
      <c r="R13" s="30"/>
      <c r="S13" s="30"/>
      <c r="T13" s="2023" t="s">
        <v>2062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2071</v>
      </c>
      <c r="B15" s="2021"/>
      <c r="C15" s="2021"/>
      <c r="D15" s="2021"/>
      <c r="E15" s="2021"/>
      <c r="F15" s="2021"/>
      <c r="G15" s="2021"/>
      <c r="H15" s="2022"/>
      <c r="T15" s="2027" t="s">
        <v>2063</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2126</v>
      </c>
      <c r="B17" s="1978"/>
      <c r="C17" s="1978"/>
      <c r="D17" s="1978"/>
      <c r="E17" s="1978"/>
      <c r="F17" s="1978"/>
      <c r="G17" s="1978"/>
      <c r="H17" s="2003"/>
      <c r="T17" s="2034" t="s">
        <v>2064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2072</v>
      </c>
      <c r="B19" s="1963"/>
      <c r="C19" s="1963"/>
      <c r="D19" s="1963"/>
      <c r="E19" s="1963"/>
      <c r="F19" s="1963"/>
      <c r="G19" s="1963"/>
      <c r="H19" s="1943"/>
      <c r="I19" s="30"/>
      <c r="J19" s="99"/>
      <c r="K19" s="40"/>
      <c r="L19" s="38"/>
      <c r="M19" s="112" t="s">
        <v>315</v>
      </c>
      <c r="P19" s="27"/>
      <c r="Q19" s="27"/>
      <c r="R19" s="27"/>
      <c r="S19" s="31"/>
      <c r="T19" s="2017" t="s">
        <v>2065</v>
      </c>
      <c r="U19" s="1942"/>
      <c r="V19" s="1942"/>
      <c r="W19" s="1943"/>
      <c r="X19" s="2032" t="s">
        <v>2066</v>
      </c>
      <c r="Y19" s="2033"/>
      <c r="Z19" s="2030">
        <v>62002</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2073</v>
      </c>
      <c r="B21" s="1942"/>
      <c r="C21" s="1942"/>
      <c r="D21" s="1942"/>
      <c r="E21" s="1942"/>
      <c r="F21" s="1942"/>
      <c r="G21" s="1942"/>
      <c r="H21" s="1943"/>
      <c r="I21" s="1997" t="s">
        <v>678</v>
      </c>
      <c r="J21" s="1992"/>
      <c r="K21" s="1992"/>
      <c r="L21" s="1992"/>
      <c r="M21" s="1992"/>
      <c r="N21" s="1992"/>
      <c r="O21" s="1992"/>
      <c r="P21" s="1992"/>
      <c r="Q21" s="1992"/>
      <c r="R21" s="1992"/>
      <c r="S21" s="1998"/>
      <c r="T21" s="2041" t="s">
        <v>2067</v>
      </c>
      <c r="U21" s="2042"/>
      <c r="V21" s="2042"/>
      <c r="W21" s="2042"/>
      <c r="X21" s="2047" t="s">
        <v>2068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2074</v>
      </c>
      <c r="B23" s="1995"/>
      <c r="C23" s="1995"/>
      <c r="D23" s="1995"/>
      <c r="E23" s="1995"/>
      <c r="F23" s="1995"/>
      <c r="G23" s="1995"/>
      <c r="H23" s="1996"/>
      <c r="T23" s="1977" t="s">
        <v>2069</v>
      </c>
      <c r="U23" s="2040"/>
      <c r="V23" s="2040"/>
      <c r="W23" s="2040"/>
      <c r="X23" s="2044">
        <v>44530</v>
      </c>
      <c r="Y23" s="2045"/>
      <c r="Z23" s="2045"/>
      <c r="AA23" s="2046"/>
    </row>
    <row r="24" spans="1:27" ht="14.1" customHeight="1" x14ac:dyDescent="0.2">
      <c r="A24" s="88" t="s">
        <v>677</v>
      </c>
      <c r="B24" s="49"/>
      <c r="C24" s="49"/>
      <c r="D24" s="49"/>
      <c r="E24" s="49"/>
      <c r="F24" s="49"/>
      <c r="G24" s="49"/>
      <c r="H24" s="61"/>
      <c r="J24" s="1964" t="str">
        <f>IF(B5="x",IF(AUDITCHECK!D29="AFR form Incomplete.","",IF(AUDITCHECK!D29="Deficit reduction plan is required.","School District must complete a deficit reduction plan in the 2019-2020 Budget",)),"")</f>
        <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62018</v>
      </c>
      <c r="B25" s="1942"/>
      <c r="C25" s="1942"/>
      <c r="D25" s="1942"/>
      <c r="E25" s="1942"/>
      <c r="F25" s="1942"/>
      <c r="G25" s="1942"/>
      <c r="H25" s="1943"/>
      <c r="I25" s="113"/>
      <c r="J25" s="1966"/>
      <c r="K25" s="1966"/>
      <c r="L25" s="1966"/>
      <c r="M25" s="1966"/>
      <c r="N25" s="1966"/>
      <c r="O25" s="1966"/>
      <c r="P25" s="1966"/>
      <c r="Q25" s="1966"/>
      <c r="R25" s="1966"/>
      <c r="S25" s="1967"/>
      <c r="T25" s="2037" t="s">
        <v>2070</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7" orientation="landscape" useFirstPageNumber="1"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1" sqref="A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1948</v>
      </c>
      <c r="C2" s="714" t="s">
        <v>1949</v>
      </c>
      <c r="D2" s="714" t="s">
        <v>1950</v>
      </c>
      <c r="E2" s="714" t="s">
        <v>1951</v>
      </c>
      <c r="F2" s="714" t="s">
        <v>1952</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75" bottom="0.5" header="0.5" footer="0.5"/>
  <pageSetup scale="94" firstPageNumber="51" orientation="landscape" useFirstPageNumber="1" r:id="rId1"/>
  <headerFooter>
    <oddHeader>&amp;C&amp;"Times New Roman,Regular"REGION III SPECIAL EDUCATION COOPERATIVE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BreakPreview" colorId="8" zoomScale="60" zoomScaleNormal="110" workbookViewId="0">
      <selection activeCell="I15" sqref="I1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1799</v>
      </c>
      <c r="B2" s="2211"/>
      <c r="C2" s="1884" t="s">
        <v>1953</v>
      </c>
      <c r="D2" s="723" t="s">
        <v>1954</v>
      </c>
      <c r="E2" s="723" t="s">
        <v>1955</v>
      </c>
      <c r="F2" s="1884" t="s">
        <v>1956</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Roman,Regular"REGION III SPECIAL EDUCATION COOPERATIVE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BreakPreview" colorId="8" zoomScale="60" zoomScaleNormal="110" workbookViewId="0">
      <selection activeCell="G74" sqref="G7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1809</v>
      </c>
      <c r="K2" s="762" t="s">
        <v>138</v>
      </c>
    </row>
    <row r="3" spans="1:11" x14ac:dyDescent="0.2">
      <c r="A3" s="2236" t="s">
        <v>1961</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1810</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0</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1806</v>
      </c>
      <c r="B19" s="2226"/>
      <c r="C19" s="2226"/>
      <c r="D19" s="2226"/>
      <c r="E19" s="2227"/>
      <c r="F19" s="789" t="s">
        <v>933</v>
      </c>
      <c r="G19" s="782"/>
      <c r="H19" s="782"/>
      <c r="I19" s="782"/>
      <c r="J19" s="765"/>
      <c r="K19" s="795"/>
    </row>
    <row r="20" spans="1:11" x14ac:dyDescent="0.2">
      <c r="A20" s="2228" t="s">
        <v>1811</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1812</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0</v>
      </c>
      <c r="I23" s="1758">
        <f>SUM(I14:I16,I21,I22)</f>
        <v>0</v>
      </c>
      <c r="J23" s="1758">
        <f>SUM(J14:J16,J21,J22)</f>
        <v>0</v>
      </c>
      <c r="K23" s="1758">
        <f>SUM(K14:K16,K21,K22)</f>
        <v>0</v>
      </c>
    </row>
    <row r="24" spans="1:11" ht="14.25" thickTop="1" thickBot="1" x14ac:dyDescent="0.25">
      <c r="A24" s="2248" t="s">
        <v>1962</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pageMargins left="0.75" right="0.75" top="1.1000000000000001" bottom="0.5" header="0.5" footer="0.5"/>
  <pageSetup scale="74" firstPageNumber="25" orientation="landscape" r:id="rId1"/>
  <headerFooter>
    <oddHeader>&amp;C&amp;"Times New Roman,Regular"REGION III SPECIAL EDUCATION COOPERATIVE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1906</v>
      </c>
      <c r="B1" s="2254"/>
      <c r="C1" s="2255"/>
      <c r="D1" s="826"/>
      <c r="E1" s="827"/>
      <c r="F1" s="827"/>
      <c r="G1" s="828"/>
      <c r="H1" s="829"/>
      <c r="I1" s="830"/>
      <c r="J1" s="2251"/>
      <c r="K1" s="2252"/>
      <c r="L1" s="2252"/>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44150</v>
      </c>
      <c r="D5" s="841"/>
      <c r="E5" s="841"/>
      <c r="F5" s="1760">
        <f>(C5+D5)-E5</f>
        <v>44150</v>
      </c>
      <c r="G5" s="837"/>
      <c r="H5" s="842"/>
      <c r="I5" s="842"/>
      <c r="J5" s="842"/>
      <c r="K5" s="793"/>
      <c r="L5" s="1769">
        <f>F5-K5</f>
        <v>44150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191272</v>
      </c>
      <c r="D8" s="844"/>
      <c r="E8" s="844"/>
      <c r="F8" s="1760">
        <f>(C8+D8)-E8</f>
        <v>191272</v>
      </c>
      <c r="G8" s="843">
        <v>50</v>
      </c>
      <c r="H8" s="765">
        <v>140761</v>
      </c>
      <c r="I8" s="765">
        <v>3825</v>
      </c>
      <c r="J8" s="765"/>
      <c r="K8" s="1769">
        <f>(H8+I8)-J8</f>
        <v>144586</v>
      </c>
      <c r="L8" s="1769">
        <f>F8-K8</f>
        <v>46686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17402</v>
      </c>
      <c r="D10" s="846"/>
      <c r="E10" s="846"/>
      <c r="F10" s="1764">
        <f>(C10+D10)-E10</f>
        <v>17402</v>
      </c>
      <c r="G10" s="843">
        <v>20</v>
      </c>
      <c r="H10" s="847">
        <v>17402</v>
      </c>
      <c r="I10" s="847"/>
      <c r="J10" s="847"/>
      <c r="K10" s="1769">
        <f>(H10+I10)-J10</f>
        <v>17402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7859</v>
      </c>
      <c r="D12" s="844"/>
      <c r="E12" s="844"/>
      <c r="F12" s="1760">
        <f>(C12+D12)-E12</f>
        <v>7859</v>
      </c>
      <c r="G12" s="843">
        <v>10</v>
      </c>
      <c r="H12" s="765">
        <v>6971</v>
      </c>
      <c r="I12" s="765">
        <v>786</v>
      </c>
      <c r="J12" s="765"/>
      <c r="K12" s="1769">
        <f>(H12+I12)-J12</f>
        <v>7757</v>
      </c>
      <c r="L12" s="1769">
        <f>F12-K12</f>
        <v>102</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260683</v>
      </c>
      <c r="D16" s="1760">
        <f>SUM(D3,D5:D6,D8:D10,D12:D15)</f>
        <v>0</v>
      </c>
      <c r="E16" s="1760">
        <f>SUM(E3,E5:E6,E8:E10,E12:E15)</f>
        <v>0</v>
      </c>
      <c r="F16" s="1760">
        <f>SUM(F3,F5:F6,F8:F10,F12:F15)</f>
        <v>260683</v>
      </c>
      <c r="G16" s="843"/>
      <c r="H16" s="1760">
        <f>SUM(H3,H6,H8:H10,H12:H14,)</f>
        <v>165134</v>
      </c>
      <c r="I16" s="1760">
        <f>SUM(I3,I6,I8:I10,I12:I14,)</f>
        <v>4611</v>
      </c>
      <c r="J16" s="1760">
        <f>SUM(J3,J6,J8:J10,J12:J14,)</f>
        <v>0</v>
      </c>
      <c r="K16" s="1760">
        <f>(H16+I16)-J16</f>
        <v>169745</v>
      </c>
      <c r="L16" s="1760">
        <f>F16-K16</f>
        <v>90938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4611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Roman,Regular"REGION III SPECIAL EDUCATION COOPERATIVE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view="pageBreakPreview" colorId="8" zoomScale="60" zoomScaleNormal="110" workbookViewId="0">
      <pane ySplit="5" topLeftCell="A90" activePane="bottomLeft" state="frozen"/>
      <selection activeCell="A6" sqref="A6:F6"/>
      <selection pane="bottomLeft" activeCell="F32" sqref="F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1972</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4920411</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4920411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16175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2281236</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2297411</v>
      </c>
      <c r="G76" s="865"/>
    </row>
    <row r="77" spans="1:8" s="893" customFormat="1" ht="12" customHeight="1" thickTop="1" thickBot="1" x14ac:dyDescent="0.25">
      <c r="A77" s="1779"/>
      <c r="B77" s="1776"/>
      <c r="C77" s="1772"/>
      <c r="D77" s="1777" t="s">
        <v>1897</v>
      </c>
      <c r="E77" s="1774"/>
      <c r="F77" s="1780">
        <f>(F14-F76)</f>
        <v>2623000</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107850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29123</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91030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228003</v>
      </c>
    </row>
    <row r="175" spans="1:7" ht="12" customHeight="1" x14ac:dyDescent="0.2">
      <c r="A175" s="1770"/>
      <c r="B175" s="1784"/>
      <c r="C175" s="1785"/>
      <c r="D175" s="1786" t="s">
        <v>2054</v>
      </c>
      <c r="E175" s="1787"/>
      <c r="F175" s="1789">
        <f>'PCTC-OEPP 27-28'!F77-F174</f>
        <v>2394997</v>
      </c>
    </row>
    <row r="176" spans="1:7" ht="12" customHeight="1" x14ac:dyDescent="0.2">
      <c r="A176" s="1770"/>
      <c r="B176" s="1784"/>
      <c r="C176" s="1785"/>
      <c r="D176" s="1786" t="s">
        <v>1814</v>
      </c>
      <c r="E176" s="1787"/>
      <c r="F176" s="1789">
        <f>'Cap Outlay Deprec 26'!I18</f>
        <v>4611</v>
      </c>
    </row>
    <row r="177" spans="1:7" ht="12" customHeight="1" x14ac:dyDescent="0.2">
      <c r="A177" s="1770"/>
      <c r="B177" s="1784"/>
      <c r="C177" s="1785"/>
      <c r="D177" s="1786" t="s">
        <v>2055</v>
      </c>
      <c r="E177" s="1787"/>
      <c r="F177" s="1789">
        <f>F175+F176</f>
        <v>2399608</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25" bottom="0.5" header="0.5" footer="0.5"/>
  <pageSetup scale="65" firstPageNumber="27" orientation="portrait" r:id="rId2"/>
  <headerFooter>
    <oddHeader>&amp;C&amp;"Times New Roman,Regular"REGION III SPECIAL EDUCATION COOPERATIVE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view="pageBreakPreview" zoomScaleNormal="100" zoomScaleSheetLayoutView="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1929</v>
      </c>
      <c r="B7" s="2277"/>
      <c r="C7" s="2277"/>
      <c r="D7" s="2277"/>
      <c r="E7" s="2277"/>
      <c r="F7" s="2277"/>
      <c r="G7" s="2278"/>
    </row>
    <row r="8" spans="1:7" ht="15.75" customHeight="1" x14ac:dyDescent="0.25">
      <c r="A8" s="2279" t="s">
        <v>1904</v>
      </c>
      <c r="B8" s="2280"/>
      <c r="C8" s="2280"/>
      <c r="D8" s="2280"/>
      <c r="E8" s="2280"/>
      <c r="F8" s="2280"/>
      <c r="G8" s="2281"/>
    </row>
    <row r="9" spans="1:7" ht="35.25" customHeight="1" x14ac:dyDescent="0.25">
      <c r="A9" s="2276" t="s">
        <v>1932</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1931</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1973</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2078</v>
      </c>
      <c r="B17" s="1934"/>
      <c r="C17" s="1656"/>
      <c r="D17" s="1844">
        <v>1</v>
      </c>
      <c r="E17" s="1540">
        <f t="shared" ref="E17:E141" si="0">IF(D17&lt;=25000,D17,IF(D17&gt;25000,25000,0))</f>
        <v>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v>
      </c>
      <c r="E141" s="1541">
        <f t="shared" si="0"/>
        <v>1</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25" bottom="0.5" header="0.5" footer="0.5"/>
  <pageSetup scale="54" firstPageNumber="30" fitToHeight="0" orientation="portrait" r:id="rId1"/>
  <headerFooter>
    <oddHeader>&amp;C&amp;"Times New Roman,Regular"REGION III SPECIAL EDUCATION COOPERATIVE
CURRENT YEAR PAYMENT ON CONTRACTS FOR INDIRECT COST RATE COMPUTATION
FOR THE YEAR ENDED JUNE 30, 2019</oddHeader>
    <oddFooter>&amp;C&amp;"Times New Roman,Regular"See Independent Auditor's Reports
&amp;P</oddFooter>
  </headerFooter>
  <rowBreaks count="1" manualBreakCount="1">
    <brk id="7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A6" sqref="A6:F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7" t="s">
        <v>1974</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1714472</v>
      </c>
      <c r="F19" s="1799"/>
      <c r="G19" s="1801">
        <f>'Expenditures 15-22'!K33-SUM('Expenditures 15-22'!G33,'Expenditures 15-22'!I33)+'Expenditures 15-22'!D229</f>
        <v>1714472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490592</v>
      </c>
      <c r="F21" s="1802"/>
      <c r="G21" s="1805">
        <f>'Expenditures 15-22'!K42-SUM('Expenditures 15-22'!G42,'Expenditures 15-22'!I42)+'Expenditures 15-22'!K120-SUM('Expenditures 15-22'!G120,'Expenditures 15-22'!I120)+'Expenditures 15-22'!K180-SUM('Expenditures 15-22'!G180,'Expenditures 15-22'!I180)+'Expenditures 15-22'!D238</f>
        <v>490592</v>
      </c>
      <c r="H21" s="987"/>
      <c r="I21" s="162"/>
    </row>
    <row r="22" spans="1:9" s="668" customFormat="1" ht="12" customHeight="1" x14ac:dyDescent="0.2">
      <c r="A22" s="994" t="s">
        <v>564</v>
      </c>
      <c r="B22" s="995"/>
      <c r="C22" s="993">
        <v>2200</v>
      </c>
      <c r="D22" s="1802"/>
      <c r="E22" s="1804">
        <f>'Expenditures 15-22'!K47-SUM('Expenditures 15-22'!G47,'Expenditures 15-22'!I47)+'Expenditures 15-22'!D243</f>
        <v>23694</v>
      </c>
      <c r="F22" s="1802"/>
      <c r="G22" s="1805">
        <f>'Expenditures 15-22'!K47-SUM('Expenditures 15-22'!G47,'Expenditures 15-22'!I47)+'Expenditures 15-22'!D243</f>
        <v>23694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361664</v>
      </c>
      <c r="F23" s="1802"/>
      <c r="G23" s="1804">
        <f>'Expenditures 15-22'!K53-SUM('Expenditures 15-22'!G53,'Expenditures 15-22'!I53)+'Expenditures 15-22'!D257+'Expenditures 15-22'!K330-SUM('Expenditures 15-22'!G330,'Expenditures 15-22'!I330)</f>
        <v>361664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27535</v>
      </c>
      <c r="F28" s="1806">
        <f>'Expenditures 15-22'!K61-SUM('Expenditures 15-22'!G61,'Expenditures 15-22'!I61)+'Expenditures 15-22'!K124-SUM('Expenditures 15-22'!G124,'Expenditures 15-22'!I124)+'Expenditures 15-22'!D266-E9</f>
        <v>27535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21218</v>
      </c>
      <c r="F38" s="1802"/>
      <c r="G38" s="1804">
        <f>'Expenditures 15-22'!K73-SUM('Expenditures 15-22'!G73,'Expenditures 15-22'!I73)+'Expenditures 15-22'!K128-SUM('Expenditures 15-22'!G128,'Expenditures 15-22'!I128)+'Expenditures 15-22'!K183-SUM('Expenditures 15-22'!G183,'Expenditures 15-22'!I183)+'Expenditures 15-22'!D278</f>
        <v>21218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2639175</v>
      </c>
      <c r="F41" s="1806">
        <f>SUM(F19:F39)</f>
        <v>27535</v>
      </c>
      <c r="G41" s="1806">
        <f>SUM(G19:G40)</f>
        <v>2611640</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0</v>
      </c>
      <c r="F43" s="1807" t="s">
        <v>473</v>
      </c>
      <c r="G43" s="1808">
        <f>F41</f>
        <v>27535</v>
      </c>
    </row>
    <row r="44" spans="1:7" ht="12" customHeight="1" x14ac:dyDescent="0.2">
      <c r="A44" s="987"/>
      <c r="B44" s="162"/>
      <c r="C44" s="1001"/>
      <c r="D44" s="1807" t="s">
        <v>474</v>
      </c>
      <c r="E44" s="1808">
        <f>E41</f>
        <v>2639175</v>
      </c>
      <c r="F44" s="1807" t="s">
        <v>474</v>
      </c>
      <c r="G44" s="1808">
        <f>G41</f>
        <v>2611640</v>
      </c>
    </row>
    <row r="45" spans="1:7" ht="12" customHeight="1" x14ac:dyDescent="0.2">
      <c r="A45" s="987"/>
      <c r="B45" s="162"/>
      <c r="C45" s="162"/>
      <c r="D45" s="1809" t="s">
        <v>1006</v>
      </c>
      <c r="E45" s="1810">
        <f>(E43/E44)</f>
        <v>0</v>
      </c>
      <c r="F45" s="1809" t="s">
        <v>1006</v>
      </c>
      <c r="G45" s="1810">
        <f>(G43/G44)</f>
        <v>1.0543183593450859E-2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1"/>
  <headerFooter>
    <oddHeader>&amp;C&amp;"Times New Roman,Regular"REGION III SPECIAL EDUCATION COOPERATIVE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6" sqref="A6:F6"/>
      <selection pane="bottomLeft" activeCell="B8" sqref="B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Region III Spec Ed Coop</v>
      </c>
      <c r="D6" s="2308"/>
      <c r="E6" s="2308"/>
      <c r="F6" s="1852"/>
    </row>
    <row r="7" spans="1:10" ht="11.25" customHeight="1" thickBot="1" x14ac:dyDescent="0.3">
      <c r="A7" s="1850"/>
      <c r="B7" s="1851"/>
      <c r="C7" s="2309">
        <f>COVER!A13</f>
        <v>41057801060</v>
      </c>
      <c r="D7" s="2309"/>
      <c r="E7" s="2309"/>
      <c r="F7" s="1852"/>
    </row>
    <row r="8" spans="1:10" ht="25.5" customHeight="1" thickBot="1" x14ac:dyDescent="0.25">
      <c r="A8" s="1893" t="s">
        <v>1905</v>
      </c>
      <c r="B8" s="1853" t="s">
        <v>2061</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5" orientation="landscape" r:id="rId1"/>
  <headerFooter>
    <oddHeader>&amp;C&amp;"Times New Roman,Regular"REGION III SPECIAL EDUCATION COOPERATIVE</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O26" sqref="O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Region III Spec Ed Coop</v>
      </c>
      <c r="J6" s="2318"/>
      <c r="Q6" s="1664"/>
    </row>
    <row r="7" spans="1:17" x14ac:dyDescent="0.2">
      <c r="A7" s="2319" t="s">
        <v>869</v>
      </c>
      <c r="B7" s="2320"/>
      <c r="C7" s="2320"/>
      <c r="D7" s="2320"/>
      <c r="E7" s="2321"/>
      <c r="F7" s="1017"/>
      <c r="G7" s="1009"/>
      <c r="H7" s="1016" t="s">
        <v>372</v>
      </c>
      <c r="I7" s="2322">
        <f>COVER!A13</f>
        <v>41057801060</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361664</v>
      </c>
      <c r="F13" s="1039"/>
      <c r="G13" s="1811">
        <f t="shared" si="0"/>
        <v>361664</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361664</v>
      </c>
      <c r="F19" s="1813">
        <f t="shared" si="2"/>
        <v>0</v>
      </c>
      <c r="G19" s="1813">
        <f t="shared" si="2"/>
        <v>361664</v>
      </c>
      <c r="H19" s="1813">
        <f t="shared" si="2"/>
        <v>0</v>
      </c>
      <c r="I19" s="1813">
        <f t="shared" si="2"/>
        <v>0</v>
      </c>
      <c r="J19" s="1813">
        <f t="shared" si="2"/>
        <v>0</v>
      </c>
    </row>
    <row r="20" spans="1:10" ht="13.5" thickTop="1" x14ac:dyDescent="0.2">
      <c r="A20" s="1035">
        <v>9</v>
      </c>
      <c r="B20" s="2329" t="s">
        <v>1978</v>
      </c>
      <c r="C20" s="2329"/>
      <c r="D20" s="2330"/>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1980</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Roman,Regular"REGION III SPECIAL EDUCATION COOPERATIVE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2116</v>
      </c>
    </row>
    <row r="6" spans="1:2" x14ac:dyDescent="0.2">
      <c r="A6" s="1068">
        <v>2</v>
      </c>
      <c r="B6" s="329" t="s">
        <v>2117</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Region III Spec Ed Coop</v>
      </c>
    </row>
    <row r="65" spans="2:2" x14ac:dyDescent="0.2">
      <c r="B65" s="1070">
        <f>COVER!A13</f>
        <v>41057801060</v>
      </c>
    </row>
  </sheetData>
  <phoneticPr fontId="13" type="noConversion"/>
  <printOptions horizontalCentered="1"/>
  <pageMargins left="0.75" right="0.75" top="1.25" bottom="0.5" header="0.5" footer="0.5"/>
  <pageSetup scale="80" firstPageNumber="63" orientation="portrait" r:id="rId1"/>
  <headerFooter>
    <oddHeader>&amp;C&amp;"Times New Roman,Regular"REGION III SPECIAL EDUCATION COOPERATIVE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topLeftCell="A28" zoomScale="110" zoomScaleNormal="110" workbookViewId="0">
      <selection activeCell="K20" sqref="K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2" fitToHeight="0" orientation="portrait" r:id="rId4"/>
  <headerFooter>
    <oddHeader>&amp;C&amp;"Times New Roman,Regular"REGION III SPECIAL EDUCATION COOPERATIVE</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6" sqref="A6:F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75" firstPageNumber="3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3" type="noConversion"/>
  <printOptions horizontalCentered="1"/>
  <pageMargins left="0.75" right="0.75" top="1" bottom="0.5" header="0.5" footer="0.5"/>
  <pageSetup scale="75" firstPageNumber="34" orientation="landscape" r:id="rId1"/>
  <headerFooter>
    <oddHeader xml:space="preserve">&amp;C&amp;"Times New Roman,Regular"
</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12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L15" sqref="L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1984</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1985</v>
      </c>
      <c r="B4" s="2357"/>
      <c r="C4" s="2357"/>
      <c r="D4" s="2357"/>
      <c r="E4" s="2357"/>
      <c r="F4" s="2358"/>
      <c r="G4" s="1074"/>
      <c r="H4" s="1074"/>
    </row>
    <row r="5" spans="1:8" ht="14.25" customHeight="1" x14ac:dyDescent="0.2">
      <c r="A5" s="2359" t="s">
        <v>1981</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4892966</v>
      </c>
      <c r="C8" s="1815">
        <f>'Acct Summary 7-8'!D8</f>
        <v>0</v>
      </c>
      <c r="D8" s="1815">
        <f>'Acct Summary 7-8'!F8</f>
        <v>0</v>
      </c>
      <c r="E8" s="1815">
        <f>'Acct Summary 7-8'!I8</f>
        <v>0</v>
      </c>
      <c r="F8" s="1815">
        <f>SUM(B8:E8)</f>
        <v>4892966</v>
      </c>
    </row>
    <row r="9" spans="1:8" s="1079" customFormat="1" ht="14.25" customHeight="1" thickBot="1" x14ac:dyDescent="0.25">
      <c r="A9" s="1078" t="s">
        <v>1369</v>
      </c>
      <c r="B9" s="1816">
        <f>'Acct Summary 7-8'!C17</f>
        <v>4920411</v>
      </c>
      <c r="C9" s="1816">
        <f>'Acct Summary 7-8'!D17</f>
        <v>0</v>
      </c>
      <c r="D9" s="1816">
        <f>'Acct Summary 7-8'!F17</f>
        <v>0</v>
      </c>
      <c r="E9" s="1815"/>
      <c r="F9" s="1815">
        <f>SUM(B9:E9)</f>
        <v>4920411</v>
      </c>
    </row>
    <row r="10" spans="1:8" s="1079" customFormat="1" ht="14.25" thickTop="1" thickBot="1" x14ac:dyDescent="0.25">
      <c r="A10" s="1080" t="s">
        <v>1370</v>
      </c>
      <c r="B10" s="1817">
        <f>(B8-B9)</f>
        <v>-27445</v>
      </c>
      <c r="C10" s="1817">
        <f>(C8-C9)</f>
        <v>0</v>
      </c>
      <c r="D10" s="1817">
        <f>(D8-D9)</f>
        <v>0</v>
      </c>
      <c r="E10" s="1816">
        <f>(E8-E9)</f>
        <v>0</v>
      </c>
      <c r="F10" s="1818">
        <f>SUM(F8-F9)</f>
        <v>-27445</v>
      </c>
    </row>
    <row r="11" spans="1:8" s="1079" customFormat="1" ht="14.25" thickTop="1" thickBot="1" x14ac:dyDescent="0.25">
      <c r="A11" s="1081" t="s">
        <v>1982</v>
      </c>
      <c r="B11" s="1819">
        <f>'Acct Summary 7-8'!C81</f>
        <v>516407</v>
      </c>
      <c r="C11" s="1819">
        <f>'Acct Summary 7-8'!D81</f>
        <v>0</v>
      </c>
      <c r="D11" s="1819">
        <f>'Acct Summary 7-8'!F81</f>
        <v>0</v>
      </c>
      <c r="E11" s="1819">
        <f>'Acct Summary 7-8'!I81</f>
        <v>0</v>
      </c>
      <c r="F11" s="1820">
        <f>SUM(B11:E11)</f>
        <v>516407</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1499999999999999" bottom="0.5" header="0.5" footer="0.5"/>
  <pageSetup firstPageNumber="19" fitToHeight="0" orientation="landscape" r:id="rId1"/>
  <headerFooter>
    <oddHeader>&amp;C&amp;"Times New Roman,Regular"REGION III SPECIAL EDUCATION COOPERATIVE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87" sqref="D8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41057801060</v>
      </c>
    </row>
    <row r="3" spans="1:2" x14ac:dyDescent="0.2">
      <c r="A3" t="s">
        <v>956</v>
      </c>
      <c r="B3" s="138" t="str">
        <f>COVER!A15</f>
        <v>MADISON</v>
      </c>
    </row>
    <row r="4" spans="1:2" x14ac:dyDescent="0.2">
      <c r="A4" t="s">
        <v>1007</v>
      </c>
      <c r="B4" s="138" t="str">
        <f>COVER!A17</f>
        <v>Region III Spec Ed Coop</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859240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342833</v>
      </c>
      <c r="C91" s="2" t="s">
        <v>573</v>
      </c>
      <c r="D91" s="2" t="str">
        <f t="shared" si="0"/>
        <v>Error?</v>
      </c>
    </row>
    <row r="92" spans="1:4" x14ac:dyDescent="0.2">
      <c r="A92" s="5">
        <v>31</v>
      </c>
      <c r="B92" s="138">
        <f>'Assets-Liab 5-6'!C39</f>
        <v>516407</v>
      </c>
      <c r="D92" s="2" t="str">
        <f t="shared" si="0"/>
        <v>Error?</v>
      </c>
    </row>
    <row r="93" spans="1:4" x14ac:dyDescent="0.2">
      <c r="A93" s="5">
        <v>32</v>
      </c>
      <c r="B93" s="138">
        <f>'Assets-Liab 5-6'!C41</f>
        <v>859240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44150</v>
      </c>
      <c r="D273" s="2" t="str">
        <f t="shared" si="3"/>
        <v>Error?</v>
      </c>
    </row>
    <row r="274" spans="1:4" x14ac:dyDescent="0.2">
      <c r="A274" s="5">
        <v>213</v>
      </c>
      <c r="B274" s="138">
        <f>'Assets-Liab 5-6'!M17</f>
        <v>191272</v>
      </c>
      <c r="D274" s="2" t="str">
        <f t="shared" si="3"/>
        <v>Error?</v>
      </c>
    </row>
    <row r="275" spans="1:4" x14ac:dyDescent="0.2">
      <c r="A275" s="5">
        <v>214</v>
      </c>
      <c r="B275" s="138">
        <f>'Assets-Liab 5-6'!M18</f>
        <v>17402</v>
      </c>
      <c r="D275" s="2" t="str">
        <f t="shared" si="3"/>
        <v>Error?</v>
      </c>
    </row>
    <row r="276" spans="1:4" x14ac:dyDescent="0.2">
      <c r="A276" s="5">
        <v>215</v>
      </c>
      <c r="B276" s="138">
        <f>'Assets-Liab 5-6'!M19</f>
        <v>7859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260683</v>
      </c>
      <c r="C279" s="2" t="s">
        <v>573</v>
      </c>
      <c r="D279" s="2" t="str">
        <f t="shared" si="3"/>
        <v>Error?</v>
      </c>
    </row>
    <row r="280" spans="1:4" x14ac:dyDescent="0.2">
      <c r="A280" s="5">
        <v>219</v>
      </c>
      <c r="B280" s="138">
        <f>'Assets-Liab 5-6'!M40</f>
        <v>260683</v>
      </c>
      <c r="D280" s="2" t="str">
        <f t="shared" si="3"/>
        <v>Error?</v>
      </c>
    </row>
    <row r="281" spans="1:4" x14ac:dyDescent="0.2">
      <c r="A281" s="5">
        <v>220</v>
      </c>
      <c r="B281" s="138">
        <f>'Assets-Liab 5-6'!M41</f>
        <v>260683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14868</v>
      </c>
      <c r="D719" s="2" t="str">
        <f t="shared" si="10"/>
        <v>Error?</v>
      </c>
    </row>
    <row r="720" spans="1:4" x14ac:dyDescent="0.2">
      <c r="A720" s="5">
        <v>659</v>
      </c>
      <c r="B720" s="138">
        <f>'Expenditures 15-22'!C33</f>
        <v>1303453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209520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71117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280637</v>
      </c>
      <c r="C727" s="2" t="s">
        <v>573</v>
      </c>
      <c r="D727" s="2" t="str">
        <f t="shared" si="10"/>
        <v>Error?</v>
      </c>
    </row>
    <row r="728" spans="1:4" x14ac:dyDescent="0.2">
      <c r="A728" s="5">
        <v>667</v>
      </c>
      <c r="B728" s="138">
        <f>'Expenditures 15-22'!C44</f>
        <v>3502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3502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209592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493731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1797184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1147</v>
      </c>
      <c r="D777" s="2" t="str">
        <f t="shared" si="11"/>
        <v>Error?</v>
      </c>
    </row>
    <row r="778" spans="1:4" x14ac:dyDescent="0.2">
      <c r="A778" s="5">
        <v>717</v>
      </c>
      <c r="B778" s="138">
        <f>'Expenditures 15-22'!D33</f>
        <v>224619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47013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17779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64792</v>
      </c>
      <c r="C785" s="2" t="s">
        <v>573</v>
      </c>
      <c r="D785" s="2" t="str">
        <f t="shared" si="11"/>
        <v>Error?</v>
      </c>
    </row>
    <row r="786" spans="1:4" x14ac:dyDescent="0.2">
      <c r="A786" s="5">
        <v>725</v>
      </c>
      <c r="B786" s="138">
        <f>'Expenditures 15-22'!D44</f>
        <v>500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39277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104569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329188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129532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116460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3199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119659</v>
      </c>
      <c r="C843" s="2" t="s">
        <v>573</v>
      </c>
      <c r="D843" s="2" t="str">
        <f t="shared" si="12"/>
        <v>Error?</v>
      </c>
    </row>
    <row r="844" spans="1:4" x14ac:dyDescent="0.2">
      <c r="A844" s="5">
        <v>783</v>
      </c>
      <c r="B844" s="138">
        <f>'Expenditures 15-22'!E44</f>
        <v>19692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19692</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96591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27535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27535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21218</v>
      </c>
      <c r="D870" s="2" t="str">
        <f t="shared" si="12"/>
        <v>Error?</v>
      </c>
    </row>
    <row r="871" spans="1:4" x14ac:dyDescent="0.2">
      <c r="A871" s="5">
        <v>810</v>
      </c>
      <c r="B871" s="138">
        <f>'Expenditures 15-22'!E74</f>
        <v>284695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489747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160</v>
      </c>
      <c r="D893" s="2" t="str">
        <f t="shared" si="12"/>
        <v>Error?</v>
      </c>
    </row>
    <row r="894" spans="1:4" x14ac:dyDescent="0.2">
      <c r="A894" s="5">
        <v>833</v>
      </c>
      <c r="B894" s="138">
        <f>'Expenditures 15-22'!F33</f>
        <v>56868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22118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25504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14765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40269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97137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1439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2205716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2207155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16175</v>
      </c>
      <c r="C1107" s="2" t="s">
        <v>573</v>
      </c>
      <c r="D1107" s="2" t="str">
        <f t="shared" si="16"/>
        <v>Error?</v>
      </c>
    </row>
    <row r="1108" spans="1:4" x14ac:dyDescent="0.2">
      <c r="A1108" s="5">
        <v>1047</v>
      </c>
      <c r="B1108" s="138">
        <f>'Expenditures 15-22'!K33</f>
        <v>1714472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376379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114213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490592</v>
      </c>
      <c r="C1115" s="2" t="s">
        <v>573</v>
      </c>
      <c r="D1115" s="2" t="str">
        <f t="shared" si="16"/>
        <v>Error?</v>
      </c>
    </row>
    <row r="1116" spans="1:4" x14ac:dyDescent="0.2">
      <c r="A1116" s="5">
        <v>1055</v>
      </c>
      <c r="B1116" s="138">
        <f>'Expenditures 15-22'!K44</f>
        <v>23694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23694</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361664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27535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27535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21218</v>
      </c>
      <c r="C1142" s="2" t="s">
        <v>573</v>
      </c>
      <c r="D1142" s="2" t="str">
        <f t="shared" si="16"/>
        <v>Error?</v>
      </c>
    </row>
    <row r="1143" spans="1:4" x14ac:dyDescent="0.2">
      <c r="A1143" s="5">
        <v>1082</v>
      </c>
      <c r="B1143" s="138">
        <f>'Expenditures 15-22'!K74</f>
        <v>924703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2281236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4920411</v>
      </c>
      <c r="C1152" s="2" t="s">
        <v>573</v>
      </c>
      <c r="D1152" s="2" t="str">
        <f t="shared" si="17"/>
        <v>Error?</v>
      </c>
    </row>
    <row r="1153" spans="1:4" x14ac:dyDescent="0.2">
      <c r="A1153" s="5">
        <v>1092</v>
      </c>
      <c r="B1153" s="138">
        <f>'Expenditures 15-22'!K115</f>
        <v>-27445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543852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516407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44150</v>
      </c>
      <c r="D2008" s="2" t="str">
        <f t="shared" si="30"/>
        <v>Error?</v>
      </c>
    </row>
    <row r="2009" spans="1:4" x14ac:dyDescent="0.2">
      <c r="A2009" s="5">
        <v>1948</v>
      </c>
      <c r="B2009" s="138">
        <f>'Cap Outlay Deprec 26'!C8</f>
        <v>191272</v>
      </c>
      <c r="D2009" s="2" t="str">
        <f t="shared" si="30"/>
        <v>Error?</v>
      </c>
    </row>
    <row r="2010" spans="1:4" x14ac:dyDescent="0.2">
      <c r="A2010" s="5">
        <v>1949</v>
      </c>
      <c r="B2010" s="138">
        <f>'Cap Outlay Deprec 26'!C10</f>
        <v>17402</v>
      </c>
      <c r="D2010" s="2" t="str">
        <f t="shared" si="30"/>
        <v>Error?</v>
      </c>
    </row>
    <row r="2011" spans="1:4" x14ac:dyDescent="0.2">
      <c r="A2011" s="5">
        <v>1950</v>
      </c>
      <c r="B2011" s="138">
        <f>'Cap Outlay Deprec 26'!C12</f>
        <v>7859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260683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44150</v>
      </c>
      <c r="C2026" s="2" t="s">
        <v>573</v>
      </c>
      <c r="D2026" s="2" t="str">
        <f t="shared" si="30"/>
        <v>Error?</v>
      </c>
    </row>
    <row r="2027" spans="1:4" x14ac:dyDescent="0.2">
      <c r="A2027" s="5">
        <v>1966</v>
      </c>
      <c r="B2027" s="138">
        <f>'Cap Outlay Deprec 26'!F8</f>
        <v>191272</v>
      </c>
      <c r="C2027" s="2" t="s">
        <v>573</v>
      </c>
      <c r="D2027" s="2" t="str">
        <f t="shared" si="30"/>
        <v>Error?</v>
      </c>
    </row>
    <row r="2028" spans="1:4" x14ac:dyDescent="0.2">
      <c r="A2028" s="5">
        <v>1967</v>
      </c>
      <c r="B2028" s="138">
        <f>'Cap Outlay Deprec 26'!F10</f>
        <v>17402</v>
      </c>
      <c r="C2028" s="2" t="s">
        <v>573</v>
      </c>
      <c r="D2028" s="2" t="str">
        <f t="shared" si="30"/>
        <v>Error?</v>
      </c>
    </row>
    <row r="2029" spans="1:4" x14ac:dyDescent="0.2">
      <c r="A2029" s="5">
        <v>1968</v>
      </c>
      <c r="B2029" s="138">
        <f>'Cap Outlay Deprec 26'!F12</f>
        <v>7859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260683</v>
      </c>
      <c r="C2031" s="2" t="s">
        <v>573</v>
      </c>
      <c r="D2031" s="2" t="str">
        <f t="shared" si="30"/>
        <v>Error?</v>
      </c>
    </row>
    <row r="2032" spans="1:4" x14ac:dyDescent="0.2">
      <c r="A2032" s="10">
        <v>1971</v>
      </c>
      <c r="D2032" s="2" t="str">
        <f t="shared" si="30"/>
        <v>OK</v>
      </c>
    </row>
    <row r="2033" spans="1:4" x14ac:dyDescent="0.2">
      <c r="A2033" s="5">
        <v>1972</v>
      </c>
      <c r="B2033" s="138">
        <f>'Cap Outlay Deprec 26'!H8</f>
        <v>140761</v>
      </c>
      <c r="D2033" s="2" t="str">
        <f t="shared" si="30"/>
        <v>Error?</v>
      </c>
    </row>
    <row r="2034" spans="1:4" x14ac:dyDescent="0.2">
      <c r="A2034" s="5">
        <v>1973</v>
      </c>
      <c r="B2034" s="138">
        <f>'Cap Outlay Deprec 26'!H10</f>
        <v>17402</v>
      </c>
      <c r="D2034" s="2" t="str">
        <f t="shared" si="30"/>
        <v>Error?</v>
      </c>
    </row>
    <row r="2035" spans="1:4" x14ac:dyDescent="0.2">
      <c r="A2035" s="5">
        <v>1974</v>
      </c>
      <c r="B2035" s="138">
        <f>'Cap Outlay Deprec 26'!H12</f>
        <v>6971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165134</v>
      </c>
      <c r="C2037" s="2" t="s">
        <v>573</v>
      </c>
      <c r="D2037" s="2" t="str">
        <f t="shared" si="30"/>
        <v>Error?</v>
      </c>
    </row>
    <row r="2038" spans="1:4" x14ac:dyDescent="0.2">
      <c r="A2038" s="10">
        <v>1977</v>
      </c>
      <c r="D2038" s="2" t="str">
        <f t="shared" si="30"/>
        <v>OK</v>
      </c>
    </row>
    <row r="2039" spans="1:4" x14ac:dyDescent="0.2">
      <c r="A2039" s="5">
        <v>1978</v>
      </c>
      <c r="B2039" s="138">
        <f>'Cap Outlay Deprec 26'!I8</f>
        <v>3825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786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4611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144586</v>
      </c>
      <c r="C2051" s="2" t="s">
        <v>573</v>
      </c>
      <c r="D2051" s="2" t="str">
        <f t="shared" si="31"/>
        <v>Error?</v>
      </c>
    </row>
    <row r="2052" spans="1:4" x14ac:dyDescent="0.2">
      <c r="A2052" s="5">
        <v>1991</v>
      </c>
      <c r="B2052" s="138">
        <f>'Cap Outlay Deprec 26'!K10</f>
        <v>17402</v>
      </c>
      <c r="C2052" s="2" t="s">
        <v>573</v>
      </c>
      <c r="D2052" s="2" t="str">
        <f t="shared" si="31"/>
        <v>Error?</v>
      </c>
    </row>
    <row r="2053" spans="1:4" x14ac:dyDescent="0.2">
      <c r="A2053" s="5">
        <v>1992</v>
      </c>
      <c r="B2053" s="138">
        <f>'Cap Outlay Deprec 26'!K12</f>
        <v>7757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169745</v>
      </c>
      <c r="C2055" s="2" t="s">
        <v>573</v>
      </c>
      <c r="D2055" s="2" t="str">
        <f t="shared" si="31"/>
        <v>Error?</v>
      </c>
    </row>
    <row r="2056" spans="1:4" x14ac:dyDescent="0.2">
      <c r="A2056" s="5">
        <v>1995</v>
      </c>
      <c r="B2056" s="138">
        <f>'Cap Outlay Deprec 26'!L5</f>
        <v>44150</v>
      </c>
      <c r="C2056" s="2" t="s">
        <v>573</v>
      </c>
      <c r="D2056" s="2" t="str">
        <f t="shared" si="31"/>
        <v>Error?</v>
      </c>
    </row>
    <row r="2057" spans="1:4" x14ac:dyDescent="0.2">
      <c r="A2057" s="5">
        <v>1996</v>
      </c>
      <c r="B2057" s="138">
        <f>'Cap Outlay Deprec 26'!L8</f>
        <v>46686</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102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90938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2205716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2281236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2236865</v>
      </c>
      <c r="C2551" s="2" t="s">
        <v>573</v>
      </c>
      <c r="D2551" s="2" t="str">
        <f t="shared" si="38"/>
        <v>Error?</v>
      </c>
    </row>
    <row r="2552" spans="1:4" x14ac:dyDescent="0.2">
      <c r="A2552" s="10">
        <v>2491</v>
      </c>
      <c r="D2552" s="2" t="str">
        <f t="shared" si="38"/>
        <v>OK</v>
      </c>
    </row>
    <row r="2553" spans="1:4" x14ac:dyDescent="0.2">
      <c r="A2553" s="5">
        <v>2492</v>
      </c>
      <c r="B2553" s="138">
        <f>'Acct Summary 7-8'!C6</f>
        <v>306966</v>
      </c>
      <c r="C2553" s="2" t="s">
        <v>573</v>
      </c>
      <c r="D2553" s="2" t="str">
        <f t="shared" si="38"/>
        <v>Error?</v>
      </c>
    </row>
    <row r="2554" spans="1:4" x14ac:dyDescent="0.2">
      <c r="A2554" s="5">
        <v>2493</v>
      </c>
      <c r="B2554" s="138">
        <f>'Acct Summary 7-8'!C7</f>
        <v>231796</v>
      </c>
      <c r="C2554" s="2" t="s">
        <v>573</v>
      </c>
      <c r="D2554" s="2" t="str">
        <f t="shared" si="38"/>
        <v>Error?</v>
      </c>
    </row>
    <row r="2555" spans="1:4" x14ac:dyDescent="0.2">
      <c r="A2555" s="5">
        <v>2494</v>
      </c>
      <c r="B2555" s="138">
        <f>'Acct Summary 7-8'!C8</f>
        <v>4892966</v>
      </c>
      <c r="C2555" s="2" t="s">
        <v>573</v>
      </c>
      <c r="D2555" s="2" t="str">
        <f t="shared" si="38"/>
        <v>Error?</v>
      </c>
    </row>
    <row r="2556" spans="1:4" x14ac:dyDescent="0.2">
      <c r="A2556" s="5">
        <v>2495</v>
      </c>
      <c r="B2556" s="138">
        <f>'Acct Summary 7-8'!C12</f>
        <v>1714472</v>
      </c>
      <c r="C2556" s="2" t="s">
        <v>573</v>
      </c>
      <c r="D2556" s="2" t="str">
        <f t="shared" si="38"/>
        <v>Error?</v>
      </c>
    </row>
    <row r="2557" spans="1:4" x14ac:dyDescent="0.2">
      <c r="A2557" s="5">
        <v>2496</v>
      </c>
      <c r="B2557" s="138">
        <f>'Acct Summary 7-8'!C13</f>
        <v>924703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2281236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4920411</v>
      </c>
      <c r="C2561" s="2" t="s">
        <v>573</v>
      </c>
      <c r="D2561" s="2" t="str">
        <f t="shared" si="39"/>
        <v>Error?</v>
      </c>
    </row>
    <row r="2562" spans="1:4" x14ac:dyDescent="0.2">
      <c r="A2562" s="5">
        <v>2501</v>
      </c>
      <c r="B2562" s="138">
        <f>'Acct Summary 7-8'!C20</f>
        <v>-27445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209592</v>
      </c>
      <c r="D2718" s="2" t="str">
        <f t="shared" si="41"/>
        <v>Error?</v>
      </c>
    </row>
    <row r="2719" spans="1:4" x14ac:dyDescent="0.2">
      <c r="A2719" s="5">
        <v>2658</v>
      </c>
      <c r="B2719" s="138">
        <f>'Expenditures 15-22'!D51</f>
        <v>39277</v>
      </c>
      <c r="D2719" s="2" t="str">
        <f t="shared" si="41"/>
        <v>Error?</v>
      </c>
    </row>
    <row r="2720" spans="1:4" x14ac:dyDescent="0.2">
      <c r="A2720" s="5">
        <v>2659</v>
      </c>
      <c r="B2720" s="138">
        <f>'Expenditures 15-22'!E51</f>
        <v>96591</v>
      </c>
      <c r="D2720" s="2" t="str">
        <f t="shared" si="41"/>
        <v>Error?</v>
      </c>
    </row>
    <row r="2721" spans="1:4" x14ac:dyDescent="0.2">
      <c r="A2721" s="5">
        <v>2660</v>
      </c>
      <c r="B2721" s="138">
        <f>'Expenditures 15-22'!F51</f>
        <v>14765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1439</v>
      </c>
      <c r="D2723" s="2" t="str">
        <f t="shared" si="41"/>
        <v>Error?</v>
      </c>
    </row>
    <row r="2724" spans="1:4" x14ac:dyDescent="0.2">
      <c r="A2724" s="5">
        <v>2663</v>
      </c>
      <c r="B2724" s="138">
        <f>'Expenditures 15-22'!K51</f>
        <v>361664</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75520</v>
      </c>
      <c r="C2789" s="2" t="s">
        <v>573</v>
      </c>
      <c r="D2789" s="2" t="str">
        <f t="shared" si="42"/>
        <v>Error?</v>
      </c>
    </row>
    <row r="2790" spans="1:4" x14ac:dyDescent="0.2">
      <c r="A2790" s="5">
        <v>2729</v>
      </c>
      <c r="B2790" s="138">
        <f>'Expenditures 15-22'!E102</f>
        <v>75520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75520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2205716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2281236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-27445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1288585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223472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129532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56708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1698297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2117339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436367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744031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5636997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744031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5664442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516407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29123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91030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2219791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2219791</v>
      </c>
      <c r="C5087" s="2" t="s">
        <v>573</v>
      </c>
      <c r="D5087" s="2" t="str">
        <f t="shared" si="78"/>
        <v>Error?</v>
      </c>
    </row>
    <row r="5088" spans="1:4" x14ac:dyDescent="0.2">
      <c r="A5088" s="5">
        <v>5027</v>
      </c>
      <c r="B5088" s="138">
        <f>'Revenues 9-14'!C65</f>
        <v>111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11340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5623</v>
      </c>
      <c r="D5119" s="2" t="str">
        <f t="shared" ref="D5119:D5182" si="79">IF(ISBLANK(B5119),"OK",IF(A5119-B5119=0,"OK","Error?"))</f>
        <v>Error?</v>
      </c>
    </row>
    <row r="5120" spans="1:4" x14ac:dyDescent="0.2">
      <c r="A5120" s="5">
        <v>5059</v>
      </c>
      <c r="B5120" s="138">
        <f>'Revenues 9-14'!C108</f>
        <v>16963</v>
      </c>
      <c r="C5120" s="2" t="s">
        <v>573</v>
      </c>
      <c r="D5120" s="2" t="str">
        <f t="shared" si="79"/>
        <v>Error?</v>
      </c>
    </row>
    <row r="5121" spans="1:4" x14ac:dyDescent="0.2">
      <c r="A5121" s="5">
        <v>5060</v>
      </c>
      <c r="B5121" s="138">
        <f>'Revenues 9-14'!C109</f>
        <v>2236865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2117339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2117339</v>
      </c>
      <c r="C5125" s="2" t="s">
        <v>573</v>
      </c>
      <c r="D5125" s="2" t="str">
        <f t="shared" si="79"/>
        <v>Error?</v>
      </c>
    </row>
    <row r="5126" spans="1:4" x14ac:dyDescent="0.2">
      <c r="A5126" s="5">
        <v>5065</v>
      </c>
      <c r="B5126" s="138">
        <f>'Revenues 9-14'!C117</f>
        <v>306966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306966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306966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3793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107850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111643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231796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231796</v>
      </c>
      <c r="C5326" s="2" t="s">
        <v>573</v>
      </c>
      <c r="D5326" s="2" t="str">
        <f t="shared" si="82"/>
        <v>Error?</v>
      </c>
    </row>
    <row r="5327" spans="1:5" x14ac:dyDescent="0.2">
      <c r="A5327" s="5">
        <v>5266</v>
      </c>
      <c r="B5327" s="138">
        <f>'Revenues 9-14'!C268</f>
        <v>4892966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422873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328324</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14509</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-27445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-5.3146065022356394E-2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N3" sqref="N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1986</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Region III Spec Ed Coop</v>
      </c>
      <c r="B7" s="2385"/>
      <c r="C7" s="2385"/>
      <c r="D7" s="2422"/>
      <c r="E7" s="2423">
        <f>COVER!A13</f>
        <v>41057801060</v>
      </c>
      <c r="F7" s="2424"/>
      <c r="G7" s="2391" t="str">
        <f>COVER!T23</f>
        <v>066-005060</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DENNIS ROSE &amp; ASSOCIATES, P.C.</v>
      </c>
      <c r="H9" s="2398"/>
      <c r="I9" s="2398"/>
      <c r="J9" s="2398"/>
      <c r="K9" s="2398"/>
      <c r="L9" s="2399"/>
    </row>
    <row r="10" spans="1:29" ht="13.5" customHeight="1" x14ac:dyDescent="0.2">
      <c r="A10" s="2381">
        <f>COVER!A38</f>
        <v>0</v>
      </c>
      <c r="B10" s="2382"/>
      <c r="C10" s="2382"/>
      <c r="D10" s="2382"/>
      <c r="E10" s="2382"/>
      <c r="F10" s="2383"/>
      <c r="G10" s="2397" t="str">
        <f>COVER!T17</f>
        <v>1904 STATE STREET</v>
      </c>
      <c r="H10" s="2410"/>
      <c r="I10" s="2410"/>
      <c r="J10" s="2410"/>
      <c r="K10" s="2410"/>
      <c r="L10" s="2411"/>
    </row>
    <row r="11" spans="1:29" ht="13.5" customHeight="1" x14ac:dyDescent="0.2">
      <c r="A11" s="1184" t="s">
        <v>1519</v>
      </c>
      <c r="B11" s="1185"/>
      <c r="C11" s="1186"/>
      <c r="D11" s="1191"/>
      <c r="E11" s="1186"/>
      <c r="F11" s="1190"/>
      <c r="G11" s="2397" t="str">
        <f>COVER!T19</f>
        <v>ALTON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DROSECPA@DRA-CPA.COM</v>
      </c>
      <c r="J13" s="2419"/>
      <c r="K13" s="2419"/>
      <c r="L13" s="2420"/>
    </row>
    <row r="14" spans="1:29" ht="13.5" customHeight="1" x14ac:dyDescent="0.2">
      <c r="A14" s="2397" t="str">
        <f>COVER!A19</f>
        <v>1800 STOREY LANE</v>
      </c>
      <c r="B14" s="2410"/>
      <c r="C14" s="2410"/>
      <c r="D14" s="2410"/>
      <c r="E14" s="2410"/>
      <c r="F14" s="2411"/>
      <c r="G14" s="1195" t="s">
        <v>1185</v>
      </c>
      <c r="H14" s="1193"/>
      <c r="I14" s="1193"/>
      <c r="J14" s="1193"/>
      <c r="K14" s="1193"/>
      <c r="L14" s="1194"/>
    </row>
    <row r="15" spans="1:29" ht="13.5" customHeight="1" x14ac:dyDescent="0.2">
      <c r="A15" s="2397" t="str">
        <f>COVER!A21</f>
        <v>COTTAGE HILLS</v>
      </c>
      <c r="B15" s="2410"/>
      <c r="C15" s="2410"/>
      <c r="D15" s="2410"/>
      <c r="E15" s="2410"/>
      <c r="F15" s="2411"/>
      <c r="G15" s="2407" t="str">
        <f>COVER!T15</f>
        <v>DENNIS ROSE</v>
      </c>
      <c r="H15" s="2408"/>
      <c r="I15" s="2408"/>
      <c r="J15" s="2408"/>
      <c r="K15" s="2408"/>
      <c r="L15" s="2409"/>
    </row>
    <row r="16" spans="1:29" ht="12.2" customHeight="1" x14ac:dyDescent="0.2">
      <c r="A16" s="2387">
        <f>COVER!A25</f>
        <v>62018</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618-465-4999</v>
      </c>
      <c r="H18" s="2385"/>
      <c r="I18" s="2385"/>
      <c r="J18" s="2385"/>
      <c r="K18" s="2384" t="str">
        <f>COVER!X21</f>
        <v>618-465-5050</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7" fitToHeight="0" orientation="portrait" r:id="rId1"/>
  <headerFoot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19" zoomScale="125" zoomScaleNormal="125" workbookViewId="0">
      <selection activeCell="D61" sqref="D6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Region III Spec Ed Coop</v>
      </c>
      <c r="B1" s="2421"/>
      <c r="C1" s="2421"/>
      <c r="D1" s="2421"/>
    </row>
    <row r="2" spans="1:11" s="1212" customFormat="1" ht="12.75" x14ac:dyDescent="0.2">
      <c r="A2" s="2426">
        <f>'Single Audit Cover'!E7</f>
        <v>41057801060</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0.75" bottom="0.5" header="0.5" footer="0.5"/>
  <pageSetup scale="65" firstPageNumber="36"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Region III Spec Ed Coop</v>
      </c>
      <c r="B1" s="2429"/>
      <c r="C1" s="2429"/>
      <c r="D1" s="2429"/>
      <c r="E1" s="2429"/>
    </row>
    <row r="2" spans="1:5" x14ac:dyDescent="0.2">
      <c r="A2" s="2430">
        <f>'Single Audit Cover'!E7</f>
        <v>41057801060</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231796</v>
      </c>
    </row>
    <row r="11" spans="1:5" ht="18" customHeight="1" x14ac:dyDescent="0.2">
      <c r="A11" s="1258" t="s">
        <v>1240</v>
      </c>
      <c r="B11" s="1259"/>
      <c r="C11" s="1259"/>
    </row>
    <row r="12" spans="1:5" x14ac:dyDescent="0.2">
      <c r="A12" s="1258" t="s">
        <v>1239</v>
      </c>
      <c r="B12" s="1259" t="s">
        <v>1238</v>
      </c>
      <c r="C12" s="1259"/>
      <c r="D12" s="1261">
        <f>SUM('Revenues 9-14'!C112:D112,'Revenues 9-14'!F112:G112)</f>
        <v>2117339</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-91030</v>
      </c>
    </row>
    <row r="19" spans="1:4" ht="13.5" thickBot="1" x14ac:dyDescent="0.25">
      <c r="A19" s="1262" t="s">
        <v>1235</v>
      </c>
      <c r="D19" s="1263">
        <f>SUM(D10:D17)</f>
        <v>2258105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2258105</v>
      </c>
    </row>
    <row r="33" spans="1:4" x14ac:dyDescent="0.2">
      <c r="D33" s="1266"/>
    </row>
    <row r="34" spans="1:4" x14ac:dyDescent="0.2">
      <c r="A34" s="317" t="s">
        <v>1232</v>
      </c>
    </row>
    <row r="35" spans="1:4" x14ac:dyDescent="0.2">
      <c r="A35" s="317" t="s">
        <v>1231</v>
      </c>
      <c r="B35" s="1255" t="s">
        <v>1230</v>
      </c>
      <c r="D35" s="1267">
        <f>+' SEFA (1)'!F27</f>
        <v>2258105</v>
      </c>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2258105</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1"/>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B02C9-DA11-4876-AD12-9A7DFFE1EF08}">
  <dimension ref="B1:N152"/>
  <sheetViews>
    <sheetView showGridLines="0" zoomScaleNormal="100" workbookViewId="0">
      <selection activeCell="J14" sqref="J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Region III Spec Ed Coop</v>
      </c>
      <c r="C1" s="2433"/>
      <c r="D1" s="2433"/>
      <c r="E1" s="2433"/>
      <c r="F1" s="2433"/>
      <c r="G1" s="2433"/>
      <c r="H1" s="2433"/>
      <c r="I1" s="2433"/>
      <c r="J1" s="2433"/>
      <c r="K1" s="2433"/>
      <c r="L1" s="2433"/>
      <c r="M1" s="2433"/>
    </row>
    <row r="2" spans="2:14" ht="15" x14ac:dyDescent="0.2">
      <c r="B2" s="2434">
        <f>'Single Audit Cover'!E7</f>
        <v>41057801060</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2079</v>
      </c>
      <c r="C11" s="1335"/>
      <c r="D11" s="1336"/>
      <c r="E11" s="1337"/>
      <c r="F11" s="1337"/>
      <c r="G11" s="1337"/>
      <c r="H11" s="1337"/>
      <c r="I11" s="1337"/>
      <c r="J11" s="1337"/>
      <c r="K11" s="1337"/>
      <c r="L11" s="1337">
        <f>+G11+I11+K11</f>
        <v>0</v>
      </c>
      <c r="M11" s="1337"/>
    </row>
    <row r="12" spans="2:14" ht="20.100000000000001" customHeight="1" x14ac:dyDescent="0.2">
      <c r="B12" s="1334" t="s">
        <v>2080</v>
      </c>
      <c r="C12" s="1338"/>
      <c r="D12" s="1339"/>
      <c r="E12" s="1340"/>
      <c r="F12" s="1340"/>
      <c r="G12" s="1340"/>
      <c r="H12" s="1340"/>
      <c r="I12" s="1340"/>
      <c r="J12" s="1340"/>
      <c r="K12" s="1340"/>
      <c r="L12" s="1337">
        <f t="shared" ref="L12:L26" si="0">+G12+I12+K12</f>
        <v>0</v>
      </c>
      <c r="M12" s="1340"/>
    </row>
    <row r="13" spans="2:14" ht="20.100000000000001" customHeight="1" x14ac:dyDescent="0.2">
      <c r="B13" s="1334" t="s">
        <v>2081</v>
      </c>
      <c r="C13" s="1338" t="s">
        <v>2084</v>
      </c>
      <c r="D13" s="1339" t="s">
        <v>2086</v>
      </c>
      <c r="E13" s="1340">
        <v>117425</v>
      </c>
      <c r="F13" s="1340">
        <v>3218</v>
      </c>
      <c r="G13" s="1340">
        <v>117425</v>
      </c>
      <c r="H13" s="1340">
        <v>112435</v>
      </c>
      <c r="I13" s="1340">
        <v>3218</v>
      </c>
      <c r="J13" s="1340">
        <v>3218</v>
      </c>
      <c r="K13" s="1340"/>
      <c r="L13" s="1337">
        <f t="shared" si="0"/>
        <v>120643</v>
      </c>
      <c r="M13" s="1340">
        <v>145760</v>
      </c>
    </row>
    <row r="14" spans="2:14" ht="20.100000000000001" customHeight="1" x14ac:dyDescent="0.2">
      <c r="B14" s="1334" t="s">
        <v>2081</v>
      </c>
      <c r="C14" s="1338" t="s">
        <v>2084</v>
      </c>
      <c r="D14" s="1339" t="s">
        <v>2087</v>
      </c>
      <c r="E14" s="1340"/>
      <c r="F14" s="1340">
        <f>15047+84203+15676</f>
        <v>114926</v>
      </c>
      <c r="G14" s="1340"/>
      <c r="H14" s="1340"/>
      <c r="I14" s="1340">
        <v>114926</v>
      </c>
      <c r="J14" s="1340">
        <v>114351</v>
      </c>
      <c r="K14" s="1340"/>
      <c r="L14" s="1337">
        <f t="shared" si="0"/>
        <v>114926</v>
      </c>
      <c r="M14" s="1340">
        <v>156034</v>
      </c>
    </row>
    <row r="15" spans="2:14" ht="20.100000000000001" customHeight="1" x14ac:dyDescent="0.2">
      <c r="B15" s="1334" t="s">
        <v>2082</v>
      </c>
      <c r="C15" s="1338" t="s">
        <v>2085</v>
      </c>
      <c r="D15" s="1339" t="s">
        <v>2088</v>
      </c>
      <c r="E15" s="1340">
        <v>2088721</v>
      </c>
      <c r="F15" s="1340">
        <v>27347</v>
      </c>
      <c r="G15" s="1340">
        <v>2088721</v>
      </c>
      <c r="H15" s="1340">
        <v>1997367</v>
      </c>
      <c r="I15" s="1340">
        <v>27347</v>
      </c>
      <c r="J15" s="1340">
        <v>27347</v>
      </c>
      <c r="K15" s="1340"/>
      <c r="L15" s="1337">
        <f t="shared" si="0"/>
        <v>2116068</v>
      </c>
      <c r="M15" s="1340">
        <v>2229056</v>
      </c>
    </row>
    <row r="16" spans="2:14" ht="20.100000000000001" customHeight="1" x14ac:dyDescent="0.2">
      <c r="B16" s="1334" t="s">
        <v>2082</v>
      </c>
      <c r="C16" s="1338" t="s">
        <v>2085</v>
      </c>
      <c r="D16" s="1339" t="s">
        <v>2089</v>
      </c>
      <c r="E16" s="1340"/>
      <c r="F16" s="1340">
        <v>2083491</v>
      </c>
      <c r="G16" s="1340"/>
      <c r="H16" s="1340"/>
      <c r="I16" s="1340">
        <v>2083491</v>
      </c>
      <c r="J16" s="1340">
        <v>2002987</v>
      </c>
      <c r="K16" s="1340"/>
      <c r="L16" s="1337">
        <f t="shared" si="0"/>
        <v>2083491</v>
      </c>
      <c r="M16" s="1340">
        <v>2319040</v>
      </c>
    </row>
    <row r="17" spans="2:14" ht="20.100000000000001" customHeight="1" x14ac:dyDescent="0.2">
      <c r="B17" s="1334" t="s">
        <v>2083</v>
      </c>
      <c r="C17" s="1338"/>
      <c r="D17" s="1339"/>
      <c r="E17" s="1340">
        <f t="shared" ref="E17:J17" si="1">SUM(E13:E16)</f>
        <v>2206146</v>
      </c>
      <c r="F17" s="1340">
        <f t="shared" si="1"/>
        <v>2228982</v>
      </c>
      <c r="G17" s="1340">
        <f t="shared" si="1"/>
        <v>2206146</v>
      </c>
      <c r="H17" s="1340">
        <f t="shared" si="1"/>
        <v>2109802</v>
      </c>
      <c r="I17" s="1340">
        <f t="shared" si="1"/>
        <v>2228982</v>
      </c>
      <c r="J17" s="1340">
        <f t="shared" si="1"/>
        <v>2147903</v>
      </c>
      <c r="K17" s="1340"/>
      <c r="L17" s="1340">
        <f>SUM(L13:L16)</f>
        <v>4435128</v>
      </c>
      <c r="M17" s="1340">
        <f>SUM(M13:M16)</f>
        <v>4849890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2090</v>
      </c>
      <c r="C19" s="1338"/>
      <c r="D19" s="1339"/>
      <c r="E19" s="1340"/>
      <c r="F19" s="1340"/>
      <c r="G19" s="1340"/>
      <c r="H19" s="1340"/>
      <c r="I19" s="1340"/>
      <c r="J19" s="1340"/>
      <c r="K19" s="1340"/>
      <c r="L19" s="1337">
        <f t="shared" si="0"/>
        <v>0</v>
      </c>
      <c r="M19" s="1340"/>
    </row>
    <row r="20" spans="2:14" ht="20.100000000000001" customHeight="1" x14ac:dyDescent="0.2">
      <c r="B20" s="1334" t="s">
        <v>2091</v>
      </c>
      <c r="C20" s="1338"/>
      <c r="D20" s="1339"/>
      <c r="E20" s="1340"/>
      <c r="F20" s="1340"/>
      <c r="G20" s="1340"/>
      <c r="H20" s="1340"/>
      <c r="I20" s="1340"/>
      <c r="J20" s="1340"/>
      <c r="K20" s="1340"/>
      <c r="L20" s="1337">
        <f t="shared" si="0"/>
        <v>0</v>
      </c>
      <c r="M20" s="1340"/>
    </row>
    <row r="21" spans="2:14" ht="20.100000000000001" customHeight="1" x14ac:dyDescent="0.2">
      <c r="B21" s="1334" t="s">
        <v>2092</v>
      </c>
      <c r="C21" s="1338">
        <v>93.778000000000006</v>
      </c>
      <c r="D21" s="1339" t="s">
        <v>2093</v>
      </c>
      <c r="E21" s="1340"/>
      <c r="F21" s="1340">
        <v>29123</v>
      </c>
      <c r="G21" s="1340"/>
      <c r="H21" s="1340"/>
      <c r="I21" s="1340">
        <v>29123</v>
      </c>
      <c r="J21" s="1340"/>
      <c r="K21" s="1340"/>
      <c r="L21" s="1337">
        <f t="shared" si="0"/>
        <v>29123</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2094</v>
      </c>
      <c r="C27" s="1338"/>
      <c r="D27" s="1339"/>
      <c r="E27" s="1340">
        <f t="shared" ref="E27:J27" si="2">+E21+E17</f>
        <v>2206146</v>
      </c>
      <c r="F27" s="1340">
        <f t="shared" si="2"/>
        <v>2258105</v>
      </c>
      <c r="G27" s="1340">
        <f t="shared" si="2"/>
        <v>2206146</v>
      </c>
      <c r="H27" s="1340">
        <f t="shared" si="2"/>
        <v>2109802</v>
      </c>
      <c r="I27" s="1340">
        <f t="shared" si="2"/>
        <v>2258105</v>
      </c>
      <c r="J27" s="1340">
        <f t="shared" si="2"/>
        <v>2147903</v>
      </c>
      <c r="K27" s="1340"/>
      <c r="L27" s="1340">
        <f>+L21+L17</f>
        <v>4464251</v>
      </c>
      <c r="M27" s="1340">
        <f>+M21+M17</f>
        <v>4849890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5" bottom="0.5" header="0.5" footer="0.5"/>
  <pageSetup scale="74" firstPageNumber="38" orientation="landscape" r:id="rId1"/>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M22" sqref="M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Region III Spec Ed Coop</v>
      </c>
      <c r="C1" s="2433"/>
      <c r="D1" s="2433"/>
      <c r="E1" s="2433"/>
      <c r="F1" s="2433"/>
      <c r="G1" s="2433"/>
      <c r="H1" s="2433"/>
      <c r="I1" s="2433"/>
      <c r="J1" s="2433"/>
      <c r="K1" s="2433"/>
      <c r="L1" s="2433"/>
      <c r="M1" s="2433"/>
    </row>
    <row r="2" spans="2:14" ht="15" x14ac:dyDescent="0.2">
      <c r="B2" s="2434">
        <f>'Single Audit Cover'!E7</f>
        <v>41057801060</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2095</v>
      </c>
      <c r="C11" s="1335"/>
      <c r="D11" s="1336"/>
      <c r="E11" s="1337"/>
      <c r="F11" s="1337"/>
      <c r="G11" s="1337"/>
      <c r="H11" s="1337"/>
      <c r="I11" s="1337"/>
      <c r="J11" s="1337"/>
      <c r="K11" s="1337"/>
      <c r="L11" s="1337">
        <f>+G11+I11+K11</f>
        <v>0</v>
      </c>
      <c r="M11" s="1337"/>
    </row>
    <row r="12" spans="2:14" ht="20.100000000000001" customHeight="1" x14ac:dyDescent="0.2">
      <c r="B12" s="1334" t="s">
        <v>2096</v>
      </c>
      <c r="C12" s="1338"/>
      <c r="D12" s="1339"/>
      <c r="E12" s="1340">
        <f>+' SEFA (1)'!E13+' SEFA (1)'!E14</f>
        <v>117425</v>
      </c>
      <c r="F12" s="1340">
        <f>+' SEFA (1)'!F13+' SEFA (1)'!F14</f>
        <v>118144</v>
      </c>
      <c r="G12" s="1340">
        <f>+' SEFA (1)'!G13+' SEFA (1)'!G14</f>
        <v>117425</v>
      </c>
      <c r="H12" s="1340">
        <f>+' SEFA (1)'!H13+' SEFA (1)'!H14</f>
        <v>112435</v>
      </c>
      <c r="I12" s="1340">
        <f>+' SEFA (1)'!I13+' SEFA (1)'!I14</f>
        <v>118144</v>
      </c>
      <c r="J12" s="1340">
        <f>+' SEFA (1)'!J13+' SEFA (1)'!J14</f>
        <v>117569</v>
      </c>
      <c r="K12" s="1340">
        <f>+' SEFA (1)'!K13+' SEFA (1)'!K14</f>
        <v>0</v>
      </c>
      <c r="L12" s="1340">
        <f>+' SEFA (1)'!L13+' SEFA (1)'!L14</f>
        <v>235569</v>
      </c>
      <c r="M12" s="1340">
        <f>+' SEFA (1)'!M13+' SEFA (1)'!M14</f>
        <v>301794</v>
      </c>
    </row>
    <row r="13" spans="2:14" ht="20.100000000000001" customHeight="1" x14ac:dyDescent="0.2">
      <c r="B13" s="1334" t="s">
        <v>2097</v>
      </c>
      <c r="C13" s="1338"/>
      <c r="D13" s="1339"/>
      <c r="E13" s="1340">
        <f>+' SEFA (1)'!E15+' SEFA (1)'!E16</f>
        <v>2088721</v>
      </c>
      <c r="F13" s="1340">
        <f>+' SEFA (1)'!F15+' SEFA (1)'!F16</f>
        <v>2110838</v>
      </c>
      <c r="G13" s="1340">
        <f>+' SEFA (1)'!G15+' SEFA (1)'!G16</f>
        <v>2088721</v>
      </c>
      <c r="H13" s="1340">
        <f>+' SEFA (1)'!H15+' SEFA (1)'!H16</f>
        <v>1997367</v>
      </c>
      <c r="I13" s="1340">
        <f>+' SEFA (1)'!I15+' SEFA (1)'!I16</f>
        <v>2110838</v>
      </c>
      <c r="J13" s="1340">
        <f>+' SEFA (1)'!J15+' SEFA (1)'!J16</f>
        <v>2030334</v>
      </c>
      <c r="K13" s="1340">
        <f>+' SEFA (1)'!K15+' SEFA (1)'!K16</f>
        <v>0</v>
      </c>
      <c r="L13" s="1340">
        <f>+' SEFA (1)'!L15+' SEFA (1)'!L16</f>
        <v>4199559</v>
      </c>
      <c r="M13" s="1340">
        <f>+' SEFA (1)'!M15+' SEFA (1)'!M16</f>
        <v>4548096</v>
      </c>
    </row>
    <row r="14" spans="2:14" ht="20.100000000000001" customHeight="1" x14ac:dyDescent="0.2">
      <c r="B14" s="1334" t="s">
        <v>2098</v>
      </c>
      <c r="C14" s="1338"/>
      <c r="D14" s="1339"/>
      <c r="E14" s="1340">
        <f>+' SEFA (1)'!E21</f>
        <v>0</v>
      </c>
      <c r="F14" s="1340">
        <f>+' SEFA (1)'!F21</f>
        <v>29123</v>
      </c>
      <c r="G14" s="1340">
        <f>+' SEFA (1)'!G21</f>
        <v>0</v>
      </c>
      <c r="H14" s="1340">
        <f>+' SEFA (1)'!H21</f>
        <v>0</v>
      </c>
      <c r="I14" s="1340">
        <f>+' SEFA (1)'!I21</f>
        <v>29123</v>
      </c>
      <c r="J14" s="1340">
        <f>+' SEFA (1)'!J21</f>
        <v>0</v>
      </c>
      <c r="K14" s="1340">
        <f>+' SEFA (1)'!K21</f>
        <v>0</v>
      </c>
      <c r="L14" s="1340">
        <f>+' SEFA (1)'!L21</f>
        <v>29123</v>
      </c>
      <c r="M14" s="1340">
        <f>+' SEFA (1)'!M21</f>
        <v>0</v>
      </c>
    </row>
    <row r="15" spans="2:14" ht="20.100000000000001" customHeight="1" x14ac:dyDescent="0.2">
      <c r="B15" s="1334" t="s">
        <v>1169</v>
      </c>
      <c r="C15" s="1338"/>
      <c r="D15" s="1339"/>
      <c r="E15" s="1340"/>
      <c r="F15" s="1340"/>
      <c r="G15" s="1340"/>
      <c r="H15" s="1340"/>
      <c r="I15" s="1340"/>
      <c r="J15" s="1340"/>
      <c r="K15" s="1340"/>
      <c r="L15" s="1340"/>
      <c r="M15" s="1340"/>
    </row>
    <row r="16" spans="2:14" ht="20.100000000000001" customHeight="1" x14ac:dyDescent="0.2">
      <c r="B16" s="1334" t="s">
        <v>2099</v>
      </c>
      <c r="C16" s="1338"/>
      <c r="D16" s="1339"/>
      <c r="E16" s="1340">
        <f t="shared" ref="E16:M16" si="0">SUM(E11:E15)</f>
        <v>2206146</v>
      </c>
      <c r="F16" s="1340">
        <f t="shared" si="0"/>
        <v>2258105</v>
      </c>
      <c r="G16" s="1340">
        <f t="shared" si="0"/>
        <v>2206146</v>
      </c>
      <c r="H16" s="1340">
        <f t="shared" si="0"/>
        <v>2109802</v>
      </c>
      <c r="I16" s="1340">
        <f t="shared" si="0"/>
        <v>2258105</v>
      </c>
      <c r="J16" s="1340">
        <f t="shared" si="0"/>
        <v>2147903</v>
      </c>
      <c r="K16" s="1340">
        <f t="shared" si="0"/>
        <v>0</v>
      </c>
      <c r="L16" s="1340">
        <f t="shared" si="0"/>
        <v>4464251</v>
      </c>
      <c r="M16" s="1340">
        <f t="shared" si="0"/>
        <v>4849890</v>
      </c>
    </row>
    <row r="17" spans="2:14" ht="20.100000000000001" customHeight="1" x14ac:dyDescent="0.2">
      <c r="B17" s="1334"/>
      <c r="C17" s="1338"/>
      <c r="D17" s="1339"/>
      <c r="E17" s="1340"/>
      <c r="F17" s="1340"/>
      <c r="G17" s="1340"/>
      <c r="H17" s="1340"/>
      <c r="I17" s="1340"/>
      <c r="J17" s="1340"/>
      <c r="K17" s="1340"/>
      <c r="L17" s="1337">
        <f t="shared" ref="L17:L27" si="1">+G17+I17+K17</f>
        <v>0</v>
      </c>
      <c r="M17" s="1340"/>
    </row>
    <row r="18" spans="2:14" ht="20.100000000000001" customHeight="1" x14ac:dyDescent="0.2">
      <c r="B18" s="1334"/>
      <c r="C18" s="1338"/>
      <c r="D18" s="1339"/>
      <c r="E18" s="1340"/>
      <c r="F18" s="1340"/>
      <c r="G18" s="1340"/>
      <c r="H18" s="1340"/>
      <c r="I18" s="1340"/>
      <c r="J18" s="1340"/>
      <c r="K18" s="1340"/>
      <c r="L18" s="1337">
        <f t="shared" si="1"/>
        <v>0</v>
      </c>
      <c r="M18" s="1340"/>
    </row>
    <row r="19" spans="2:14" ht="20.100000000000001" customHeight="1" x14ac:dyDescent="0.2">
      <c r="B19" s="1334"/>
      <c r="C19" s="1338"/>
      <c r="D19" s="1339"/>
      <c r="E19" s="1340"/>
      <c r="F19" s="1340"/>
      <c r="G19" s="1340"/>
      <c r="H19" s="1340"/>
      <c r="I19" s="1340"/>
      <c r="J19" s="1340"/>
      <c r="K19" s="1340"/>
      <c r="L19" s="1337">
        <f t="shared" si="1"/>
        <v>0</v>
      </c>
      <c r="M19" s="1340"/>
    </row>
    <row r="20" spans="2:14" ht="20.100000000000001" customHeight="1" x14ac:dyDescent="0.2">
      <c r="B20" s="1334"/>
      <c r="C20" s="1338"/>
      <c r="D20" s="1339"/>
      <c r="E20" s="1340"/>
      <c r="F20" s="1340"/>
      <c r="G20" s="1340"/>
      <c r="H20" s="1340"/>
      <c r="I20" s="1340"/>
      <c r="J20" s="1340"/>
      <c r="K20" s="1340"/>
      <c r="L20" s="1337">
        <f t="shared" si="1"/>
        <v>0</v>
      </c>
      <c r="M20" s="1340"/>
    </row>
    <row r="21" spans="2:14" ht="20.100000000000001" customHeight="1" x14ac:dyDescent="0.2">
      <c r="B21" s="1334" t="s">
        <v>2100</v>
      </c>
      <c r="C21" s="1338"/>
      <c r="D21" s="1339"/>
      <c r="E21" s="1340"/>
      <c r="F21" s="1340"/>
      <c r="G21" s="1340"/>
      <c r="H21" s="1340"/>
      <c r="I21" s="1340"/>
      <c r="J21" s="1340"/>
      <c r="K21" s="1340"/>
      <c r="L21" s="1337">
        <f t="shared" si="1"/>
        <v>0</v>
      </c>
      <c r="M21" s="1340"/>
    </row>
    <row r="22" spans="2:14" ht="20.100000000000001" customHeight="1" x14ac:dyDescent="0.2">
      <c r="B22" s="1334" t="s">
        <v>2101</v>
      </c>
      <c r="C22" s="1338"/>
      <c r="D22" s="1339"/>
      <c r="E22" s="1340">
        <f t="shared" ref="E22:J22" si="2">+E12+E13</f>
        <v>2206146</v>
      </c>
      <c r="F22" s="1340">
        <f t="shared" si="2"/>
        <v>2228982</v>
      </c>
      <c r="G22" s="1340">
        <f t="shared" si="2"/>
        <v>2206146</v>
      </c>
      <c r="H22" s="1340">
        <f t="shared" si="2"/>
        <v>2109802</v>
      </c>
      <c r="I22" s="1340">
        <f t="shared" si="2"/>
        <v>2228982</v>
      </c>
      <c r="J22" s="1340">
        <f t="shared" si="2"/>
        <v>2147903</v>
      </c>
      <c r="K22" s="1340"/>
      <c r="L22" s="1337">
        <f t="shared" si="1"/>
        <v>4435128</v>
      </c>
      <c r="M22" s="1340">
        <f>+M12+M13</f>
        <v>4849890</v>
      </c>
    </row>
    <row r="23" spans="2:14" ht="20.100000000000001" customHeight="1" x14ac:dyDescent="0.2">
      <c r="B23" s="1334"/>
      <c r="C23" s="1338"/>
      <c r="D23" s="1339"/>
      <c r="E23" s="1340"/>
      <c r="F23" s="1340"/>
      <c r="G23" s="1340"/>
      <c r="H23" s="1340"/>
      <c r="I23" s="1340"/>
      <c r="J23" s="1340"/>
      <c r="K23" s="1340"/>
      <c r="L23" s="1337">
        <f t="shared" si="1"/>
        <v>0</v>
      </c>
      <c r="M23" s="1340"/>
    </row>
    <row r="24" spans="2:14" ht="20.100000000000001" customHeight="1" x14ac:dyDescent="0.2">
      <c r="B24" s="1334"/>
      <c r="C24" s="1338"/>
      <c r="D24" s="1339"/>
      <c r="E24" s="1340"/>
      <c r="F24" s="1340"/>
      <c r="G24" s="1340"/>
      <c r="H24" s="1340"/>
      <c r="I24" s="1340"/>
      <c r="J24" s="1340"/>
      <c r="K24" s="1340"/>
      <c r="L24" s="1337">
        <f t="shared" si="1"/>
        <v>0</v>
      </c>
      <c r="M24" s="1340"/>
    </row>
    <row r="25" spans="2:14" ht="20.100000000000001" customHeight="1" x14ac:dyDescent="0.2">
      <c r="B25" s="1334"/>
      <c r="C25" s="1338"/>
      <c r="D25" s="1339"/>
      <c r="E25" s="1340"/>
      <c r="F25" s="1340"/>
      <c r="G25" s="1340"/>
      <c r="H25" s="1340"/>
      <c r="I25" s="1340"/>
      <c r="J25" s="1340"/>
      <c r="K25" s="1340"/>
      <c r="L25" s="1337">
        <f t="shared" si="1"/>
        <v>0</v>
      </c>
      <c r="M25" s="1340"/>
    </row>
    <row r="26" spans="2:14" ht="20.100000000000001" customHeight="1" x14ac:dyDescent="0.2">
      <c r="B26" s="1334"/>
      <c r="C26" s="1338"/>
      <c r="D26" s="1339"/>
      <c r="E26" s="1340"/>
      <c r="F26" s="1340"/>
      <c r="G26" s="1340"/>
      <c r="H26" s="1340"/>
      <c r="I26" s="1340"/>
      <c r="J26" s="1340"/>
      <c r="K26" s="1340"/>
      <c r="L26" s="1337">
        <f t="shared" si="1"/>
        <v>0</v>
      </c>
      <c r="M26" s="1340"/>
    </row>
    <row r="27" spans="2:14" ht="20.100000000000001" customHeight="1" x14ac:dyDescent="0.2">
      <c r="B27" s="1334"/>
      <c r="C27" s="1338"/>
      <c r="D27" s="1339"/>
      <c r="E27" s="1340"/>
      <c r="F27" s="1340"/>
      <c r="G27" s="1340"/>
      <c r="H27" s="1340"/>
      <c r="I27" s="1340"/>
      <c r="J27" s="1340"/>
      <c r="K27" s="1340"/>
      <c r="L27" s="1337">
        <f t="shared" si="1"/>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5" bottom="0.5" header="0.5" footer="0.5"/>
  <pageSetup scale="74"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5" bottom="0.5" header="0.5" footer="0.5"/>
  <pageSetup scale="48" firstPageNumber="2" orientation="portrait" r:id="rId1"/>
  <headerFooter>
    <oddHeader>&amp;C&amp;"Times New Roman,Regular"REGION III SPECIAL EDUCATION COOPERATIVE</oddHeader>
    <oddFooter>&amp;C&amp;"Times New Roman,Regular"
&amp;P</oddFooter>
  </headerFooter>
  <rowBreaks count="1" manualBreakCount="1">
    <brk id="12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10" zoomScale="120" zoomScaleNormal="120" workbookViewId="0">
      <selection activeCell="B19" sqref="B1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Region III Spec Ed Coop</v>
      </c>
      <c r="B1" s="2438"/>
      <c r="C1" s="2438"/>
      <c r="D1" s="2438"/>
      <c r="E1" s="2438"/>
      <c r="F1" s="2438"/>
    </row>
    <row r="2" spans="1:7" ht="13.5" customHeight="1" x14ac:dyDescent="0.2">
      <c r="A2" s="2434">
        <f>'Single Audit Cover'!E7</f>
        <v>41057801060</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2075</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0.25" customHeight="1" x14ac:dyDescent="0.2">
      <c r="A13" s="2437" t="s">
        <v>2076</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1" t="s">
        <v>2102</v>
      </c>
      <c r="B17" s="1281"/>
      <c r="C17" s="1282"/>
      <c r="D17" s="2441"/>
      <c r="E17" s="2441"/>
      <c r="F17" s="2441"/>
    </row>
    <row r="18" spans="1:6" ht="20.65" customHeight="1" x14ac:dyDescent="0.2">
      <c r="A18" s="1280"/>
      <c r="B18" s="1281" t="s">
        <v>2107</v>
      </c>
      <c r="C18" s="1282" t="s">
        <v>2084</v>
      </c>
      <c r="D18" s="2441">
        <v>3218</v>
      </c>
      <c r="E18" s="2441"/>
      <c r="F18" s="2441"/>
    </row>
    <row r="19" spans="1:6" ht="20.65" customHeight="1" x14ac:dyDescent="0.2">
      <c r="A19" s="1280"/>
      <c r="B19" s="1281"/>
      <c r="C19" s="1282"/>
      <c r="D19" s="2441"/>
      <c r="E19" s="2441"/>
      <c r="F19" s="2441"/>
    </row>
    <row r="20" spans="1:6" ht="20.65" customHeight="1" x14ac:dyDescent="0.2">
      <c r="A20" s="1281" t="s">
        <v>2103</v>
      </c>
      <c r="B20" s="1281"/>
      <c r="C20" s="1282"/>
      <c r="D20" s="2441"/>
      <c r="E20" s="2441"/>
      <c r="F20" s="2441"/>
    </row>
    <row r="21" spans="1:6" ht="20.65" customHeight="1" x14ac:dyDescent="0.2">
      <c r="A21" s="1280"/>
      <c r="B21" s="1281" t="s">
        <v>2104</v>
      </c>
      <c r="C21" s="1282" t="s">
        <v>2084</v>
      </c>
      <c r="D21" s="2441">
        <v>27185</v>
      </c>
      <c r="E21" s="2441"/>
      <c r="F21" s="2441"/>
    </row>
    <row r="22" spans="1:6" ht="20.65" customHeight="1" x14ac:dyDescent="0.2">
      <c r="A22" s="1280"/>
      <c r="B22" s="1281" t="s">
        <v>2108</v>
      </c>
      <c r="C22" s="1282" t="s">
        <v>2084</v>
      </c>
      <c r="D22" s="2441">
        <v>32367</v>
      </c>
      <c r="E22" s="2441"/>
      <c r="F22" s="2441"/>
    </row>
    <row r="23" spans="1:6" ht="20.65" customHeight="1" x14ac:dyDescent="0.2">
      <c r="A23" s="1280"/>
      <c r="B23" s="1281" t="s">
        <v>2105</v>
      </c>
      <c r="C23" s="1282" t="s">
        <v>2084</v>
      </c>
      <c r="D23" s="2441">
        <v>26393</v>
      </c>
      <c r="E23" s="2441"/>
      <c r="F23" s="2441"/>
    </row>
    <row r="24" spans="1:6" ht="20.65" customHeight="1" x14ac:dyDescent="0.2">
      <c r="A24" s="1280"/>
      <c r="B24" s="1281" t="s">
        <v>2106</v>
      </c>
      <c r="C24" s="1282" t="s">
        <v>2084</v>
      </c>
      <c r="D24" s="2441">
        <v>11839</v>
      </c>
      <c r="E24" s="2441"/>
      <c r="F24" s="2441"/>
    </row>
    <row r="25" spans="1:6" ht="20.65" customHeight="1" x14ac:dyDescent="0.2">
      <c r="A25" s="1280"/>
      <c r="B25" s="1281" t="s">
        <v>2107</v>
      </c>
      <c r="C25" s="1282" t="s">
        <v>2084</v>
      </c>
      <c r="D25" s="2441">
        <v>16567</v>
      </c>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2077</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75" bottom="0.5" header="0.5" footer="0.5"/>
  <pageSetup scale="80" firstPageNumber="39" orientation="portrait"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9F688-0B25-4063-B78B-052FAE425559}">
  <dimension ref="A1:G52"/>
  <sheetViews>
    <sheetView showGridLines="0" topLeftCell="A22" zoomScale="120" zoomScaleNormal="120" workbookViewId="0">
      <selection activeCell="I25" sqref="I2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Region III Spec Ed Coop</v>
      </c>
      <c r="B1" s="2438"/>
      <c r="C1" s="2438"/>
      <c r="D1" s="2438"/>
      <c r="E1" s="2438"/>
      <c r="F1" s="2438"/>
    </row>
    <row r="2" spans="1:7" ht="13.5" customHeight="1" x14ac:dyDescent="0.2">
      <c r="A2" s="2434">
        <f>'Single Audit Cover'!E7</f>
        <v>41057801060</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2075</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0.25" customHeight="1" x14ac:dyDescent="0.2">
      <c r="A13" s="2437" t="s">
        <v>2076</v>
      </c>
      <c r="B13" s="2437"/>
      <c r="C13" s="2437"/>
      <c r="D13" s="2437"/>
      <c r="E13" s="2437"/>
      <c r="F13" s="2437"/>
    </row>
    <row r="14" spans="1:7" ht="9.75" customHeight="1" x14ac:dyDescent="0.2">
      <c r="C14" s="1257"/>
      <c r="D14" s="1257"/>
    </row>
    <row r="15" spans="1:7" ht="13.5" customHeight="1" x14ac:dyDescent="0.2">
      <c r="C15" s="1937" t="s">
        <v>1270</v>
      </c>
      <c r="D15" s="2442" t="s">
        <v>1269</v>
      </c>
      <c r="E15" s="2442"/>
      <c r="F15" s="2442"/>
    </row>
    <row r="16" spans="1:7" ht="13.5" customHeight="1" x14ac:dyDescent="0.2">
      <c r="A16" s="1279"/>
      <c r="B16" s="1273" t="s">
        <v>1268</v>
      </c>
      <c r="C16" s="1937" t="s">
        <v>1267</v>
      </c>
      <c r="D16" s="2443" t="s">
        <v>1588</v>
      </c>
      <c r="E16" s="2443"/>
      <c r="F16" s="2443"/>
    </row>
    <row r="17" spans="1:6" ht="20.45" customHeight="1" x14ac:dyDescent="0.2">
      <c r="A17" s="1280" t="s">
        <v>2109</v>
      </c>
      <c r="B17" s="1281"/>
      <c r="C17" s="1282"/>
      <c r="D17" s="2441"/>
      <c r="E17" s="2441"/>
      <c r="F17" s="2441"/>
    </row>
    <row r="18" spans="1:6" ht="20.65" customHeight="1" x14ac:dyDescent="0.2">
      <c r="A18" s="1280"/>
      <c r="B18" s="1281" t="s">
        <v>2107</v>
      </c>
      <c r="C18" s="1282" t="s">
        <v>2085</v>
      </c>
      <c r="D18" s="2441">
        <v>27347</v>
      </c>
      <c r="E18" s="2441"/>
      <c r="F18" s="2441"/>
    </row>
    <row r="19" spans="1:6" ht="20.65" customHeight="1" x14ac:dyDescent="0.2">
      <c r="A19" s="1280"/>
      <c r="B19" s="1281"/>
      <c r="C19" s="1282"/>
      <c r="D19" s="2441"/>
      <c r="E19" s="2441"/>
      <c r="F19" s="2441"/>
    </row>
    <row r="20" spans="1:6" ht="20.65" customHeight="1" x14ac:dyDescent="0.2">
      <c r="A20" s="1280" t="s">
        <v>2110</v>
      </c>
      <c r="B20" s="1281"/>
      <c r="C20" s="1282"/>
      <c r="D20" s="2441"/>
      <c r="E20" s="2441"/>
      <c r="F20" s="2441"/>
    </row>
    <row r="21" spans="1:6" ht="20.65" customHeight="1" x14ac:dyDescent="0.2">
      <c r="A21" s="1280" t="s">
        <v>1169</v>
      </c>
      <c r="B21" s="1281" t="s">
        <v>2104</v>
      </c>
      <c r="C21" s="1282" t="s">
        <v>2085</v>
      </c>
      <c r="D21" s="2441">
        <v>620111</v>
      </c>
      <c r="E21" s="2441"/>
      <c r="F21" s="2441"/>
    </row>
    <row r="22" spans="1:6" ht="20.65" customHeight="1" x14ac:dyDescent="0.2">
      <c r="A22" s="1280"/>
      <c r="B22" s="1281" t="s">
        <v>2108</v>
      </c>
      <c r="C22" s="1282" t="s">
        <v>2085</v>
      </c>
      <c r="D22" s="2441">
        <v>228124</v>
      </c>
      <c r="E22" s="2441"/>
      <c r="F22" s="2441"/>
    </row>
    <row r="23" spans="1:6" ht="20.65" customHeight="1" x14ac:dyDescent="0.2">
      <c r="A23" s="1280"/>
      <c r="B23" s="1281" t="s">
        <v>2111</v>
      </c>
      <c r="C23" s="1282" t="s">
        <v>2085</v>
      </c>
      <c r="D23" s="2441">
        <v>104315</v>
      </c>
      <c r="E23" s="2441"/>
      <c r="F23" s="2441"/>
    </row>
    <row r="24" spans="1:6" ht="20.65" customHeight="1" x14ac:dyDescent="0.2">
      <c r="A24" s="1280"/>
      <c r="B24" s="1281" t="s">
        <v>2105</v>
      </c>
      <c r="C24" s="1282" t="s">
        <v>2085</v>
      </c>
      <c r="D24" s="2441">
        <v>532232</v>
      </c>
      <c r="E24" s="2441"/>
      <c r="F24" s="2441"/>
    </row>
    <row r="25" spans="1:6" ht="20.65" customHeight="1" x14ac:dyDescent="0.2">
      <c r="A25" s="1280"/>
      <c r="B25" s="1281" t="s">
        <v>2106</v>
      </c>
      <c r="C25" s="1282" t="s">
        <v>2085</v>
      </c>
      <c r="D25" s="2441">
        <v>336254</v>
      </c>
      <c r="E25" s="2441"/>
      <c r="F25" s="2441"/>
    </row>
    <row r="26" spans="1:6" ht="20.65" customHeight="1" x14ac:dyDescent="0.2">
      <c r="A26" s="1280"/>
      <c r="B26" s="1281" t="s">
        <v>2107</v>
      </c>
      <c r="C26" s="1282" t="s">
        <v>2085</v>
      </c>
      <c r="D26" s="2441">
        <v>181951</v>
      </c>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2077</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938"/>
      <c r="C50" s="1938"/>
      <c r="D50" s="1938"/>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Region III Spec Ed Coop</v>
      </c>
      <c r="C1" s="2454"/>
      <c r="D1" s="2454"/>
      <c r="E1" s="2454"/>
      <c r="F1" s="2454"/>
      <c r="G1" s="2454"/>
      <c r="H1" s="2454"/>
      <c r="I1" s="2454"/>
      <c r="J1" s="1406"/>
    </row>
    <row r="2" spans="2:10" s="317" customFormat="1" ht="12.75" customHeight="1" x14ac:dyDescent="0.2">
      <c r="B2" s="2455">
        <f>'Single Audit Cover'!E7</f>
        <v>41057801060</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t="s">
        <v>2112</v>
      </c>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t="s">
        <v>2113</v>
      </c>
      <c r="E29" s="2460"/>
      <c r="F29" s="2460"/>
      <c r="G29" s="2460"/>
      <c r="H29" s="2460"/>
      <c r="I29" s="246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1" t="s">
        <v>1748</v>
      </c>
      <c r="D37" s="2462"/>
      <c r="E37" s="2462"/>
      <c r="F37" s="2463"/>
      <c r="G37" s="2461" t="s">
        <v>1592</v>
      </c>
      <c r="H37" s="2462"/>
      <c r="I37" s="2463"/>
    </row>
    <row r="38" spans="2:9" ht="16.5" customHeight="1" x14ac:dyDescent="0.2">
      <c r="B38" s="1428" t="s">
        <v>2085</v>
      </c>
      <c r="C38" s="2449" t="s">
        <v>2114</v>
      </c>
      <c r="D38" s="2450"/>
      <c r="E38" s="2450"/>
      <c r="F38" s="2451"/>
      <c r="G38" s="2464">
        <f>+' SEFA (1)'!I15+' SEFA (1)'!I16</f>
        <v>2110838</v>
      </c>
      <c r="H38" s="2465"/>
      <c r="I38" s="2466"/>
    </row>
    <row r="39" spans="2:9" ht="16.5" customHeight="1" x14ac:dyDescent="0.2">
      <c r="B39" s="1428" t="s">
        <v>2084</v>
      </c>
      <c r="C39" s="2449" t="s">
        <v>2115</v>
      </c>
      <c r="D39" s="2450"/>
      <c r="E39" s="2450"/>
      <c r="F39" s="2451"/>
      <c r="G39" s="2452">
        <f>+' SEFA (1)'!I13+' SEFA (1)'!I14</f>
        <v>118144</v>
      </c>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2228982</v>
      </c>
      <c r="H43" s="2470"/>
      <c r="I43" s="2470"/>
    </row>
    <row r="44" spans="2:9" ht="12.75" customHeight="1" x14ac:dyDescent="0.2"/>
    <row r="45" spans="2:9" ht="12.75" customHeight="1" x14ac:dyDescent="0.2">
      <c r="B45" s="1419" t="s">
        <v>1838</v>
      </c>
      <c r="D45" s="2471">
        <f>+' SEFA (1)'!I27</f>
        <v>2258105</v>
      </c>
      <c r="E45" s="2472"/>
    </row>
    <row r="46" spans="2:9" ht="5.25" customHeight="1" x14ac:dyDescent="0.2">
      <c r="B46" s="1429"/>
      <c r="D46" s="1430"/>
      <c r="E46" s="1431"/>
    </row>
    <row r="47" spans="2:9" ht="12.75" customHeight="1" x14ac:dyDescent="0.2">
      <c r="B47" s="1297" t="s">
        <v>1594</v>
      </c>
      <c r="C47" s="1297"/>
      <c r="D47" s="1432">
        <f>+G43/D45</f>
        <v>0.98710290265510237</v>
      </c>
      <c r="E47" s="1433"/>
      <c r="F47" s="1434"/>
      <c r="I47" s="1435"/>
    </row>
    <row r="48" spans="2:9" ht="9.9499999999999993" customHeight="1" x14ac:dyDescent="0.2"/>
    <row r="49" spans="1:9" x14ac:dyDescent="0.2">
      <c r="B49" s="1365" t="s">
        <v>1273</v>
      </c>
      <c r="C49" s="1279"/>
      <c r="D49" s="1279"/>
      <c r="E49" s="2473">
        <v>750000</v>
      </c>
      <c r="F49" s="2473"/>
      <c r="G49" s="247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0.75" bottom="0.5" header="0.5" footer="0.5"/>
  <pageSetup scale="88" firstPageNumber="40" orientation="portrait" r:id="rId1"/>
  <headerFooter>
    <oddFooter>&amp;C&amp;"Times New Roman,Regular"See Independent Auditor's Reports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Region III Spec Ed Coop</v>
      </c>
      <c r="C1" s="2453"/>
      <c r="D1" s="2453"/>
      <c r="E1" s="2453"/>
      <c r="F1" s="2453"/>
      <c r="G1" s="2453"/>
      <c r="H1" s="2453"/>
      <c r="I1" s="2453"/>
      <c r="J1" s="2453"/>
      <c r="K1" s="2453"/>
      <c r="L1" s="1371"/>
      <c r="M1" s="1371"/>
    </row>
    <row r="2" spans="1:13" ht="12" customHeight="1" x14ac:dyDescent="0.2">
      <c r="B2" s="2455">
        <f>'Single Audit Cover'!E7</f>
        <v>41057801060</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2078</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7"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Region III Spec Ed Coop</v>
      </c>
      <c r="C1" s="2480"/>
      <c r="D1" s="2480"/>
      <c r="E1" s="2480"/>
      <c r="F1" s="2480"/>
      <c r="G1" s="2480"/>
      <c r="H1" s="2480"/>
      <c r="I1" s="2480"/>
      <c r="J1" s="2480"/>
      <c r="K1" s="2480"/>
      <c r="L1" s="1449"/>
    </row>
    <row r="2" spans="1:12" ht="12.75" customHeight="1" x14ac:dyDescent="0.2">
      <c r="B2" s="2481">
        <f>'Single Audit Cover'!E7</f>
        <v>41057801060</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1</v>
      </c>
      <c r="E8" s="322"/>
      <c r="F8" s="1381" t="s">
        <v>1295</v>
      </c>
      <c r="G8" s="1453" t="s">
        <v>2061</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t="s">
        <v>2115</v>
      </c>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t="s">
        <v>2087</v>
      </c>
      <c r="E14" s="2483"/>
      <c r="F14" s="2483"/>
      <c r="H14" s="1459" t="s">
        <v>1303</v>
      </c>
      <c r="I14" s="2484" t="s">
        <v>2084</v>
      </c>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t="s">
        <v>405</v>
      </c>
      <c r="E16" s="2484"/>
      <c r="F16" s="2484"/>
      <c r="G16" s="2484"/>
      <c r="H16" s="2484"/>
      <c r="I16" s="2484"/>
      <c r="J16" s="2484"/>
      <c r="K16" s="2484"/>
      <c r="L16" s="322"/>
    </row>
    <row r="17" spans="2:12" ht="13.5" customHeight="1" x14ac:dyDescent="0.2">
      <c r="B17" s="1384" t="s">
        <v>1301</v>
      </c>
      <c r="C17" s="1384"/>
      <c r="D17" s="2485" t="s">
        <v>2118</v>
      </c>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27" customHeight="1" x14ac:dyDescent="0.2">
      <c r="B20" s="2475" t="s">
        <v>2119</v>
      </c>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24.75" customHeight="1" x14ac:dyDescent="0.2">
      <c r="B23" s="2475" t="s">
        <v>2120</v>
      </c>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24" customHeight="1" x14ac:dyDescent="0.2">
      <c r="B26" s="2475" t="s">
        <v>2078</v>
      </c>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t="s">
        <v>2121</v>
      </c>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t="s">
        <v>2122</v>
      </c>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t="s">
        <v>2123</v>
      </c>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t="s">
        <v>2124</v>
      </c>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66" customHeight="1" x14ac:dyDescent="0.2">
      <c r="B41" s="2475" t="s">
        <v>2125</v>
      </c>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90" firstPageNumber="72" orientation="portrait" useFirstPageNumber="1" r:id="rId1"/>
  <headerFoot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1191E-31B9-443D-B465-379A008F3AB1}">
  <dimension ref="A1:L48"/>
  <sheetViews>
    <sheetView showGridLines="0" topLeftCell="A22"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Region III Spec Ed Coop</v>
      </c>
      <c r="C1" s="2480"/>
      <c r="D1" s="2480"/>
      <c r="E1" s="2480"/>
      <c r="F1" s="2480"/>
      <c r="G1" s="2480"/>
      <c r="H1" s="2480"/>
      <c r="I1" s="2480"/>
      <c r="J1" s="2480"/>
      <c r="K1" s="2480"/>
      <c r="L1" s="1449"/>
    </row>
    <row r="2" spans="1:12" ht="12.75" customHeight="1" x14ac:dyDescent="0.2">
      <c r="B2" s="2481">
        <f>'Single Audit Cover'!E7</f>
        <v>41057801060</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940"/>
    </row>
    <row r="4" spans="1:12" ht="12.75" customHeight="1" x14ac:dyDescent="0.2">
      <c r="B4" s="2476" t="str">
        <f>'Single Audit Cover'!A4</f>
        <v>Year Ending June 30, 2019</v>
      </c>
      <c r="C4" s="2476"/>
      <c r="D4" s="2476"/>
      <c r="E4" s="2476"/>
      <c r="F4" s="2476"/>
      <c r="G4" s="2476"/>
      <c r="H4" s="2476"/>
      <c r="I4" s="2476"/>
      <c r="J4" s="2476"/>
      <c r="K4" s="2476"/>
      <c r="L4" s="1940"/>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2</v>
      </c>
      <c r="E8" s="322"/>
      <c r="F8" s="1381" t="s">
        <v>1295</v>
      </c>
      <c r="G8" s="1453" t="s">
        <v>2061</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t="s">
        <v>2114</v>
      </c>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t="s">
        <v>2089</v>
      </c>
      <c r="E14" s="2483"/>
      <c r="F14" s="2483"/>
      <c r="H14" s="1459" t="s">
        <v>1303</v>
      </c>
      <c r="I14" s="2484" t="s">
        <v>2085</v>
      </c>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t="s">
        <v>405</v>
      </c>
      <c r="E16" s="2484"/>
      <c r="F16" s="2484"/>
      <c r="G16" s="2484"/>
      <c r="H16" s="2484"/>
      <c r="I16" s="2484"/>
      <c r="J16" s="2484"/>
      <c r="K16" s="2484"/>
      <c r="L16" s="322"/>
    </row>
    <row r="17" spans="2:12" ht="13.5" customHeight="1" x14ac:dyDescent="0.2">
      <c r="B17" s="1384" t="s">
        <v>1301</v>
      </c>
      <c r="C17" s="1384"/>
      <c r="D17" s="2485" t="s">
        <v>2118</v>
      </c>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0" customHeight="1" x14ac:dyDescent="0.2">
      <c r="B20" s="2475" t="s">
        <v>2119</v>
      </c>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27.75" customHeight="1" x14ac:dyDescent="0.2">
      <c r="B23" s="2475" t="s">
        <v>2120</v>
      </c>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25.5" customHeight="1" x14ac:dyDescent="0.2">
      <c r="B26" s="2475" t="s">
        <v>2078</v>
      </c>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t="s">
        <v>2121</v>
      </c>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t="s">
        <v>2122</v>
      </c>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0" customHeight="1" x14ac:dyDescent="0.2">
      <c r="B35" s="2475" t="s">
        <v>2123</v>
      </c>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t="s">
        <v>2124</v>
      </c>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64.5" customHeight="1" x14ac:dyDescent="0.2">
      <c r="B41" s="2475" t="s">
        <v>2125</v>
      </c>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90" firstPageNumber="42" orientation="portrait"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2" sqref="C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Region III Spec Ed Coop</v>
      </c>
      <c r="C1" s="2453"/>
      <c r="D1" s="2453"/>
      <c r="E1" s="1469"/>
    </row>
    <row r="2" spans="2:5" s="1279" customFormat="1" ht="12.75" customHeight="1" x14ac:dyDescent="0.2">
      <c r="B2" s="2455">
        <f>'Single Audit Cover'!E7</f>
        <v>41057801060</v>
      </c>
      <c r="C2" s="2455"/>
      <c r="D2" s="2455"/>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2078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4892966</v>
      </c>
      <c r="E16" s="356"/>
      <c r="F16" s="1733">
        <f>SUM('Acct Summary 7-8'!C17,'Acct Summary 7-8'!D17,'Acct Summary 7-8'!F17)</f>
        <v>4920411</v>
      </c>
      <c r="G16" s="356"/>
      <c r="H16" s="1733">
        <f>SUM(D16-F16)</f>
        <v>-27445</v>
      </c>
      <c r="I16" s="222"/>
      <c r="J16" s="1733">
        <f>SUM('Acct Summary 7-8'!C81,'Acct Summary 7-8'!D81,'Acct Summary 7-8'!F81,'Acct Summary 7-8'!I81)</f>
        <v>516407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Roman,Regular"REGION III SPECIAL EDUCATION COOPERATIVE</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6" sqref="B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Region III Spec Ed Coop</v>
      </c>
      <c r="E7" s="391"/>
      <c r="G7" s="252"/>
      <c r="H7" s="387"/>
      <c r="I7" s="387"/>
      <c r="J7" s="387"/>
      <c r="K7" s="387"/>
      <c r="L7" s="329"/>
      <c r="M7" s="329"/>
      <c r="N7" s="329"/>
      <c r="O7" s="329"/>
      <c r="P7" s="329"/>
    </row>
    <row r="8" spans="1:18" ht="12.75" x14ac:dyDescent="0.2">
      <c r="A8" s="329"/>
      <c r="B8" s="329"/>
      <c r="C8" s="389" t="s">
        <v>1125</v>
      </c>
      <c r="D8" s="392">
        <f>COVER!A13</f>
        <v>41057801060</v>
      </c>
      <c r="E8" s="393"/>
      <c r="G8" s="329"/>
      <c r="H8" s="329"/>
      <c r="I8" s="329"/>
      <c r="J8" s="329"/>
      <c r="K8" s="329"/>
      <c r="L8" s="329"/>
      <c r="M8" s="329"/>
      <c r="N8" s="329"/>
      <c r="O8" s="329"/>
      <c r="P8" s="329"/>
    </row>
    <row r="9" spans="1:18" ht="12.75" x14ac:dyDescent="0.2">
      <c r="A9" s="329"/>
      <c r="B9" s="329"/>
      <c r="C9" s="389" t="s">
        <v>713</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516407</v>
      </c>
      <c r="I12" s="404"/>
      <c r="J12" s="404"/>
      <c r="K12" s="405">
        <f>TRUNC((H12/H13*100000),5)/100000</f>
        <v>0.1055406884</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4892966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4920411</v>
      </c>
      <c r="I17" s="404"/>
      <c r="J17" s="416"/>
      <c r="K17" s="405">
        <f>TRUNC((H17/H18*100000),5)/100000</f>
        <v>1.0056090722</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4892966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0.98780829999999997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436367</v>
      </c>
      <c r="I24" s="422"/>
      <c r="J24" s="422"/>
      <c r="K24" s="423">
        <f>TRUNC(((H24/H25*100000)/100000),2)</f>
        <v>31.92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13667.80833</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8" firstPageNumber="4" orientation="landscape" r:id="rId3"/>
  <headerFooter>
    <oddHeader>&amp;C&amp;"Times New Roman,Regular"REGION III SPECIAL EDUCATION COOPERATIVE</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9" activePane="bottomLeft" state="frozen"/>
      <selection activeCell="A6" sqref="A6:F6"/>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436367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422873</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859240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44150</v>
      </c>
      <c r="N16" s="484"/>
    </row>
    <row r="17" spans="1:14" s="485" customFormat="1" ht="12.75" customHeight="1" x14ac:dyDescent="0.2">
      <c r="A17" s="482" t="s">
        <v>1403</v>
      </c>
      <c r="B17" s="483">
        <v>230</v>
      </c>
      <c r="C17" s="477"/>
      <c r="D17" s="477"/>
      <c r="E17" s="477"/>
      <c r="F17" s="477"/>
      <c r="G17" s="477"/>
      <c r="H17" s="477"/>
      <c r="I17" s="477"/>
      <c r="J17" s="477"/>
      <c r="K17" s="477"/>
      <c r="L17" s="477"/>
      <c r="M17" s="467">
        <v>191272</v>
      </c>
      <c r="N17" s="484"/>
    </row>
    <row r="18" spans="1:14" s="485" customFormat="1" ht="12.75" customHeight="1" x14ac:dyDescent="0.2">
      <c r="A18" s="482" t="s">
        <v>1404</v>
      </c>
      <c r="B18" s="483">
        <v>240</v>
      </c>
      <c r="C18" s="477"/>
      <c r="D18" s="477"/>
      <c r="E18" s="477"/>
      <c r="F18" s="477"/>
      <c r="G18" s="477"/>
      <c r="H18" s="477"/>
      <c r="I18" s="477"/>
      <c r="J18" s="477"/>
      <c r="K18" s="477"/>
      <c r="L18" s="477"/>
      <c r="M18" s="467">
        <v>17402</v>
      </c>
      <c r="N18" s="484"/>
    </row>
    <row r="19" spans="1:14" s="485" customFormat="1" ht="12.75" customHeight="1" x14ac:dyDescent="0.2">
      <c r="A19" s="482" t="s">
        <v>1405</v>
      </c>
      <c r="B19" s="483">
        <v>250</v>
      </c>
      <c r="C19" s="477"/>
      <c r="D19" s="477"/>
      <c r="E19" s="477"/>
      <c r="F19" s="477"/>
      <c r="G19" s="477"/>
      <c r="H19" s="477"/>
      <c r="I19" s="477"/>
      <c r="J19" s="477"/>
      <c r="K19" s="477"/>
      <c r="L19" s="477"/>
      <c r="M19" s="467">
        <v>7859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260683</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328324</v>
      </c>
      <c r="D26" s="467"/>
      <c r="E26" s="467"/>
      <c r="F26" s="467"/>
      <c r="G26" s="467"/>
      <c r="H26" s="467"/>
      <c r="I26" s="467"/>
      <c r="J26" s="474"/>
      <c r="K26" s="467"/>
      <c r="L26" s="468"/>
      <c r="M26" s="468"/>
      <c r="N26" s="468"/>
    </row>
    <row r="27" spans="1:14" ht="13.5" customHeight="1" x14ac:dyDescent="0.2">
      <c r="A27" s="473" t="s">
        <v>647</v>
      </c>
      <c r="B27" s="470">
        <v>430</v>
      </c>
      <c r="C27" s="467">
        <v>14509</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342833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516407</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260683</v>
      </c>
      <c r="N40" s="497"/>
    </row>
    <row r="41" spans="1:14" ht="13.5" customHeight="1" thickBot="1" x14ac:dyDescent="0.25">
      <c r="A41" s="1736" t="s">
        <v>655</v>
      </c>
      <c r="B41" s="1706"/>
      <c r="C41" s="1688">
        <f>(SUM(C34,C37,C38,C39))</f>
        <v>859240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260683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25" bottom="0.5" header="0.5" footer="0.5"/>
  <pageSetup scale="56" firstPageNumber="13" orientation="landscape" useFirstPageNumber="1" r:id="rId1"/>
  <headerFooter>
    <oddHeader>&amp;C&amp;"Times New Roman,Regular"REGION III SPECIAL EDUCATION COOPERATIVE
STATEMENT OF POSITION - MODIFIED ACCRUAL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8" activePane="bottomLeft" state="frozen"/>
      <selection activeCell="A6" sqref="A6:F6"/>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2236865</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2117339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306966</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231796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4892966</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744031</v>
      </c>
      <c r="D9" s="516"/>
      <c r="E9" s="481"/>
      <c r="F9" s="481"/>
      <c r="G9" s="517"/>
      <c r="H9" s="481"/>
      <c r="I9" s="509" t="s">
        <v>1169</v>
      </c>
      <c r="J9" s="478"/>
      <c r="K9" s="481"/>
      <c r="L9" s="347"/>
    </row>
    <row r="10" spans="1:13" s="519" customFormat="1" ht="13.5" thickBot="1" x14ac:dyDescent="0.25">
      <c r="A10" s="1736" t="s">
        <v>1173</v>
      </c>
      <c r="B10" s="1709"/>
      <c r="C10" s="1688">
        <f>SUM(C8:C9)</f>
        <v>5636997</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1714472</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924703</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2281236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4920411</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744031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5664442</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-27445</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-27445</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1946</v>
      </c>
      <c r="B79" s="534"/>
      <c r="C79" s="478">
        <v>543852</v>
      </c>
      <c r="D79" s="535"/>
      <c r="E79" s="535"/>
      <c r="F79" s="535"/>
      <c r="G79" s="535"/>
      <c r="H79" s="535"/>
      <c r="I79" s="535"/>
      <c r="J79" s="535"/>
      <c r="K79" s="535"/>
      <c r="L79" s="347"/>
    </row>
    <row r="80" spans="1:12" x14ac:dyDescent="0.2">
      <c r="A80" s="2128" t="s">
        <v>1792</v>
      </c>
      <c r="B80" s="2129"/>
      <c r="C80" s="467"/>
      <c r="D80" s="467"/>
      <c r="E80" s="467"/>
      <c r="F80" s="467"/>
      <c r="G80" s="467"/>
      <c r="H80" s="467"/>
      <c r="I80" s="467"/>
      <c r="J80" s="467"/>
      <c r="K80" s="467"/>
      <c r="L80" s="347"/>
    </row>
    <row r="81" spans="1:12" ht="13.5" thickBot="1" x14ac:dyDescent="0.25">
      <c r="A81" s="2120" t="s">
        <v>1947</v>
      </c>
      <c r="B81" s="2121"/>
      <c r="C81" s="1688">
        <f>(SUM(C78:C80))</f>
        <v>516407</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-27445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-5.3146065022356394E-2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25" bottom="0.5" header="0.5" footer="0.5"/>
  <pageSetup scale="48" firstPageNumber="7" orientation="portrait" r:id="rId1"/>
  <headerFooter>
    <oddHeader>&amp;C&amp;"Times New Roman,Regular"REGION III SPECIAL EDUCATION COOPERATIVE
STATEMENT OF REVENUES, EXPENDITURES, OTHER SOURCES (USES), AND CHANGES IN FUND BALANCES - MODIFIED ACCRUAL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8" activePane="bottomLeft" state="frozen"/>
      <selection activeCell="A6" sqref="A6:F6"/>
      <selection pane="bottomLeft" activeCell="C117" sqref="C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2219791</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2219791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111</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11340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5623</v>
      </c>
      <c r="D107" s="466"/>
      <c r="E107" s="466"/>
      <c r="F107" s="466"/>
      <c r="G107" s="466"/>
      <c r="H107" s="466"/>
      <c r="I107" s="466"/>
      <c r="J107" s="467"/>
      <c r="K107" s="466"/>
    </row>
    <row r="108" spans="1:12" ht="12.75" customHeight="1" thickBot="1" x14ac:dyDescent="0.25">
      <c r="A108" s="1708" t="s">
        <v>487</v>
      </c>
      <c r="B108" s="1712"/>
      <c r="C108" s="1707">
        <f>SUM(C95:C107)</f>
        <v>16963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2236865</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2117339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2117339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306966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306966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306966</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3793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107850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111643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29123</v>
      </c>
      <c r="D263" s="576"/>
      <c r="E263" s="468"/>
      <c r="F263" s="576"/>
      <c r="G263" s="576"/>
      <c r="H263" s="468"/>
      <c r="I263" s="468"/>
      <c r="J263" s="468"/>
      <c r="K263" s="468"/>
    </row>
    <row r="264" spans="1:11" ht="12.75" customHeight="1" thickTop="1" thickBot="1" x14ac:dyDescent="0.25">
      <c r="A264" s="463" t="s">
        <v>377</v>
      </c>
      <c r="B264" s="470">
        <v>4992</v>
      </c>
      <c r="C264" s="575">
        <v>91030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231796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231796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4892966</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0.95" bottom="0.5" header="0.5" footer="0.5"/>
  <pageSetup scale="61" firstPageNumber="15" orientation="landscape" useFirstPageNumber="1" r:id="rId1"/>
  <headerFooter>
    <oddHeader>&amp;C&amp;"Times New Roman,Regular"REGION III SPECIAL EDUCATION COOPERATIVE
STATEMENT OF REVENUES - MODIFIED ACCRUAL - REGULATORY BASIS 
ALL FUNDS
FOR THE YEAR ENDED JUNE 30, 2019</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5" activePane="bottomLeft" state="frozen"/>
      <selection activeCell="A6" sqref="A6:F6"/>
      <selection pane="bottomLeft" activeCell="L80" sqref="L8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1288585</v>
      </c>
      <c r="D8" s="466">
        <v>223472</v>
      </c>
      <c r="E8" s="466">
        <v>129532</v>
      </c>
      <c r="F8" s="466">
        <v>56708</v>
      </c>
      <c r="G8" s="466"/>
      <c r="H8" s="466"/>
      <c r="I8" s="467"/>
      <c r="J8" s="467"/>
      <c r="K8" s="1671">
        <f t="shared" si="0"/>
        <v>1698297</v>
      </c>
      <c r="L8" s="466">
        <v>1764954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14868</v>
      </c>
      <c r="D15" s="466">
        <v>1147</v>
      </c>
      <c r="E15" s="466"/>
      <c r="F15" s="466">
        <v>160</v>
      </c>
      <c r="G15" s="466"/>
      <c r="H15" s="466"/>
      <c r="I15" s="467"/>
      <c r="J15" s="467"/>
      <c r="K15" s="1671">
        <f t="shared" si="0"/>
        <v>16175</v>
      </c>
      <c r="L15" s="466">
        <v>25200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1303453</v>
      </c>
      <c r="D33" s="1670">
        <f t="shared" ref="D33:L33" si="1">SUM(D5:D32)</f>
        <v>224619</v>
      </c>
      <c r="E33" s="1670">
        <f t="shared" si="1"/>
        <v>129532</v>
      </c>
      <c r="F33" s="1670">
        <f t="shared" si="1"/>
        <v>56868</v>
      </c>
      <c r="G33" s="1670">
        <f t="shared" si="1"/>
        <v>0</v>
      </c>
      <c r="H33" s="1670">
        <f t="shared" si="1"/>
        <v>0</v>
      </c>
      <c r="I33" s="1670">
        <f t="shared" si="1"/>
        <v>0</v>
      </c>
      <c r="J33" s="1670">
        <f t="shared" si="1"/>
        <v>0</v>
      </c>
      <c r="K33" s="1670">
        <f t="shared" si="1"/>
        <v>1714472</v>
      </c>
      <c r="L33" s="1670">
        <f t="shared" si="1"/>
        <v>1790154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209520</v>
      </c>
      <c r="D38" s="466">
        <v>47013</v>
      </c>
      <c r="E38" s="466">
        <v>116460</v>
      </c>
      <c r="F38" s="466">
        <v>3386</v>
      </c>
      <c r="G38" s="466"/>
      <c r="H38" s="466"/>
      <c r="I38" s="467"/>
      <c r="J38" s="467"/>
      <c r="K38" s="1671">
        <f t="shared" si="2"/>
        <v>376379</v>
      </c>
      <c r="L38" s="466">
        <v>372069</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71117</v>
      </c>
      <c r="D40" s="466">
        <v>17779</v>
      </c>
      <c r="E40" s="466">
        <v>3199</v>
      </c>
      <c r="F40" s="466">
        <v>22118</v>
      </c>
      <c r="G40" s="466"/>
      <c r="H40" s="466"/>
      <c r="I40" s="467"/>
      <c r="J40" s="467"/>
      <c r="K40" s="1671">
        <f t="shared" si="2"/>
        <v>114213</v>
      </c>
      <c r="L40" s="466">
        <v>109050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280637</v>
      </c>
      <c r="D42" s="1670">
        <f t="shared" ref="D42:L42" si="3">SUM(D36:D41)</f>
        <v>64792</v>
      </c>
      <c r="E42" s="1670">
        <f t="shared" si="3"/>
        <v>119659</v>
      </c>
      <c r="F42" s="1670">
        <f t="shared" si="3"/>
        <v>25504</v>
      </c>
      <c r="G42" s="1670">
        <f t="shared" si="3"/>
        <v>0</v>
      </c>
      <c r="H42" s="1670">
        <f t="shared" si="3"/>
        <v>0</v>
      </c>
      <c r="I42" s="1670">
        <f t="shared" si="3"/>
        <v>0</v>
      </c>
      <c r="J42" s="1670">
        <f t="shared" si="3"/>
        <v>0</v>
      </c>
      <c r="K42" s="1670">
        <f t="shared" si="3"/>
        <v>490592</v>
      </c>
      <c r="L42" s="1670">
        <f t="shared" si="3"/>
        <v>481119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3502</v>
      </c>
      <c r="D44" s="481">
        <v>500</v>
      </c>
      <c r="E44" s="481">
        <v>19692</v>
      </c>
      <c r="F44" s="481"/>
      <c r="G44" s="481"/>
      <c r="H44" s="481"/>
      <c r="I44" s="467"/>
      <c r="J44" s="467"/>
      <c r="K44" s="1672">
        <f>SUM(C44:J44)</f>
        <v>23694</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3502</v>
      </c>
      <c r="D47" s="1670">
        <f t="shared" ref="D47:K47" si="4">SUM(D44:D46)</f>
        <v>500</v>
      </c>
      <c r="E47" s="1670">
        <f t="shared" si="4"/>
        <v>19692</v>
      </c>
      <c r="F47" s="1670">
        <f t="shared" si="4"/>
        <v>0</v>
      </c>
      <c r="G47" s="1670">
        <f t="shared" si="4"/>
        <v>0</v>
      </c>
      <c r="H47" s="1670">
        <f t="shared" si="4"/>
        <v>0</v>
      </c>
      <c r="I47" s="1670">
        <f t="shared" si="4"/>
        <v>0</v>
      </c>
      <c r="J47" s="1670">
        <f t="shared" si="4"/>
        <v>0</v>
      </c>
      <c r="K47" s="1670">
        <f t="shared" si="4"/>
        <v>23694</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209592</v>
      </c>
      <c r="D51" s="466">
        <v>39277</v>
      </c>
      <c r="E51" s="466">
        <v>96591</v>
      </c>
      <c r="F51" s="466">
        <v>14765</v>
      </c>
      <c r="G51" s="466"/>
      <c r="H51" s="466">
        <v>1439</v>
      </c>
      <c r="I51" s="467"/>
      <c r="J51" s="467"/>
      <c r="K51" s="1672">
        <f>SUM(C51:J51)</f>
        <v>361664</v>
      </c>
      <c r="L51" s="466">
        <v>380189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209592</v>
      </c>
      <c r="D53" s="1670">
        <f t="shared" ref="D53:L53" si="5">SUM(D49:D52)</f>
        <v>39277</v>
      </c>
      <c r="E53" s="1670">
        <f t="shared" si="5"/>
        <v>96591</v>
      </c>
      <c r="F53" s="1670">
        <f t="shared" si="5"/>
        <v>14765</v>
      </c>
      <c r="G53" s="1670">
        <f t="shared" si="5"/>
        <v>0</v>
      </c>
      <c r="H53" s="1670">
        <f t="shared" si="5"/>
        <v>1439</v>
      </c>
      <c r="I53" s="1670">
        <f t="shared" si="5"/>
        <v>0</v>
      </c>
      <c r="J53" s="1670">
        <f t="shared" si="5"/>
        <v>0</v>
      </c>
      <c r="K53" s="1670">
        <f t="shared" si="5"/>
        <v>361664</v>
      </c>
      <c r="L53" s="1670">
        <f t="shared" si="5"/>
        <v>380189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27535</v>
      </c>
      <c r="F61" s="466"/>
      <c r="G61" s="466"/>
      <c r="H61" s="466"/>
      <c r="I61" s="467"/>
      <c r="J61" s="467"/>
      <c r="K61" s="1672">
        <f t="shared" si="7"/>
        <v>27535</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27535</v>
      </c>
      <c r="F65" s="1670">
        <f t="shared" si="8"/>
        <v>0</v>
      </c>
      <c r="G65" s="1670">
        <f t="shared" si="8"/>
        <v>0</v>
      </c>
      <c r="H65" s="1670">
        <f t="shared" si="8"/>
        <v>0</v>
      </c>
      <c r="I65" s="1670">
        <f t="shared" si="8"/>
        <v>0</v>
      </c>
      <c r="J65" s="1670">
        <f t="shared" si="8"/>
        <v>0</v>
      </c>
      <c r="K65" s="1670">
        <f t="shared" si="8"/>
        <v>27535</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v>21218</v>
      </c>
      <c r="F73" s="573"/>
      <c r="G73" s="573"/>
      <c r="H73" s="573"/>
      <c r="I73" s="531"/>
      <c r="J73" s="531"/>
      <c r="K73" s="1670">
        <f>SUM(C73:J73)</f>
        <v>21218</v>
      </c>
      <c r="L73" s="576"/>
      <c r="M73" s="609"/>
      <c r="N73" s="609"/>
    </row>
    <row r="74" spans="1:14" ht="12.75" customHeight="1" thickTop="1" thickBot="1" x14ac:dyDescent="0.25">
      <c r="A74" s="1668" t="s">
        <v>811</v>
      </c>
      <c r="B74" s="1676">
        <v>2000</v>
      </c>
      <c r="C74" s="1677">
        <f>SUM(C42,C47,C53,C57,C65,C72,C73)</f>
        <v>493731</v>
      </c>
      <c r="D74" s="1677">
        <f t="shared" ref="D74:K74" si="10">SUM(D42,D47,D53,D57,D65,D72,D73)</f>
        <v>104569</v>
      </c>
      <c r="E74" s="1677">
        <f t="shared" si="10"/>
        <v>284695</v>
      </c>
      <c r="F74" s="1677">
        <f t="shared" si="10"/>
        <v>40269</v>
      </c>
      <c r="G74" s="1677">
        <f t="shared" si="10"/>
        <v>0</v>
      </c>
      <c r="H74" s="1677">
        <f t="shared" si="10"/>
        <v>1439</v>
      </c>
      <c r="I74" s="1677">
        <f t="shared" si="10"/>
        <v>0</v>
      </c>
      <c r="J74" s="1677">
        <f t="shared" si="10"/>
        <v>0</v>
      </c>
      <c r="K74" s="1677">
        <f t="shared" si="10"/>
        <v>924703</v>
      </c>
      <c r="L74" s="1677">
        <f>SUM(L42,L47,L53,L57,L65,L72,L73)</f>
        <v>861308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75520</v>
      </c>
      <c r="F79" s="616"/>
      <c r="G79" s="616"/>
      <c r="H79" s="466">
        <v>2205716</v>
      </c>
      <c r="I79" s="477"/>
      <c r="J79" s="477"/>
      <c r="K79" s="1671">
        <f t="shared" si="11"/>
        <v>2281236</v>
      </c>
      <c r="L79" s="466">
        <v>2352489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75520</v>
      </c>
      <c r="F84" s="616"/>
      <c r="G84" s="616"/>
      <c r="H84" s="1670">
        <f>SUM(H78:H83)</f>
        <v>2205716</v>
      </c>
      <c r="I84" s="477"/>
      <c r="J84" s="477"/>
      <c r="K84" s="1670">
        <f>SUM(K78:K83)</f>
        <v>2281236</v>
      </c>
      <c r="L84" s="1670">
        <f>SUM(L78:L83)</f>
        <v>2352489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75520</v>
      </c>
      <c r="F102" s="616"/>
      <c r="G102" s="616"/>
      <c r="H102" s="1677">
        <f>SUM(H84,H92,H100,H101)</f>
        <v>2205716</v>
      </c>
      <c r="I102" s="477"/>
      <c r="J102" s="477"/>
      <c r="K102" s="1677">
        <f>SUM(K84,K92,K100,K101)</f>
        <v>2281236</v>
      </c>
      <c r="L102" s="1677">
        <f>SUM(L84,L92,L100,L101)</f>
        <v>2352489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1797184</v>
      </c>
      <c r="D114" s="1670">
        <f t="shared" ref="D114:K114" si="13">SUM(D33,D74,D75,D102,D112,D113)</f>
        <v>329188</v>
      </c>
      <c r="E114" s="1670">
        <f t="shared" si="13"/>
        <v>489747</v>
      </c>
      <c r="F114" s="1670">
        <f t="shared" si="13"/>
        <v>97137</v>
      </c>
      <c r="G114" s="1670">
        <f t="shared" si="13"/>
        <v>0</v>
      </c>
      <c r="H114" s="1670">
        <f>SUM(H33,H74,H75,H102,H112,H113)</f>
        <v>2207155</v>
      </c>
      <c r="I114" s="1670">
        <f t="shared" si="13"/>
        <v>0</v>
      </c>
      <c r="J114" s="1670">
        <f t="shared" si="13"/>
        <v>0</v>
      </c>
      <c r="K114" s="1670">
        <f t="shared" si="13"/>
        <v>4920411</v>
      </c>
      <c r="L114" s="1670">
        <f>SUM(L33,L74,L75,L102,L112,L113)</f>
        <v>5003951</v>
      </c>
    </row>
    <row r="115" spans="1:14" ht="13.5" thickTop="1" x14ac:dyDescent="0.2">
      <c r="A115" s="2156" t="s">
        <v>996</v>
      </c>
      <c r="B115" s="2157"/>
      <c r="C115" s="618"/>
      <c r="D115" s="618"/>
      <c r="E115" s="618"/>
      <c r="F115" s="618"/>
      <c r="G115" s="618"/>
      <c r="H115" s="618"/>
      <c r="I115" s="618"/>
      <c r="J115" s="618"/>
      <c r="K115" s="1684">
        <f>'Revenues 9-14'!C268-'Expenditures 15-22'!K114</f>
        <v>-27445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6" t="s">
        <v>996</v>
      </c>
      <c r="B175" s="215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6" t="s">
        <v>996</v>
      </c>
      <c r="B211" s="2157"/>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6" t="s">
        <v>996</v>
      </c>
      <c r="B296" s="2157"/>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Roman,Regular"REGION III SPECIAL EDUCATION COOPERATIVE
STATEMENT OF EXPENDITURES - MODIFIED ACCRUAL - REGULATORY BASIS
(ACTUAL AND BUDGET)
ALL FUNDS
FOR THE YEAR ENDED JUNE 30, 2019</oddHeader>
    <oddFooter>&amp;C&amp;"Times New Roman,Regular"See Notes to Financial Statements and Independent Auditor's Reports
&amp;P</oddFooter>
  </headerFooter>
  <rowBreaks count="6" manualBreakCount="6">
    <brk id="57" max="16383" man="1"/>
    <brk id="112" max="16383" man="1"/>
    <brk id="160" max="16383" man="1"/>
    <brk id="206"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sharepoint/v3"/>
    <ds:schemaRef ds:uri="6ce3111e-7420-4802-b50a-75d4e9a0b980"/>
    <ds:schemaRef ds:uri="http://schemas.microsoft.com/office/2006/documentManagement/types"/>
    <ds:schemaRef ds:uri="4d435f69-8686-490b-bd6d-b153bf22ab50"/>
    <ds:schemaRef ds:uri="http://www.w3.org/XML/1998/namespace"/>
    <ds:schemaRef ds:uri="http://purl.org/dc/terms/"/>
    <ds:schemaRef ds:uri="http://schemas.openxmlformats.org/package/2006/metadata/core-properties"/>
    <ds:schemaRef ds:uri="http://schemas.microsoft.com/office/2006/metadata/properties"/>
    <ds:schemaRef ds:uri="http://schemas.microsoft.com/office/infopath/2007/PartnerControls"/>
    <ds:schemaRef ds:uri="d21dc803-237d-4c68-8692-8d731fd29118"/>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(1)</vt:lpstr>
      <vt:lpstr> SEFA (2)</vt:lpstr>
      <vt:lpstr>SEFA NOTES</vt:lpstr>
      <vt:lpstr>SEFA NOTES (2)</vt:lpstr>
      <vt:lpstr>SF&amp;QC Sec-1</vt:lpstr>
      <vt:lpstr>SF&amp;QC Sec-2</vt:lpstr>
      <vt:lpstr>SF&amp;QC Sec-3</vt:lpstr>
      <vt:lpstr>SF&amp;QC Sec-3 (2)</vt:lpstr>
      <vt:lpstr>SSPAF</vt:lpstr>
      <vt:lpstr>' SEFA (1)'!Print_Area</vt:lpstr>
      <vt:lpstr>' SEFA (2)'!Print_Area</vt:lpstr>
      <vt:lpstr>'Acct Summary 7-8'!Print_Area</vt:lpstr>
      <vt:lpstr>'Aud Quest 2'!Print_Area</vt:lpstr>
      <vt:lpstr>'FP Info 3'!Print_Area</vt:lpstr>
      <vt:lpstr>'Itemization 33'!Print_Area</vt:lpstr>
      <vt:lpstr>'SEFA NOTES'!Print_Area</vt:lpstr>
      <vt:lpstr>'SEFA NOTES (2)'!Print_Area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2019-09-25T16:17:21Z</cp:lastPrinted>
  <dcterms:created xsi:type="dcterms:W3CDTF">2003-10-29T19:06:34Z</dcterms:created>
  <dcterms:modified xsi:type="dcterms:W3CDTF">2019-11-14T21:56:43Z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