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0AE16985-47FB-4111-B50F-9C8433470FFA}" xr6:coauthVersionLast="36" xr6:coauthVersionMax="36" xr10:uidLastSave="{00000000-0000-0000-0000-000000000000}"/>
  <bookViews>
    <workbookView xWindow="-120" yWindow="-120" windowWidth="29040" windowHeight="15840" tabRatio="65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3" i="145" l="1"/>
  <c r="D45" i="174" l="1"/>
  <c r="G39" i="174"/>
  <c r="G38" i="174"/>
  <c r="M16" i="184" l="1"/>
  <c r="M14" i="184"/>
  <c r="M27" i="184" s="1"/>
  <c r="K16" i="184"/>
  <c r="J16" i="184"/>
  <c r="I16" i="184"/>
  <c r="H16" i="184"/>
  <c r="G16" i="184"/>
  <c r="L16" i="184" s="1"/>
  <c r="F16" i="184"/>
  <c r="K14" i="184"/>
  <c r="K27" i="184" s="1"/>
  <c r="J14" i="184"/>
  <c r="J27" i="184" s="1"/>
  <c r="H14" i="184"/>
  <c r="G14" i="184"/>
  <c r="F14" i="184"/>
  <c r="E16" i="184"/>
  <c r="E27" i="184" s="1"/>
  <c r="E14" i="184"/>
  <c r="H27" i="184"/>
  <c r="G27" i="184"/>
  <c r="F27" i="184"/>
  <c r="I27" i="183"/>
  <c r="L27" i="183" s="1"/>
  <c r="M27" i="183"/>
  <c r="K27" i="183"/>
  <c r="J27" i="183"/>
  <c r="H27" i="183"/>
  <c r="G27" i="183"/>
  <c r="F27" i="183"/>
  <c r="E27" i="183"/>
  <c r="M27" i="179"/>
  <c r="K27" i="179"/>
  <c r="J27" i="179"/>
  <c r="I27" i="179"/>
  <c r="I14" i="184" s="1"/>
  <c r="H27" i="179"/>
  <c r="G27" i="179"/>
  <c r="F27" i="179"/>
  <c r="E27" i="179"/>
  <c r="L26" i="184"/>
  <c r="L25" i="184"/>
  <c r="L24" i="184"/>
  <c r="L23" i="184"/>
  <c r="L22" i="184"/>
  <c r="L21" i="184"/>
  <c r="L20" i="184"/>
  <c r="L19" i="184"/>
  <c r="L18" i="184"/>
  <c r="L17" i="184"/>
  <c r="L15" i="184"/>
  <c r="L13" i="184"/>
  <c r="L12" i="184"/>
  <c r="L11" i="184"/>
  <c r="B4" i="184"/>
  <c r="L26" i="183"/>
  <c r="L25" i="183"/>
  <c r="L24" i="183"/>
  <c r="L22" i="183"/>
  <c r="L21" i="183"/>
  <c r="L20" i="183"/>
  <c r="L19" i="183"/>
  <c r="L18" i="183"/>
  <c r="L17" i="183"/>
  <c r="L16" i="183"/>
  <c r="L15" i="183"/>
  <c r="L14" i="183"/>
  <c r="L13" i="183"/>
  <c r="L12" i="183"/>
  <c r="L11" i="183"/>
  <c r="B4" i="183"/>
  <c r="I27" i="184" l="1"/>
  <c r="D35" i="171" s="1"/>
  <c r="L14" i="184"/>
  <c r="L23" i="183"/>
  <c r="L27" i="184" l="1"/>
  <c r="C8" i="29" l="1"/>
  <c r="H79" i="29"/>
  <c r="E51" i="29"/>
  <c r="D51" i="29"/>
  <c r="E36" i="29"/>
  <c r="F8" i="29"/>
  <c r="E8" i="29"/>
  <c r="D8" i="29"/>
  <c r="C33"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4"/>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7761" i="106"/>
  <c r="D7761" i="106" s="1"/>
  <c r="L127" i="29"/>
  <c r="L129" i="29" s="1"/>
  <c r="L139" i="29"/>
  <c r="L149" i="29"/>
  <c r="I7" i="145"/>
  <c r="I6" i="145"/>
  <c r="D82" i="36"/>
  <c r="D78" i="36"/>
  <c r="K75" i="29"/>
  <c r="K130" i="29"/>
  <c r="B2805" i="106" s="1"/>
  <c r="D2805" i="106" s="1"/>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K93" i="29"/>
  <c r="K94" i="29"/>
  <c r="K95" i="29"/>
  <c r="B7001" i="106" s="1"/>
  <c r="D7001" i="106" s="1"/>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I24" i="12" s="1"/>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G27" i="108"/>
  <c r="F36" i="108"/>
  <c r="F37" i="108"/>
  <c r="G28" i="108"/>
  <c r="G29" i="108"/>
  <c r="E30" i="108"/>
  <c r="G30"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F49" i="34"/>
  <c r="C50" i="34"/>
  <c r="D50" i="34"/>
  <c r="C51" i="34"/>
  <c r="D51" i="34"/>
  <c r="C52" i="34"/>
  <c r="F52" i="34"/>
  <c r="C53" i="34"/>
  <c r="D53" i="34"/>
  <c r="C56" i="34"/>
  <c r="C57" i="34"/>
  <c r="D57" i="34"/>
  <c r="C61" i="34"/>
  <c r="C62" i="34"/>
  <c r="F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F14" i="4"/>
  <c r="B2597" i="106" s="1"/>
  <c r="D2597" i="106" s="1"/>
  <c r="B2633" i="106"/>
  <c r="D2633" i="106" s="1"/>
  <c r="N22" i="3"/>
  <c r="B283" i="106" s="1"/>
  <c r="D283" i="106" s="1"/>
  <c r="D7" i="118"/>
  <c r="D8" i="118"/>
  <c r="D9" i="118"/>
  <c r="H14" i="118"/>
  <c r="H19" i="118"/>
  <c r="H24" i="118"/>
  <c r="H28" i="118"/>
  <c r="H29" i="118"/>
  <c r="K28" i="118" s="1"/>
  <c r="O27" i="118" s="1"/>
  <c r="O29" i="118" s="1"/>
  <c r="D11" i="37"/>
  <c r="J22" i="37"/>
  <c r="L22" i="37"/>
  <c r="D24" i="37"/>
  <c r="B4270" i="106" s="1"/>
  <c r="D4270" i="106" s="1"/>
  <c r="D9" i="7"/>
  <c r="B1767" i="106" s="1"/>
  <c r="D1767" i="106" s="1"/>
  <c r="D17" i="7"/>
  <c r="B4104" i="106" s="1"/>
  <c r="D4104" i="106" s="1"/>
  <c r="E29" i="108" l="1"/>
  <c r="E28" i="108"/>
  <c r="D54" i="36"/>
  <c r="B1996" i="106"/>
  <c r="D1996" i="106" s="1"/>
  <c r="I26" i="12"/>
  <c r="B7741" i="106" s="1"/>
  <c r="D7741" i="106" s="1"/>
  <c r="H33" i="118"/>
  <c r="D14" i="4"/>
  <c r="B2570" i="106" s="1"/>
  <c r="D2570" i="106" s="1"/>
  <c r="F19" i="7"/>
  <c r="B1807" i="106" s="1"/>
  <c r="D1807" i="106" s="1"/>
  <c r="G39" i="108"/>
  <c r="D7245" i="106"/>
  <c r="F44" i="34"/>
  <c r="G38" i="108"/>
  <c r="D31" i="108"/>
  <c r="L5" i="11"/>
  <c r="B2056" i="106" s="1"/>
  <c r="D2056" i="106" s="1"/>
  <c r="D22" i="37"/>
  <c r="F56" i="34"/>
  <c r="F50" i="34"/>
  <c r="F42" i="34"/>
  <c r="F34" i="34"/>
  <c r="E38" i="108"/>
  <c r="F28" i="108"/>
  <c r="C342" i="29"/>
  <c r="B7216" i="106" s="1"/>
  <c r="D7216" i="106" s="1"/>
  <c r="J41" i="3"/>
  <c r="B6216" i="106" s="1"/>
  <c r="D6216" i="106" s="1"/>
  <c r="H365" i="29"/>
  <c r="B7242" i="106" s="1"/>
  <c r="D7242" i="106" s="1"/>
  <c r="H76" i="4"/>
  <c r="B3298" i="106" s="1"/>
  <c r="D3298" i="106" s="1"/>
  <c r="F77" i="4"/>
  <c r="B3255" i="106" s="1"/>
  <c r="D3255" i="106" s="1"/>
  <c r="K184" i="29"/>
  <c r="F13" i="4" s="1"/>
  <c r="B2596" i="106" s="1"/>
  <c r="D2596" i="106" s="1"/>
  <c r="G210" i="29"/>
  <c r="G15" i="145"/>
  <c r="D52" i="36"/>
  <c r="B1308" i="106"/>
  <c r="D1308" i="106" s="1"/>
  <c r="E174" i="29"/>
  <c r="B1309" i="106" s="1"/>
  <c r="D1309" i="106" s="1"/>
  <c r="L367" i="29"/>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C114" i="29" l="1"/>
  <c r="B757" i="106" s="1"/>
  <c r="D757" i="106" s="1"/>
  <c r="L16" i="11"/>
  <c r="B2061" i="106" s="1"/>
  <c r="D2061" i="106" s="1"/>
  <c r="D51" i="36"/>
  <c r="B1381" i="106"/>
  <c r="D1381" i="106" s="1"/>
  <c r="F174" i="34"/>
  <c r="K342" i="29"/>
  <c r="F13" i="34"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<sst xmlns="http://schemas.openxmlformats.org/spreadsheetml/2006/main" count="5214" uniqueCount="2124">
  <si>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</si>
  <si>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</si>
  <si>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</si>
  <si>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</si>
  <si>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</si>
  <si>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</si>
  <si>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</si>
  <si>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</si>
  <si>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</si>
  <si>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</si>
  <si>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</si>
  <si>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</si>
  <si>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</si>
  <si>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</si>
  <si>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</si>
  <si>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</si>
  <si>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</si>
  <si>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</si>
  <si>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</si>
  <si>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</si>
  <si>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</si>
  <si>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</si>
  <si>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</si>
  <si>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</si>
  <si>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</si>
  <si>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</si>
  <si>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</si>
  <si>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</si>
  <si>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</si>
  <si>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</si>
  <si>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</si>
  <si>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</si>
  <si>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</si>
  <si>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</si>
  <si>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</si>
  <si>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</si>
  <si>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</si>
  <si>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</si>
  <si>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</si>
  <si>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</si>
  <si>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</si>
  <si>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</si>
  <si>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</si>
  <si>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</si>
  <si>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</si>
  <si>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</si>
  <si>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</si>
  <si>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</si>
  <si>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</si>
  <si>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</si>
  <si>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</si>
  <si>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</si>
  <si>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</si>
  <si>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</si>
  <si>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</si>
  <si>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</si>
  <si>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</si>
  <si>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</si>
  <si>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</si>
  <si>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</si>
  <si>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</si>
  <si>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</si>
  <si>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</si>
  <si>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</si>
  <si>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</si>
  <si>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</si>
  <si>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</si>
  <si>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</si>
  <si>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</si>
  <si>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</si>
  <si>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</si>
  <si>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</si>
  <si>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</si>
  <si>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</si>
  <si>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</si>
  <si>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</si>
  <si>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</si>
  <si>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</si>
  <si>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</si>
  <si>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</si>
  <si>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</si>
  <si>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</si>
  <si>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</si>
  <si>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</si>
  <si>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</si>
  <si>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</si>
  <si>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</si>
  <si>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</si>
  <si>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</si>
  <si>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</si>
  <si>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</si>
  <si>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</si>
  <si>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</si>
  <si>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</si>
  <si>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</si>
  <si>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</si>
  <si>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</si>
  <si>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</si>
  <si>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</si>
  <si>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</si>
  <si>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</si>
  <si>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</si>
  <si>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</si>
  <si>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</si>
  <si>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</si>
  <si>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</si>
  <si>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</si>
  <si>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</si>
  <si>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</si>
  <si>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</si>
  <si>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</si>
  <si>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</si>
  <si>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</si>
  <si>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</si>
  <si>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</si>
  <si>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</si>
  <si>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</si>
  <si>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</si>
  <si>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</si>
  <si>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</si>
  <si>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</si>
  <si>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</si>
  <si>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</si>
  <si>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</si>
  <si>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</si>
  <si>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</si>
  <si>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</si>
  <si>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</si>
  <si>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</si>
  <si>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</si>
  <si>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</si>
  <si>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</si>
  <si>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</si>
  <si>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</si>
  <si>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</si>
  <si>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</si>
  <si>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</si>
  <si>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</si>
  <si>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</si>
  <si>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</si>
  <si>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</si>
  <si>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</si>
  <si>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</si>
  <si>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</si>
  <si>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</si>
  <si>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</si>
  <si>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</si>
  <si>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</si>
  <si>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</si>
  <si>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</si>
  <si>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</si>
  <si>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</si>
  <si>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</si>
  <si>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</si>
  <si>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</si>
  <si>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</si>
  <si>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</si>
  <si>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</si>
  <si>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</si>
  <si>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</si>
  <si>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</si>
  <si>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</si>
  <si>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</si>
  <si>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</si>
  <si>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</si>
  <si>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</si>
  <si>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</si>
  <si>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</si>
  <si>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</si>
  <si>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</si>
  <si>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</si>
  <si>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</si>
  <si>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</si>
  <si>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</si>
  <si>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</si>
  <si>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</si>
  <si>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</si>
  <si>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</si>
  <si>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</si>
  <si>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</si>
  <si>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</si>
  <si>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</si>
  <si>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</si>
  <si>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</si>
  <si>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</si>
  <si>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</si>
  <si>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</si>
  <si>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</si>
  <si>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</si>
  <si>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</si>
  <si>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</si>
  <si>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</si>
  <si>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</si>
  <si>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</si>
  <si>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</si>
  <si>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</si>
  <si>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</si>
  <si>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</si>
  <si>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</si>
  <si>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</si>
  <si>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</si>
  <si>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</si>
  <si>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</si>
  <si>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</si>
  <si>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</si>
  <si>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</si>
  <si>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</si>
  <si>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</si>
  <si>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</si>
  <si>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</si>
  <si>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</si>
  <si>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</si>
  <si>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</si>
  <si>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</si>
  <si>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</si>
  <si>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</si>
  <si>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</si>
  <si>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</si>
  <si>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</si>
  <si>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</si>
  <si>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</si>
  <si>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</si>
  <si>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</si>
  <si>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</si>
  <si>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</si>
  <si>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</si>
  <si>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</si>
  <si>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</si>
  <si>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</si>
  <si>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</si>
  <si>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</si>
  <si>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</si>
  <si>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</si>
  <si>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</si>
  <si>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</si>
  <si>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</si>
  <si>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</si>
  <si>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</si>
  <si>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</si>
  <si>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</si>
  <si>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</si>
  <si>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</si>
  <si>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</si>
  <si>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</si>
  <si>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</si>
  <si>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</si>
  <si>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</si>
  <si>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</si>
  <si>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</si>
  <si>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</si>
  <si>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</si>
  <si>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</si>
  <si>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</si>
  <si>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</si>
  <si>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</si>
  <si>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</si>
  <si>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</si>
  <si>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</si>
  <si>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</si>
  <si>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</si>
  <si>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</si>
  <si>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</si>
  <si>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</si>
  <si>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</si>
  <si>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</si>
  <si>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</si>
  <si>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</si>
  <si>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</si>
  <si>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</si>
  <si>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</si>
  <si>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</si>
  <si>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</si>
  <si>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</si>
  <si>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</si>
  <si>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</si>
  <si>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</si>
  <si>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</si>
  <si>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</si>
  <si>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</si>
  <si>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</si>
  <si>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</si>
  <si>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</si>
  <si>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</si>
  <si>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</si>
  <si>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</si>
  <si>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</si>
  <si>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</si>
  <si>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</si>
  <si>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</si>
  <si>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</si>
  <si>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</si>
  <si>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</si>
  <si>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</si>
  <si>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</si>
  <si>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</si>
  <si>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</si>
  <si>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</si>
  <si>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</si>
  <si>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</si>
  <si>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</si>
  <si>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</si>
  <si>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</si>
  <si>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</si>
  <si>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</si>
  <si>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</si>
  <si>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</si>
  <si>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</si>
  <si>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</si>
  <si>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</si>
  <si>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</si>
  <si>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</si>
  <si>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</si>
  <si>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</si>
  <si>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</si>
  <si>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</si>
  <si>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</si>
  <si>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</si>
  <si>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</si>
  <si>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</si>
  <si>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</si>
  <si>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</si>
  <si>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</si>
  <si>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</si>
  <si>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</si>
  <si>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</si>
  <si>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</si>
  <si>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</si>
  <si>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</si>
  <si>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</si>
  <si>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</si>
  <si>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</si>
  <si>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</si>
  <si>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</si>
  <si>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</si>
  <si>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</si>
  <si>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</si>
  <si>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</si>
  <si>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</si>
  <si>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</si>
  <si>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</si>
  <si>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</si>
  <si>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</si>
  <si>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</si>
  <si>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</si>
  <si>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</si>
  <si>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</si>
  <si>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</si>
  <si>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</si>
  <si>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</si>
  <si>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</si>
  <si>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</si>
  <si>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</si>
  <si>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</si>
  <si>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</si>
  <si>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</si>
  <si>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</si>
  <si>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</si>
  <si>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</si>
  <si>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</si>
  <si>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</si>
  <si>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</si>
  <si>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</si>
  <si>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</si>
  <si>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</si>
  <si>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</si>
  <si>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</si>
  <si>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</si>
  <si>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</si>
  <si>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</si>
  <si>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</si>
  <si>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</si>
  <si>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</si>
  <si>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</si>
  <si>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</si>
  <si>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</si>
  <si>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</si>
  <si>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</si>
  <si>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</si>
  <si>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</si>
  <si>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</si>
  <si>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</si>
  <si>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</si>
  <si>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</si>
  <si>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</si>
  <si>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</si>
  <si>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</si>
  <si>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</si>
  <si>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</si>
  <si>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</si>
  <si>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</si>
  <si>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</si>
  <si>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</si>
  <si>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</si>
  <si>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</si>
  <si>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</si>
  <si>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</si>
  <si>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</si>
  <si>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</si>
  <si>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</si>
  <si>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</si>
  <si>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</si>
  <si>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</si>
  <si>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</si>
  <si>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</si>
  <si>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</si>
  <si>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</si>
  <si>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</si>
  <si>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</si>
  <si>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</si>
  <si>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</si>
  <si>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</si>
  <si>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</si>
  <si>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</si>
  <si>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</si>
  <si>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</si>
  <si>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</si>
  <si>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</si>
  <si>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</si>
  <si>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</si>
  <si>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</si>
  <si>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</si>
  <si>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</si>
  <si>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</si>
  <si>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</si>
  <si>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</si>
  <si>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</si>
  <si>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</si>
  <si>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</si>
  <si>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</si>
  <si>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</si>
  <si>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</si>
  <si>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</si>
  <si>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</si>
  <si>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</si>
  <si>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</si>
  <si>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</si>
  <si>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</si>
  <si>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</si>
  <si>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</si>
  <si>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</si>
  <si>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</si>
  <si>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</si>
  <si>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</si>
  <si>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</si>
  <si>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</si>
  <si>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</si>
  <si>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</si>
  <si>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</si>
  <si>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</si>
  <si>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</si>
  <si>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</si>
  <si>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</si>
  <si>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</si>
  <si>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</si>
  <si>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</si>
  <si>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</si>
  <si>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</si>
  <si>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</si>
  <si>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</si>
  <si>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</si>
  <si>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</si>
  <si>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</si>
  <si>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</si>
  <si>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</si>
  <si>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</si>
  <si>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</si>
  <si>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</si>
  <si>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</si>
  <si>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</si>
  <si>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</si>
  <si>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</si>
  <si>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</si>
  <si>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</si>
  <si>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</si>
  <si>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</si>
  <si>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</si>
  <si>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</si>
  <si>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</si>
  <si>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</si>
  <si>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</si>
  <si>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</si>
  <si>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</si>
  <si>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</si>
  <si>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</si>
  <si>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</si>
  <si>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</si>
  <si>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</si>
  <si>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</si>
  <si>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</si>
  <si>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</si>
  <si>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</si>
  <si>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</si>
  <si>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</si>
  <si>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</si>
  <si>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</si>
  <si>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</si>
  <si>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</si>
  <si>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</si>
  <si>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</si>
  <si>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</si>
  <si>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</si>
  <si>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</si>
  <si>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</si>
  <si>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</si>
  <si>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</si>
  <si>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</si>
  <si>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</si>
  <si>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</si>
  <si>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</si>
  <si>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</si>
  <si>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</si>
  <si>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</si>
  <si>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</si>
  <si>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</si>
  <si>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</si>
  <si>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</si>
  <si>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</si>
  <si>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</si>
  <si>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</si>
  <si>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</si>
  <si>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</si>
  <si>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</si>
  <si>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</si>
  <si>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</si>
  <si>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</si>
  <si>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</si>
  <si>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</si>
  <si>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</si>
  <si>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</si>
  <si>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</si>
  <si>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</si>
  <si>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</si>
  <si>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</si>
  <si>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</si>
  <si>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</si>
  <si>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</si>
  <si>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</si>
  <si>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</si>
  <si>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</si>
  <si>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</si>
  <si>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</si>
  <si>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</si>
  <si>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</si>
  <si>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</si>
  <si>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</si>
  <si>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</si>
  <si>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</si>
  <si>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</si>
  <si>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</si>
  <si>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</si>
  <si>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</si>
  <si>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</si>
  <si>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</si>
  <si>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</si>
  <si>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</si>
  <si>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</si>
  <si>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</si>
  <si>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</si>
  <si>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</si>
  <si>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</si>
  <si>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</si>
  <si>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</si>
  <si>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</si>
  <si>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</si>
  <si>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</si>
  <si>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</si>
  <si>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</si>
  <si>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</si>
  <si>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</si>
  <si>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</si>
  <si>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</si>
  <si>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</si>
  <si>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</si>
  <si>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</si>
  <si>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</si>
  <si>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</si>
  <si>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</si>
  <si>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</si>
  <si>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</si>
  <si>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</si>
  <si>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</si>
  <si>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</si>
  <si>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</si>
  <si>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</si>
  <si>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</si>
  <si>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</si>
  <si>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</si>
  <si>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</si>
  <si>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</si>
  <si>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</si>
  <si>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</si>
  <si>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</si>
  <si>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</si>
  <si>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</si>
  <si>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</si>
  <si>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</si>
  <si>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</si>
  <si>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</si>
  <si>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</si>
  <si>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</si>
  <si>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</si>
  <si>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</si>
  <si>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</si>
  <si>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</si>
  <si>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</si>
  <si>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</si>
  <si>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</si>
  <si>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</si>
  <si>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</si>
  <si>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</si>
  <si>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</si>
  <si>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</si>
  <si>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</si>
  <si>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</si>
  <si>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</si>
  <si>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</si>
  <si>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</si>
  <si>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</si>
  <si>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</si>
  <si>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</si>
  <si>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</si>
  <si>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</si>
  <si>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</si>
  <si>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</si>
  <si>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</si>
  <si>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</si>
  <si>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</si>
  <si>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</si>
  <si>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</si>
  <si>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</si>
  <si>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</si>
  <si>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</si>
  <si>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</si>
  <si>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</si>
  <si>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</si>
  <si>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</si>
  <si>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</si>
  <si>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</si>
  <si>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</si>
  <si>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</si>
  <si>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</si>
  <si>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</si>
  <si>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</si>
  <si>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</si>
  <si>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</si>
  <si>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</si>
  <si>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</si>
  <si>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</si>
  <si>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</si>
  <si>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</si>
  <si>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</si>
  <si>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</si>
  <si>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</si>
  <si>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</si>
  <si>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</si>
  <si>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</si>
  <si>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</si>
  <si>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</si>
  <si>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</si>
  <si>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</si>
  <si>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</si>
  <si>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</si>
  <si>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</si>
  <si>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</si>
  <si>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</si>
  <si>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</si>
  <si>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</si>
  <si>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</si>
  <si>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</si>
  <si>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</si>
  <si>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</si>
  <si>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</si>
  <si>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</si>
  <si>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</si>
  <si>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</si>
  <si>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</si>
  <si>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</si>
  <si>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</si>
  <si>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</si>
  <si>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</si>
  <si>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</si>
  <si>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</si>
  <si>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</si>
  <si>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</si>
  <si>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</si>
  <si>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</si>
  <si>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</si>
  <si>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</si>
  <si>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</si>
  <si>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</si>
  <si>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</si>
  <si>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</si>
  <si>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</si>
  <si>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</si>
  <si>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</si>
  <si>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</si>
  <si>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</si>
  <si>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</si>
  <si>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</si>
  <si>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</si>
  <si>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</si>
  <si>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</si>
  <si>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</si>
  <si>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</si>
  <si>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</si>
  <si>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</si>
  <si>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</si>
  <si>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</si>
  <si>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</si>
  <si>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</si>
  <si>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</si>
  <si>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</si>
  <si>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</si>
  <si>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</si>
  <si>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</si>
  <si>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</si>
  <si>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</si>
  <si>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</si>
  <si>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</si>
  <si>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</si>
  <si>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</si>
  <si>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</si>
  <si>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</si>
  <si>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</si>
  <si>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</si>
  <si>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</si>
  <si>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</si>
  <si>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</si>
  <si>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</si>
  <si>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</si>
  <si>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</si>
  <si>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</si>
  <si>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</si>
  <si>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</si>
  <si>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</si>
  <si>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</si>
  <si>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</si>
  <si>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</si>
  <si>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</si>
  <si>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</si>
  <si>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</si>
  <si>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</si>
  <si>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</si>
  <si>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</si>
  <si>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</si>
  <si>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</si>
  <si>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</si>
  <si>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</si>
  <si>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</si>
  <si>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</si>
  <si>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</si>
  <si>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</si>
  <si>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</si>
  <si>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</si>
  <si>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</si>
  <si>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</si>
  <si>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</si>
  <si>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</si>
  <si>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</si>
  <si>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</si>
  <si>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</si>
  <si>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</si>
  <si>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</si>
  <si>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</si>
  <si>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</si>
  <si>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</si>
  <si>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</si>
  <si>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</si>
  <si>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</si>
  <si>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</si>
  <si>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</si>
  <si>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</si>
  <si>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</si>
  <si>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</si>
  <si>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</si>
  <si>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</si>
  <si>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</si>
  <si>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</si>
  <si>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</si>
  <si>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</si>
  <si>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</si>
  <si>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</si>
  <si>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</si>
  <si>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</si>
  <si>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</si>
  <si>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</si>
  <si>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</si>
  <si>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</si>
  <si>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</si>
  <si>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</si>
  <si>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</si>
  <si>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</si>
  <si>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</si>
  <si>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</si>
  <si>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</si>
  <si>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</si>
  <si>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</si>
  <si>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</si>
  <si>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</si>
  <si>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</si>
  <si>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</si>
  <si>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</si>
  <si>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</si>
  <si>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</si>
  <si>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</si>
  <si>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</si>
  <si>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</si>
  <si>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</si>
  <si>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</si>
  <si>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</si>
  <si>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</si>
  <si>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</si>
  <si>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</si>
  <si>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</si>
  <si>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</si>
  <si>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</si>
  <si>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</si>
  <si>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</si>
  <si>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</si>
  <si>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</si>
  <si>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</si>
  <si>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</si>
  <si>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</si>
  <si>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</si>
  <si>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</si>
  <si>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</si>
  <si>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</si>
  <si>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</si>
  <si>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</si>
  <si>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</si>
  <si>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</si>
  <si>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</si>
  <si>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</si>
  <si>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</si>
  <si>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</si>
  <si>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</si>
  <si>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</si>
  <si>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</si>
  <si>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</si>
  <si>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</si>
  <si>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</si>
  <si>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</si>
  <si>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</si>
  <si>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</si>
  <si>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</si>
  <si>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</si>
  <si>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</si>
  <si>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</si>
  <si>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</si>
  <si>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</si>
  <si>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</si>
  <si>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</si>
  <si>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</si>
  <si>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</si>
  <si>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</si>
  <si>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</si>
  <si>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</si>
  <si>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</si>
  <si>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</si>
  <si>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</si>
  <si>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</si>
  <si>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</si>
  <si>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</si>
  <si>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</si>
  <si>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</si>
  <si>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</si>
  <si>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</si>
  <si>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</si>
  <si>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</si>
  <si>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</si>
  <si>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</si>
  <si>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</si>
  <si>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</si>
  <si>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</si>
  <si>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</si>
  <si>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</si>
  <si>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</si>
  <si>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</si>
  <si>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</si>
  <si>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</si>
  <si>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</si>
  <si>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</si>
  <si>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</si>
  <si>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</si>
  <si>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</si>
  <si>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</si>
  <si>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</si>
  <si>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</si>
  <si>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</si>
  <si>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</si>
  <si>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</si>
  <si>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</si>
  <si>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</si>
  <si>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</si>
  <si>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</si>
  <si>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</si>
  <si>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</si>
  <si>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</si>
  <si>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</si>
  <si>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</si>
  <si>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</si>
  <si>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</si>
  <si>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</si>
  <si>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</si>
  <si>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</si>
  <si>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</si>
  <si>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</si>
  <si>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</si>
  <si>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</si>
  <si>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</si>
  <si>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</si>
  <si>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</si>
  <si>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</si>
  <si>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</si>
  <si>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</si>
  <si>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</si>
  <si>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</si>
  <si>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</si>
  <si>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</si>
  <si>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</si>
  <si>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</si>
  <si>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</si>
  <si>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</si>
  <si>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</si>
  <si>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</si>
  <si>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</si>
  <si>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</si>
  <si>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</si>
  <si>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</si>
  <si>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</si>
  <si>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</si>
  <si>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</si>
  <si>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</si>
  <si>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</si>
  <si>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</si>
  <si>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</si>
  <si>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</si>
  <si>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</si>
  <si>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</si>
  <si>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</si>
  <si>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</si>
  <si>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</si>
  <si>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</si>
  <si>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</si>
  <si>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</si>
  <si>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</si>
  <si>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</si>
  <si>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</si>
  <si>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</si>
  <si>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</si>
  <si>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</si>
  <si>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</si>
  <si>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</si>
  <si>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</si>
  <si>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</si>
  <si>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</si>
  <si>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</si>
  <si>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</si>
  <si>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</si>
  <si>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</si>
  <si>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</si>
  <si>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</si>
  <si>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</si>
  <si>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</si>
  <si>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</si>
  <si>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</si>
  <si>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</si>
  <si>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</si>
  <si>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</si>
  <si>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</si>
  <si>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</si>
  <si>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</si>
  <si>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</si>
  <si>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</si>
  <si>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</si>
  <si>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</si>
  <si>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</si>
  <si>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</si>
  <si>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</si>
  <si>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</si>
  <si>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</si>
  <si>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</si>
  <si>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</si>
  <si>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</si>
  <si>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</si>
  <si>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</si>
  <si>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</si>
  <si>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</si>
  <si>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</si>
  <si>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</si>
  <si>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</si>
  <si>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</si>
  <si>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</si>
  <si>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</si>
  <si>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</si>
  <si>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</si>
  <si>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</si>
  <si>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</si>
  <si>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</si>
  <si>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</si>
  <si>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</si>
  <si>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</si>
  <si>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</si>
  <si>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</si>
  <si>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</si>
  <si>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</si>
  <si>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</si>
  <si>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</si>
  <si>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</si>
  <si>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</si>
  <si>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</si>
  <si>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</si>
  <si>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</si>
  <si>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</si>
  <si>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</si>
  <si>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</si>
  <si>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</si>
  <si>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</si>
  <si>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</si>
  <si>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</si>
  <si>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</si>
  <si>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</si>
  <si>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</si>
  <si>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</si>
  <si>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</si>
  <si>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</si>
  <si>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</si>
  <si>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</si>
  <si>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</si>
  <si>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</si>
  <si>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</si>
  <si>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</si>
  <si>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</si>
  <si>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</si>
  <si>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</si>
  <si>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</si>
  <si>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</si>
  <si>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</si>
  <si>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</si>
  <si>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</si>
  <si>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</si>
  <si>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</si>
  <si>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</si>
  <si>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</si>
  <si>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</si>
  <si>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</si>
  <si>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</si>
  <si>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</si>
  <si>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</si>
  <si>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</si>
  <si>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</si>
  <si>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</si>
  <si>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</si>
  <si>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</si>
  <si>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</si>
  <si>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</si>
  <si>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</si>
  <si>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</si>
  <si>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</si>
  <si>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</si>
  <si>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</si>
  <si>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</si>
  <si>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</si>
  <si>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</si>
  <si>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</si>
  <si>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</si>
  <si>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</si>
  <si>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</si>
  <si>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</si>
  <si>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</si>
  <si>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</si>
  <si>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</si>
  <si>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</si>
  <si>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</si>
  <si>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</si>
  <si>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</si>
  <si>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</si>
  <si>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</si>
  <si>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</si>
  <si>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</si>
  <si>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</si>
  <si>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</si>
  <si>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</si>
  <si>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</si>
  <si>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</si>
  <si>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</si>
  <si>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</si>
  <si>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</si>
  <si>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</si>
  <si>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</si>
  <si>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</si>
  <si>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</si>
  <si>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</si>
  <si>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</si>
  <si>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</si>
  <si>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</si>
  <si>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</si>
  <si>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</si>
  <si>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</si>
  <si>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</si>
  <si>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</si>
  <si>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</si>
  <si>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</si>
  <si>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</si>
  <si>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</si>
  <si>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</si>
  <si>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</si>
  <si>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</si>
  <si>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</si>
  <si>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</si>
  <si>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</si>
  <si>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</si>
  <si>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</si>
  <si>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</si>
  <si>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</si>
  <si>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</si>
  <si>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</si>
  <si>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</si>
  <si>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</si>
  <si>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</si>
  <si>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</si>
  <si>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</si>
  <si>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</si>
  <si>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</si>
  <si>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</si>
  <si>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</si>
  <si>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</si>
  <si>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</si>
  <si>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</si>
  <si>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</si>
  <si>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</si>
  <si>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</si>
  <si>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</si>
  <si>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</si>
  <si>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</si>
  <si>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</si>
  <si>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</si>
  <si>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</si>
  <si>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</si>
  <si>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</si>
  <si>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</si>
  <si>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</si>
  <si>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</si>
  <si>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</si>
  <si>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</si>
  <si>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</si>
  <si>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</si>
  <si>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</si>
  <si>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</si>
  <si>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</si>
  <si>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</si>
  <si>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</si>
  <si>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</si>
  <si>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</si>
  <si>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</si>
  <si>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</si>
  <si>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</si>
  <si>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</si>
  <si>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</si>
  <si>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</si>
  <si>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</si>
  <si>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</si>
  <si>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</si>
  <si>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</si>
  <si>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</si>
  <si>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</si>
  <si>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</si>
  <si>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</si>
  <si>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</si>
  <si>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</si>
  <si>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</si>
  <si>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</si>
  <si>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</si>
  <si>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</si>
  <si>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</si>
  <si>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</si>
  <si>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</si>
  <si>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</si>
  <si>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</si>
  <si>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</si>
  <si>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</si>
  <si>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</si>
  <si>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</si>
  <si>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</si>
  <si>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</si>
  <si>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</si>
  <si>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</si>
  <si>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</si>
  <si>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</si>
  <si>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</si>
  <si>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</si>
  <si>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</si>
  <si>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</si>
  <si>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</si>
  <si>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</si>
  <si>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</si>
  <si>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</si>
  <si>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</si>
  <si>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</si>
  <si>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</si>
  <si>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</si>
  <si>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</si>
  <si>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</si>
  <si>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</si>
  <si>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</si>
  <si>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</si>
  <si>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</si>
  <si>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</si>
  <si>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</si>
  <si>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</si>
  <si>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</si>
  <si>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</si>
  <si>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</si>
  <si>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</si>
  <si>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</si>
  <si>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</si>
  <si>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</si>
  <si>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</si>
  <si>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</si>
  <si>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</si>
  <si>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</si>
  <si>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</si>
  <si>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</si>
  <si>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</si>
  <si>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</si>
  <si>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</si>
  <si>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</si>
  <si>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</si>
  <si>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</si>
  <si>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</si>
  <si>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</si>
  <si>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</si>
  <si>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</si>
  <si>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</si>
  <si>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</si>
  <si>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</si>
  <si>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</si>
  <si>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</si>
  <si>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</si>
  <si>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</si>
  <si>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</si>
  <si>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</si>
  <si>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</si>
  <si>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</si>
  <si>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</si>
  <si>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</si>
  <si>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</si>
  <si>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</si>
  <si>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</si>
  <si>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</si>
  <si>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</si>
  <si>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</si>
  <si>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</si>
  <si>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</si>
  <si>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</si>
  <si>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</si>
  <si>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</si>
  <si>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</si>
  <si>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</si>
  <si>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</si>
  <si>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</si>
  <si>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</si>
  <si>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</si>
  <si>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</si>
  <si>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</si>
  <si>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</si>
  <si>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</si>
  <si>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</si>
  <si>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</si>
  <si>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</si>
  <si>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</si>
  <si>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</si>
  <si>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</si>
  <si>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</si>
  <si>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</si>
  <si>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</si>
  <si>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</si>
  <si>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</si>
  <si>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</si>
  <si>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</si>
  <si>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</si>
  <si>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</si>
  <si>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</si>
  <si>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</si>
  <si>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</si>
  <si>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</si>
  <si>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</si>
  <si>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</si>
  <si>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</si>
  <si>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</si>
  <si>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</si>
  <si>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</si>
  <si>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</si>
  <si>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</si>
  <si>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</si>
  <si>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</si>
  <si>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</si>
  <si>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</si>
  <si>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</si>
  <si>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</si>
  <si>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</si>
  <si>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</si>
  <si>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</si>
  <si>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</si>
  <si>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</si>
  <si>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</si>
  <si>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</si>
  <si>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</si>
  <si>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</si>
  <si>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</si>
  <si>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</si>
  <si>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</si>
  <si>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</si>
  <si>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</si>
  <si>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</si>
  <si>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</si>
  <si>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</si>
  <si>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</si>
  <si>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</si>
  <si>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</si>
  <si>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</si>
  <si>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</si>
  <si>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</si>
  <si>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</si>
  <si>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</si>
  <si>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</si>
  <si>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</si>
  <si>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</si>
  <si>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</si>
  <si>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</si>
  <si>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</si>
  <si>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</si>
  <si>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</si>
  <si>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</si>
  <si>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</si>
  <si>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</si>
  <si>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</si>
  <si>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</si>
  <si>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</si>
  <si>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</si>
  <si>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</si>
  <si>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</si>
  <si>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</si>
  <si>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</si>
  <si>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</si>
  <si>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</si>
  <si>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</si>
  <si>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</si>
  <si>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</si>
  <si>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</si>
  <si>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</si>
  <si>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</si>
  <si>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</si>
  <si>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</si>
  <si>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</si>
  <si>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</si>
  <si>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</si>
  <si>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</si>
  <si>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</si>
  <si>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</si>
  <si>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</si>
  <si>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</si>
  <si>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</si>
  <si>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</si>
  <si>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</si>
  <si>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</si>
  <si>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</si>
  <si>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</si>
  <si>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</si>
  <si>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</si>
  <si>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</si>
  <si>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</si>
  <si>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</si>
  <si>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</si>
  <si>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</si>
  <si>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</si>
  <si>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</si>
  <si>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</si>
  <si>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</si>
  <si>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</si>
  <si>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</si>
  <si>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</si>
  <si>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</si>
  <si>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</si>
  <si>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</si>
  <si>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</si>
  <si>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</si>
  <si>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</si>
  <si>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</si>
  <si>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</si>
  <si>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</si>
  <si>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</si>
  <si>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</si>
  <si>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</si>
  <si>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</si>
  <si>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</si>
  <si>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</si>
  <si>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</si>
  <si>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</si>
  <si>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</si>
  <si>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</si>
  <si>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</si>
  <si>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</si>
  <si>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</si>
  <si>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</si>
  <si>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</si>
  <si>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</si>
  <si>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</si>
  <si>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</si>
  <si>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</si>
  <si>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</si>
  <si>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</si>
  <si>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</si>
  <si>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</si>
  <si>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</si>
  <si>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</si>
  <si>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</si>
  <si>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</si>
  <si>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</si>
  <si>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</si>
  <si>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</si>
  <si>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</si>
  <si>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</si>
  <si>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</si>
  <si>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</si>
  <si>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</si>
  <si>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</si>
  <si>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</si>
  <si>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</si>
  <si>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</si>
  <si>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</si>
  <si>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</si>
  <si>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</si>
  <si>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</si>
  <si>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</si>
  <si>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</si>
  <si>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</si>
  <si>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</si>
  <si>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</si>
  <si>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</si>
  <si>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</si>
  <si>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</si>
  <si>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</si>
  <si>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</si>
  <si>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</si>
  <si>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</si>
  <si>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</si>
  <si>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</si>
  <si>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</si>
  <si>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</si>
  <si>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</si>
  <si>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</si>
  <si>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</si>
  <si>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</si>
  <si>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</si>
  <si>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</si>
  <si>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</si>
  <si>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</si>
  <si>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</si>
  <si>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</si>
  <si>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</si>
  <si>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</si>
  <si>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</si>
  <si>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</si>
  <si>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</si>
  <si>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</si>
  <si>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</si>
  <si>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</si>
  <si>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</si>
  <si>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</si>
  <si>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</si>
  <si>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</si>
  <si>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</si>
  <si>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</si>
  <si>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</si>
  <si>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</si>
  <si>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</si>
  <si>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</si>
  <si>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</si>
  <si>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</si>
  <si>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</si>
  <si>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</si>
  <si>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</si>
  <si>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</si>
  <si>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</si>
  <si>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</si>
  <si>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</si>
  <si>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</si>
  <si>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</si>
  <si>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</si>
  <si>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</si>
  <si>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</si>
  <si>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</si>
  <si>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</si>
  <si>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</si>
  <si>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</si>
  <si>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</si>
  <si>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</si>
  <si>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</si>
  <si>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</si>
  <si>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</si>
  <si>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</si>
  <si>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</si>
  <si>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</si>
  <si>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</si>
  <si>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</si>
  <si>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</si>
  <si>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</si>
  <si>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</si>
  <si>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</si>
  <si>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</si>
  <si>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</si>
  <si>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</si>
  <si>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</si>
  <si>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</si>
  <si>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</si>
  <si>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</si>
  <si>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</si>
  <si>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</si>
  <si>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</si>
  <si>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</si>
  <si>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</si>
  <si>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</si>
  <si>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</si>
  <si>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</si>
  <si>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</si>
  <si>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</si>
  <si>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</si>
  <si>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</si>
  <si>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</si>
  <si>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</si>
  <si>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</si>
  <si>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</si>
  <si>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</si>
  <si>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</si>
  <si>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</si>
  <si>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</si>
  <si>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</si>
  <si>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</si>
  <si>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</si>
  <si>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</si>
  <si>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</si>
  <si>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</si>
  <si>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</si>
  <si>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</si>
  <si>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</si>
  <si>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</si>
  <si>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</si>
  <si>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</si>
  <si>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</si>
  <si>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</si>
  <si>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</si>
  <si>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</si>
  <si>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</si>
  <si>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</si>
  <si>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</si>
  <si>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</si>
  <si>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</si>
  <si>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</si>
  <si>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</si>
  <si>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</si>
  <si>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</si>
  <si>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</si>
  <si>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</si>
  <si>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</si>
  <si>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</si>
  <si>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</si>
  <si>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</si>
  <si>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</si>
  <si>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</si>
  <si>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</si>
  <si>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</si>
  <si>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</si>
  <si>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</si>
  <si>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</si>
  <si>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</si>
  <si>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</si>
  <si>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</si>
  <si>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</si>
  <si>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</si>
  <si>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</si>
  <si>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</si>
  <si>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</si>
  <si>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</si>
  <si>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</si>
  <si>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</si>
  <si>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</si>
  <si>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</si>
  <si>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</si>
  <si>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</si>
  <si>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</si>
  <si>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</si>
  <si>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</si>
  <si>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</si>
  <si>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</si>
  <si>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</si>
  <si>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</si>
  <si>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</si>
  <si>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</si>
  <si>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</si>
  <si>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</si>
  <si>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</si>
  <si>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</si>
  <si>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</si>
  <si>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</si>
  <si>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</si>
  <si>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</si>
  <si>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</si>
  <si>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</si>
  <si>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</si>
  <si>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</si>
  <si>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</si>
  <si>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</si>
  <si>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</si>
  <si>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</si>
  <si>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</si>
  <si>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</si>
  <si>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</si>
  <si>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</si>
  <si>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</si>
  <si>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</si>
  <si>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</si>
  <si>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</si>
  <si>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</si>
  <si>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</si>
  <si>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</si>
  <si>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</si>
  <si>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</si>
  <si>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</si>
  <si>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</si>
  <si>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</si>
  <si>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</si>
  <si>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</si>
  <si>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</si>
  <si>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</si>
  <si>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</si>
  <si>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</si>
  <si>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</si>
  <si>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</si>
  <si>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</si>
  <si>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</si>
  <si>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</si>
  <si>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</si>
  <si>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</si>
  <si>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</si>
  <si>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</si>
  <si>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</si>
  <si>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</si>
  <si>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</si>
  <si>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</si>
  <si>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</si>
  <si>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</si>
  <si>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</si>
  <si>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</si>
  <si>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</si>
  <si>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</si>
  <si>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</si>
  <si>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</si>
  <si>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</si>
  <si>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</si>
  <si>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</si>
  <si>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</si>
  <si>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</si>
  <si>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</si>
  <si>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</si>
  <si>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</si>
  <si>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</si>
  <si>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</si>
  <si>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</si>
  <si>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</si>
  <si>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</si>
  <si>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</si>
  <si>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</si>
  <si>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</si>
  <si>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</si>
  <si>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</si>
  <si>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</si>
  <si>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</si>
  <si>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</si>
  <si>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</si>
  <si>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</si>
  <si>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</si>
  <si>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</si>
  <si>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</si>
  <si>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</si>
  <si>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</si>
  <si>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</si>
  <si>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</si>
  <si>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</si>
  <si>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</si>
  <si>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</si>
  <si>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</si>
  <si>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</si>
  <si>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</si>
  <si>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</si>
  <si>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</si>
  <si>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</si>
  <si>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</si>
  <si>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</si>
  <si>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</si>
  <si>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</si>
  <si>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</si>
  <si>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</si>
  <si>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</si>
  <si>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</si>
  <si>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</si>
  <si>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</si>
  <si>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</si>
  <si>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</si>
  <si>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</si>
  <si>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</si>
  <si>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</si>
  <si>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</si>
  <si>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</si>
  <si>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</si>
  <si>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</si>
  <si>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</si>
  <si>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</si>
  <si>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</si>
  <si>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</si>
  <si>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</si>
  <si>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</si>
  <si>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</si>
  <si>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</si>
  <si>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</si>
  <si>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</si>
  <si>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</si>
  <si>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</si>
  <si>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</si>
  <si>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</si>
  <si>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</si>
  <si>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</si>
  <si>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</si>
  <si>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</si>
  <si>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</si>
  <si>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</si>
  <si>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</si>
  <si>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</si>
  <si>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</si>
  <si>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</si>
  <si>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</si>
  <si>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</si>
  <si>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</si>
  <si>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</si>
  <si>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</si>
  <si>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</si>
  <si>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</si>
  <si>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</si>
  <si>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</si>
  <si>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</si>
  <si>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</si>
  <si>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</si>
  <si>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</si>
  <si>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</si>
  <si>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</si>
  <si>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</si>
  <si>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</si>
  <si>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</si>
  <si>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</si>
  <si>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</si>
  <si>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</si>
  <si>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</si>
  <si>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</si>
  <si>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</si>
  <si>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</si>
  <si>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</si>
  <si>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</si>
  <si>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</si>
  <si>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</si>
  <si>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</si>
  <si>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</si>
  <si>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</si>
  <si>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</si>
  <si>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</si>
  <si>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</si>
  <si>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</si>
  <si>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</si>
  <si>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</si>
  <si>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</si>
  <si>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</si>
  <si>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</si>
  <si>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</si>
  <si>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</si>
  <si>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</si>
  <si>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</si>
  <si>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</si>
  <si>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</si>
  <si>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</si>
  <si>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</si>
  <si>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</si>
  <si>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</si>
  <si>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</si>
  <si>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</si>
  <si>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</si>
  <si>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</si>
  <si>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</si>
  <si>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</si>
  <si>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</si>
  <si>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</si>
  <si>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</si>
  <si>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</si>
  <si>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</si>
  <si>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</si>
  <si>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</si>
  <si>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</si>
  <si>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</si>
  <si>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</si>
  <si>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</si>
  <si>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</si>
  <si>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</si>
  <si>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</si>
  <si>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</si>
  <si>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</si>
  <si>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</si>
  <si>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</si>
  <si>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</si>
  <si>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</si>
  <si>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</si>
  <si>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</si>
  <si>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</si>
  <si>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</si>
  <si>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</si>
  <si>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</si>
  <si>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</si>
  <si>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</si>
  <si>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</si>
  <si>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</si>
  <si>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</si>
  <si>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</si>
  <si>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</si>
  <si>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</si>
  <si>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</si>
  <si>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</si>
  <si>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</si>
  <si>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</si>
  <si>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</si>
  <si>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</si>
  <si>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</si>
  <si>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</si>
  <si>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</si>
  <si>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</si>
  <si>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</si>
  <si>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</si>
  <si>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</si>
  <si>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</si>
  <si>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</si>
  <si>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</si>
  <si>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</si>
  <si>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</si>
  <si>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</si>
  <si>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</si>
  <si>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</si>
  <si>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</si>
  <si>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</si>
  <si>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</si>
  <si>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</si>
  <si>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</si>
  <si>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</si>
  <si>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</si>
  <si>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</si>
  <si>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</si>
  <si>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</si>
  <si>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</si>
  <si>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</si>
  <si>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</si>
  <si>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</si>
  <si>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</si>
  <si>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</si>
  <si>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</si>
  <si>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</si>
  <si>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</si>
  <si>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</si>
  <si>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</si>
  <si>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</si>
  <si>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</si>
  <si>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</si>
  <si>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</si>
  <si>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</si>
  <si>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</si>
  <si>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</si>
  <si>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</si>
  <si>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</si>
  <si>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</si>
  <si>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</si>
  <si>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</si>
  <si>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</si>
  <si>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</si>
  <si>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</si>
  <si>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</si>
  <si>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</si>
  <si>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</si>
  <si>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</si>
  <si>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</si>
  <si>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</si>
  <si>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</si>
  <si>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</si>
  <si>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</si>
  <si>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</si>
  <si>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</si>
  <si>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</si>
  <si>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</si>
  <si>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</si>
  <si>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</si>
  <si>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</si>
  <si>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</si>
  <si>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</si>
  <si>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</si>
  <si>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</si>
  <si>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</si>
  <si>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</si>
  <si>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</si>
  <si>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</si>
  <si>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</si>
  <si>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</si>
  <si>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</si>
  <si>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</si>
  <si>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</si>
  <si>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</si>
  <si>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</si>
  <si>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</si>
  <si>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</si>
  <si>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</si>
  <si>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</si>
  <si>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</si>
  <si>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</si>
  <si>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</si>
  <si>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</si>
  <si>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</si>
  <si>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</si>
  <si>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</si>
  <si>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</si>
  <si>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</si>
  <si>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</si>
  <si>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</si>
  <si>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</si>
  <si>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</si>
  <si>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</si>
  <si>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</si>
  <si>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</si>
  <si>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</si>
  <si>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</si>
  <si>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</si>
  <si>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</si>
  <si>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</si>
  <si>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</si>
  <si>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</si>
  <si>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</si>
  <si>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</si>
  <si>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</si>
  <si>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</si>
  <si>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</si>
  <si>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</si>
  <si>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</si>
  <si>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</si>
  <si>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</si>
  <si>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</si>
  <si>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</si>
  <si>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</si>
  <si>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</si>
  <si>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</si>
  <si>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</si>
  <si>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</si>
  <si>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</si>
  <si>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</si>
  <si>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</si>
  <si>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</si>
  <si>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</si>
  <si>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</si>
  <si>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</si>
  <si>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</si>
  <si>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</si>
  <si>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</si>
  <si>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</si>
  <si>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</si>
  <si>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</si>
  <si>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</si>
  <si>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</si>
  <si>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</si>
  <si>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</si>
  <si>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</si>
  <si>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</si>
  <si>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</si>
  <si>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</si>
  <si>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</si>
  <si>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</si>
  <si>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</si>
  <si>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</si>
  <si>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</si>
  <si>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</si>
  <si>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</si>
  <si>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</si>
  <si>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</si>
  <si>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</si>
  <si>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</si>
  <si>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</si>
  <si>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</si>
  <si>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</si>
  <si>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</si>
  <si>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</si>
  <si>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</si>
  <si>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</si>
  <si>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</si>
  <si>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</si>
  <si>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</si>
  <si>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</si>
  <si>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</si>
  <si>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</si>
  <si>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</si>
  <si>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</si>
  <si>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</si>
  <si>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</si>
  <si>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</si>
  <si>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</si>
  <si>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</si>
  <si>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</si>
  <si>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</si>
  <si>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</si>
  <si>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</si>
  <si>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</si>
  <si>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</si>
  <si>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</si>
  <si>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</si>
  <si>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</si>
  <si>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</si>
  <si>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</si>
  <si>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</si>
  <si>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</si>
  <si>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</si>
  <si>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</si>
  <si>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</si>
  <si>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</si>
  <si>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</si>
  <si>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</si>
  <si>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</si>
  <si>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</si>
  <si>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</si>
  <si>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</si>
  <si>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</si>
  <si>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</si>
  <si>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</si>
  <si>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</si>
  <si>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</si>
  <si>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</si>
  <si>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</si>
  <si>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</si>
  <si>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</si>
  <si>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</si>
  <si>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</si>
  <si>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</si>
  <si>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</si>
  <si>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</si>
  <si>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</si>
  <si>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</si>
  <si>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</si>
  <si>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</si>
  <si>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</si>
  <si>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</si>
  <si>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</si>
  <si>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</si>
  <si>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</si>
  <si>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</si>
  <si>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</si>
  <si>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</si>
  <si>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MACOUPIN</t>
  </si>
  <si>
    <t>70 N. DENEEN ST.</t>
  </si>
  <si>
    <t>STAUNTON</t>
  </si>
  <si>
    <t>LOY MILLER TALLEY, PC</t>
  </si>
  <si>
    <t>KENNETH E. LOY, CPA</t>
  </si>
  <si>
    <t>#2 CROSSROADS CT</t>
  </si>
  <si>
    <t>ALTON</t>
  </si>
  <si>
    <t>IL</t>
  </si>
  <si>
    <t>618-465-1196</t>
  </si>
  <si>
    <t>618-465-2900</t>
  </si>
  <si>
    <t>060-003363</t>
  </si>
  <si>
    <t>KEN@LMTCPAS.COM</t>
  </si>
  <si>
    <t>ALISON STORM</t>
  </si>
  <si>
    <t>ASTORM@STAUNTONSCHOOLS.ORG</t>
  </si>
  <si>
    <t>618-635-8230</t>
  </si>
  <si>
    <t>618-635-4637</t>
  </si>
  <si>
    <t>MICHELLE MUELLER</t>
  </si>
  <si>
    <t>MMUELLER@ROE40.COM</t>
  </si>
  <si>
    <t>217-854-4016</t>
  </si>
  <si>
    <t>217-854-2032</t>
  </si>
  <si>
    <t>10-3199 DEPT OF REHAB SERVICES $10,499</t>
  </si>
  <si>
    <t>10-1819 TUITION REFUNDED $5222</t>
  </si>
  <si>
    <t>UNITED STATES DEPARTMENT OF EDUCATION -</t>
  </si>
  <si>
    <t>PASS-TRHOUGH FROM ILLINOIS STATE BOARD OF EDUCATION</t>
  </si>
  <si>
    <t>(M) IDEA FLOW-THROUGH FED</t>
  </si>
  <si>
    <t xml:space="preserve"> IDEA FLOW-THROUGH FED</t>
  </si>
  <si>
    <t>(M)  IDEA PRE-SCHOOL</t>
  </si>
  <si>
    <t xml:space="preserve"> IDEA PRE-SCHOOL</t>
  </si>
  <si>
    <t>TOTAL - UNITED STATES DEPARTMENT OF EDUCATION -</t>
  </si>
  <si>
    <t>19-4620-00</t>
  </si>
  <si>
    <t>18-4620-00</t>
  </si>
  <si>
    <t>19-4600-00</t>
  </si>
  <si>
    <t>18-4600-00</t>
  </si>
  <si>
    <t>US DEPARTMENT OF HEALTH &amp; HUMAN SERVICES:</t>
  </si>
  <si>
    <t>PASS-THROUGH ILLINOIS DEPARTMENT OF HEALTHCARE &amp; FAMILY SERVICES</t>
  </si>
  <si>
    <t xml:space="preserve">  MEDICAID ADMINISTRATIVE OUTREACH</t>
  </si>
  <si>
    <t xml:space="preserve">    TOTAL US DEPARTMENT OF HEALT H &amp; HUMAN SERVICES</t>
  </si>
  <si>
    <t>19-4991-00</t>
  </si>
  <si>
    <t>N/A</t>
  </si>
  <si>
    <t>TOTAL FEDERAL FUNDS:</t>
  </si>
  <si>
    <t>PASS-THROUGH UNITED STATES DEPARTMENT OF EDUCATION -</t>
  </si>
  <si>
    <t xml:space="preserve"> PASS-THROUGH DEPARTMENT OF HEALTHCARE &amp; FAMILY SERVICES</t>
  </si>
  <si>
    <t>TOTAL FEDERAL FUNDS</t>
  </si>
  <si>
    <t>IDEA FLOW-THROUGH FED/ STAUNTON CUSD #6</t>
  </si>
  <si>
    <t>IDEA FLOW-THROUGH FED/ MT OLIVE CUSD #5</t>
  </si>
  <si>
    <t>IDEA FLOW-THROUGH FED/ GILLESPIE CUSD #7</t>
  </si>
  <si>
    <t>IDEA FLOW-THROUGH FED/ BUNKER HILL CUSD #8</t>
  </si>
  <si>
    <t>IDEA PRE-SCHOOL/ STAUNTON CUSD #6</t>
  </si>
  <si>
    <t>IDEA PRE-SCHOOL/ MT OLIVE CUSD #5</t>
  </si>
  <si>
    <t>IDEA PRE-SCHOOL/ GILLESPIE CUSD #7</t>
  </si>
  <si>
    <t>IDEA PRE-SCHOOL/ BUNKER HILL CUSD #8</t>
  </si>
  <si>
    <r>
      <t xml:space="preserve">The following amounts were expended in the form of non-cash assistance by </t>
    </r>
    <r>
      <rPr>
        <b/>
        <sz val="9"/>
        <rFont val="Calibri"/>
        <family val="2"/>
        <scheme val="minor"/>
      </rPr>
      <t>South Macoupin Association for Special Education</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</si>
  <si>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South Macoupin Association for Special Education</t>
    </r>
    <r>
      <rPr>
        <sz val="9"/>
        <rFont val="Calibri"/>
        <family val="2"/>
        <scheme val="minor"/>
      </rPr>
      <t xml:space="preserve"> and is presented on the </t>
    </r>
    <r>
      <rPr>
        <b/>
        <sz val="9"/>
        <rFont val="Calibri"/>
        <family val="2"/>
        <scheme val="minor"/>
      </rPr>
      <t>Modified Cash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</si>
  <si>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South Macoupin Association for Special Education</t>
    </r>
    <r>
      <rPr>
        <sz val="9"/>
        <rFont val="Calibri"/>
        <family val="2"/>
        <scheme val="minor"/>
      </rPr>
      <t xml:space="preserve"> provided federal awards to subrecipients as follows:</t>
    </r>
  </si>
  <si>
    <t>ADVERSE</t>
  </si>
  <si>
    <t>UNMODIFIED</t>
  </si>
  <si>
    <t>IDEA FLOW-THROUGH FED</t>
  </si>
  <si>
    <t>IDEA PRE-SCHOOL</t>
  </si>
  <si>
    <t>NO FINDINGS FOR FISCAL YEAR ENDED JUNE 30, 2019</t>
  </si>
  <si>
    <t>NONE</t>
  </si>
  <si>
    <t>South Macoupin Association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</si>
</sst>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424295</xdr:colOff>
          <xdr:row>2</xdr:row>
          <xdr:rowOff>60614</xdr:rowOff>
        </xdr:from>
        <xdr:to>
          <xdr:col>1</xdr:col>
          <xdr:colOff>1336097</xdr:colOff>
          <xdr:row>6</xdr:row>
          <xdr:rowOff>98714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C0000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3" t="s">
        <v>405</v>
      </c>
      <c r="J1" s="2014"/>
      <c r="K1" s="2014"/>
      <c r="L1" s="2014"/>
      <c r="M1" s="2014"/>
      <c r="N1" s="2014"/>
      <c r="O1" s="2014"/>
      <c r="P1" s="2014"/>
      <c r="Q1" s="2014"/>
      <c r="R1" s="2014"/>
      <c r="S1" s="2014"/>
    </row>
    <row r="2" spans="1:28" ht="12" customHeight="1" x14ac:dyDescent="0.2">
      <c r="A2" s="47" t="s">
        <v>1990</v>
      </c>
      <c r="D2" s="48"/>
      <c r="I2" s="2015" t="s">
        <v>979</v>
      </c>
      <c r="J2" s="2014"/>
      <c r="K2" s="2014"/>
      <c r="L2" s="2014"/>
      <c r="M2" s="2014"/>
      <c r="N2" s="2014"/>
      <c r="O2" s="2014"/>
      <c r="P2" s="2014"/>
      <c r="Q2" s="2014"/>
      <c r="R2" s="2014"/>
      <c r="S2" s="2014"/>
    </row>
    <row r="3" spans="1:28" ht="12" customHeight="1" x14ac:dyDescent="0.2">
      <c r="A3" s="155" t="s">
        <v>1942</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c r="C5" s="26" t="s">
        <v>910</v>
      </c>
      <c r="D5" s="84"/>
      <c r="E5" s="84"/>
      <c r="H5" s="38"/>
      <c r="I5" s="2022" t="s">
        <v>680</v>
      </c>
      <c r="J5" s="1967"/>
      <c r="K5" s="1967"/>
      <c r="L5" s="1967"/>
      <c r="M5" s="1967"/>
      <c r="N5" s="1967"/>
      <c r="O5" s="1967"/>
      <c r="P5" s="1967"/>
      <c r="Q5" s="1967"/>
      <c r="R5" s="1967"/>
      <c r="S5" s="1967"/>
    </row>
    <row r="6" spans="1:28" ht="14.1" customHeight="1" x14ac:dyDescent="0.2">
      <c r="B6" s="104" t="s">
        <v>2062</v>
      </c>
      <c r="C6" s="26" t="s">
        <v>911</v>
      </c>
      <c r="D6" s="84"/>
      <c r="E6" s="84"/>
      <c r="I6" s="2021" t="s">
        <v>883</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1963" t="s">
        <v>533</v>
      </c>
      <c r="U9" s="1964"/>
      <c r="V9" s="1964"/>
      <c r="W9" s="1964"/>
      <c r="X9" s="1964"/>
      <c r="Y9" s="1964"/>
      <c r="Z9" s="1964"/>
      <c r="AA9" s="1965"/>
    </row>
    <row r="10" spans="1:28" ht="13.5" customHeight="1" x14ac:dyDescent="0.2">
      <c r="A10" s="1972" t="s">
        <v>675</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955</v>
      </c>
      <c r="B11" s="1976"/>
      <c r="C11" s="1976"/>
      <c r="D11" s="1976"/>
      <c r="E11" s="1976"/>
      <c r="F11" s="1976"/>
      <c r="G11" s="1976"/>
      <c r="H11" s="1977"/>
      <c r="I11" s="27"/>
      <c r="J11" s="74"/>
      <c r="K11" s="27"/>
      <c r="O11" s="148" t="s">
        <v>2062</v>
      </c>
      <c r="P11" s="100" t="s">
        <v>201</v>
      </c>
      <c r="Q11" s="30"/>
      <c r="R11" s="28"/>
      <c r="S11" s="27"/>
      <c r="T11" s="1969"/>
      <c r="U11" s="1970"/>
      <c r="V11" s="1970"/>
      <c r="W11" s="1970"/>
      <c r="X11" s="1970"/>
      <c r="Y11" s="1970"/>
      <c r="Z11" s="1970"/>
      <c r="AA11" s="197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3">
        <v>40056801060</v>
      </c>
      <c r="B13" s="1984"/>
      <c r="C13" s="1984"/>
      <c r="D13" s="1984"/>
      <c r="E13" s="1984"/>
      <c r="F13" s="1984"/>
      <c r="G13" s="1984"/>
      <c r="H13" s="1985"/>
      <c r="I13" s="31"/>
      <c r="J13" s="30"/>
      <c r="K13" s="28"/>
      <c r="L13" s="30"/>
      <c r="M13" s="30"/>
      <c r="N13" s="30"/>
      <c r="O13" s="30"/>
      <c r="P13" s="30"/>
      <c r="Q13" s="30"/>
      <c r="R13" s="30"/>
      <c r="S13" s="30"/>
      <c r="T13" s="1988" t="s">
        <v>2066</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1" t="s">
        <v>2063</v>
      </c>
      <c r="B15" s="1986"/>
      <c r="C15" s="1986"/>
      <c r="D15" s="1986"/>
      <c r="E15" s="1986"/>
      <c r="F15" s="1986"/>
      <c r="G15" s="1986"/>
      <c r="H15" s="1987"/>
      <c r="T15" s="1949" t="s">
        <v>2067</v>
      </c>
      <c r="U15" s="1950"/>
      <c r="V15" s="1950"/>
      <c r="W15" s="1950"/>
      <c r="X15" s="1950"/>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1" t="s">
        <v>2123</v>
      </c>
      <c r="B17" s="2011"/>
      <c r="C17" s="2011"/>
      <c r="D17" s="2011"/>
      <c r="E17" s="2011"/>
      <c r="F17" s="2011"/>
      <c r="G17" s="2011"/>
      <c r="H17" s="2012"/>
      <c r="T17" s="1998" t="s">
        <v>2068</v>
      </c>
      <c r="U17" s="1999"/>
      <c r="V17" s="1999"/>
      <c r="W17" s="1999"/>
      <c r="X17" s="1999"/>
      <c r="Y17" s="1999"/>
      <c r="Z17" s="1999"/>
      <c r="AA17" s="2000"/>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1" t="s">
        <v>2064</v>
      </c>
      <c r="B19" s="1982"/>
      <c r="C19" s="1982"/>
      <c r="D19" s="1982"/>
      <c r="E19" s="1982"/>
      <c r="F19" s="1982"/>
      <c r="G19" s="1982"/>
      <c r="H19" s="1980"/>
      <c r="I19" s="30"/>
      <c r="J19" s="99"/>
      <c r="K19" s="40"/>
      <c r="L19" s="38"/>
      <c r="M19" s="112" t="s">
        <v>315</v>
      </c>
      <c r="P19" s="27"/>
      <c r="Q19" s="27"/>
      <c r="R19" s="27"/>
      <c r="S19" s="31"/>
      <c r="T19" s="1981" t="s">
        <v>2069</v>
      </c>
      <c r="U19" s="1979"/>
      <c r="V19" s="1979"/>
      <c r="W19" s="1980"/>
      <c r="X19" s="1996" t="s">
        <v>2070</v>
      </c>
      <c r="Y19" s="1997"/>
      <c r="Z19" s="1994">
        <v>62002</v>
      </c>
      <c r="AA19" s="199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8" t="s">
        <v>2065</v>
      </c>
      <c r="B21" s="1979"/>
      <c r="C21" s="1979"/>
      <c r="D21" s="1979"/>
      <c r="E21" s="1979"/>
      <c r="F21" s="1979"/>
      <c r="G21" s="1979"/>
      <c r="H21" s="1980"/>
      <c r="I21" s="2004" t="s">
        <v>678</v>
      </c>
      <c r="J21" s="1967"/>
      <c r="K21" s="1967"/>
      <c r="L21" s="1967"/>
      <c r="M21" s="1967"/>
      <c r="N21" s="1967"/>
      <c r="O21" s="1967"/>
      <c r="P21" s="1967"/>
      <c r="Q21" s="1967"/>
      <c r="R21" s="1967"/>
      <c r="S21" s="1968"/>
      <c r="T21" s="1946" t="s">
        <v>2071</v>
      </c>
      <c r="U21" s="1947"/>
      <c r="V21" s="1947"/>
      <c r="W21" s="1947"/>
      <c r="X21" s="1960" t="s">
        <v>2072</v>
      </c>
      <c r="Y21" s="1961"/>
      <c r="Z21" s="1961"/>
      <c r="AA21" s="1962"/>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1"/>
      <c r="B23" s="2002"/>
      <c r="C23" s="2002"/>
      <c r="D23" s="2002"/>
      <c r="E23" s="2002"/>
      <c r="F23" s="2002"/>
      <c r="G23" s="2002"/>
      <c r="H23" s="2003"/>
      <c r="T23" s="1941" t="s">
        <v>2073</v>
      </c>
      <c r="U23" s="1942"/>
      <c r="V23" s="1942"/>
      <c r="W23" s="1942"/>
      <c r="X23" s="1957">
        <v>43831</v>
      </c>
      <c r="Y23" s="1958"/>
      <c r="Z23" s="1958"/>
      <c r="AA23" s="1959"/>
    </row>
    <row r="24" spans="1:27" ht="14.1" customHeight="1" x14ac:dyDescent="0.2">
      <c r="A24" s="88" t="s">
        <v>677</v>
      </c>
      <c r="B24" s="49"/>
      <c r="C24" s="49"/>
      <c r="D24" s="49"/>
      <c r="E24" s="49"/>
      <c r="F24" s="49"/>
      <c r="G24" s="49"/>
      <c r="H24" s="61"/>
      <c r="J24" s="2043" t="str">
        <f>IF(B5="x",IF(AUDITCHECK!D29="AFR form Incomplete.","",IF(AUDITCHECK!D29="Deficit reduction plan is required.","School District must complete a deficit reduction plan in the 2019-2020 Budget",)),"")</f>
        <v/>
      </c>
      <c r="K24" s="2043"/>
      <c r="L24" s="2043"/>
      <c r="M24" s="2043"/>
      <c r="N24" s="2043"/>
      <c r="O24" s="2043"/>
      <c r="P24" s="2043"/>
      <c r="Q24" s="2043"/>
      <c r="R24" s="2043"/>
      <c r="S24" s="2044"/>
      <c r="T24" s="105" t="s">
        <v>531</v>
      </c>
      <c r="U24" s="106"/>
      <c r="V24" s="106"/>
      <c r="W24" s="106"/>
      <c r="X24" s="107"/>
      <c r="Y24" s="107"/>
      <c r="Z24" s="107"/>
      <c r="AA24" s="108"/>
    </row>
    <row r="25" spans="1:27" ht="14.1" customHeight="1" x14ac:dyDescent="0.2">
      <c r="A25" s="1978">
        <v>62088</v>
      </c>
      <c r="B25" s="1979"/>
      <c r="C25" s="1979"/>
      <c r="D25" s="1979"/>
      <c r="E25" s="1979"/>
      <c r="F25" s="1979"/>
      <c r="G25" s="1979"/>
      <c r="H25" s="1980"/>
      <c r="I25" s="113"/>
      <c r="J25" s="2045"/>
      <c r="K25" s="2045"/>
      <c r="L25" s="2045"/>
      <c r="M25" s="2045"/>
      <c r="N25" s="2045"/>
      <c r="O25" s="2045"/>
      <c r="P25" s="2045"/>
      <c r="Q25" s="2045"/>
      <c r="R25" s="2045"/>
      <c r="S25" s="2046"/>
      <c r="T25" s="1938" t="s">
        <v>2074</v>
      </c>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6"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2062</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1" t="s">
        <v>2075</v>
      </c>
      <c r="B38" s="2011"/>
      <c r="C38" s="2011"/>
      <c r="D38" s="2011"/>
      <c r="E38" s="2011"/>
      <c r="F38" s="1979"/>
      <c r="G38" s="1979"/>
      <c r="H38" s="1980"/>
      <c r="I38" s="2030"/>
      <c r="J38" s="1950"/>
      <c r="K38" s="1950"/>
      <c r="L38" s="1950"/>
      <c r="M38" s="1950"/>
      <c r="N38" s="1950"/>
      <c r="O38" s="1950"/>
      <c r="P38" s="1951"/>
      <c r="Q38" s="1951"/>
      <c r="R38" s="1951"/>
      <c r="S38" s="1952"/>
      <c r="T38" s="1949" t="s">
        <v>2079</v>
      </c>
      <c r="U38" s="1950"/>
      <c r="V38" s="1950"/>
      <c r="W38" s="1950"/>
      <c r="X38" s="1951"/>
      <c r="Y38" s="1951"/>
      <c r="Z38" s="1951"/>
      <c r="AA38" s="1952"/>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37" t="s">
        <v>2076</v>
      </c>
      <c r="B40" s="2038"/>
      <c r="C40" s="2039"/>
      <c r="D40" s="2039"/>
      <c r="E40" s="2039"/>
      <c r="F40" s="2040"/>
      <c r="G40" s="2040"/>
      <c r="H40" s="2041"/>
      <c r="I40" s="1953"/>
      <c r="J40" s="1955"/>
      <c r="K40" s="1955"/>
      <c r="L40" s="1955"/>
      <c r="M40" s="1955"/>
      <c r="N40" s="1955"/>
      <c r="O40" s="1955"/>
      <c r="P40" s="1955"/>
      <c r="Q40" s="1955"/>
      <c r="R40" s="1955"/>
      <c r="S40" s="1956"/>
      <c r="T40" s="1953" t="s">
        <v>2080</v>
      </c>
      <c r="U40" s="1954"/>
      <c r="V40" s="1955"/>
      <c r="W40" s="1955"/>
      <c r="X40" s="1955"/>
      <c r="Y40" s="1955"/>
      <c r="Z40" s="1955"/>
      <c r="AA40" s="19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7" t="s">
        <v>2077</v>
      </c>
      <c r="B42" s="2028"/>
      <c r="C42" s="2029"/>
      <c r="D42" s="2042" t="s">
        <v>2078</v>
      </c>
      <c r="E42" s="2028"/>
      <c r="F42" s="2028"/>
      <c r="G42" s="2028"/>
      <c r="H42" s="2029"/>
      <c r="I42" s="1948"/>
      <c r="J42" s="1944"/>
      <c r="K42" s="1944"/>
      <c r="L42" s="1944"/>
      <c r="M42" s="1944"/>
      <c r="N42" s="1944"/>
      <c r="O42" s="1945"/>
      <c r="P42" s="1943"/>
      <c r="Q42" s="1944"/>
      <c r="R42" s="1944"/>
      <c r="S42" s="1945"/>
      <c r="T42" s="1948" t="s">
        <v>2081</v>
      </c>
      <c r="U42" s="1944"/>
      <c r="V42" s="1944"/>
      <c r="W42" s="1945"/>
      <c r="X42" s="1943" t="s">
        <v>2082</v>
      </c>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1799</v>
      </c>
      <c r="B2" s="1528" t="s">
        <v>1948</v>
      </c>
      <c r="C2" s="714" t="s">
        <v>1949</v>
      </c>
      <c r="D2" s="714" t="s">
        <v>1950</v>
      </c>
      <c r="E2" s="714" t="s">
        <v>1951</v>
      </c>
      <c r="F2" s="714" t="s">
        <v>1952</v>
      </c>
    </row>
    <row r="3" spans="1:6" ht="12" customHeight="1" x14ac:dyDescent="0.2">
      <c r="A3" s="218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629</v>
      </c>
      <c r="B1" s="2187"/>
      <c r="C1" s="721"/>
    </row>
    <row r="2" spans="1:7" ht="33.75" x14ac:dyDescent="0.2">
      <c r="A2" s="2195" t="s">
        <v>1799</v>
      </c>
      <c r="B2" s="2196"/>
      <c r="C2" s="1884" t="s">
        <v>1953</v>
      </c>
      <c r="D2" s="723" t="s">
        <v>1954</v>
      </c>
      <c r="E2" s="723" t="s">
        <v>1955</v>
      </c>
      <c r="F2" s="1884" t="s">
        <v>1956</v>
      </c>
    </row>
    <row r="3" spans="1:7" ht="15.75" customHeight="1" x14ac:dyDescent="0.2">
      <c r="A3" s="2199" t="s">
        <v>1114</v>
      </c>
      <c r="B3" s="2200"/>
      <c r="C3" s="2188"/>
      <c r="D3" s="2189"/>
      <c r="E3" s="2189"/>
      <c r="F3" s="2190"/>
    </row>
    <row r="4" spans="1:7" ht="12.75" customHeight="1" thickBot="1" x14ac:dyDescent="0.25">
      <c r="A4" s="2197" t="s">
        <v>630</v>
      </c>
      <c r="B4" s="2198"/>
      <c r="C4" s="581"/>
      <c r="D4" s="581"/>
      <c r="E4" s="581"/>
      <c r="F4" s="1755">
        <f>SUM(C4+D4)-E4</f>
        <v>0</v>
      </c>
    </row>
    <row r="5" spans="1:7" ht="15.75" customHeight="1" thickTop="1" x14ac:dyDescent="0.2">
      <c r="A5" s="2182" t="s">
        <v>1110</v>
      </c>
      <c r="B5" s="2183"/>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4" t="s">
        <v>631</v>
      </c>
      <c r="B15" s="2185"/>
      <c r="C15" s="1755">
        <f>SUM(C6:C14)</f>
        <v>0</v>
      </c>
      <c r="D15" s="1755">
        <f>SUM(D6:D14)</f>
        <v>0</v>
      </c>
      <c r="E15" s="1755">
        <f>SUM(E6:E14)</f>
        <v>0</v>
      </c>
      <c r="F15" s="1755">
        <f>SUM(F6:F14)</f>
        <v>0</v>
      </c>
      <c r="G15" s="552"/>
    </row>
    <row r="16" spans="1:7" s="202" customFormat="1" ht="15.75" customHeight="1" thickTop="1" x14ac:dyDescent="0.2">
      <c r="A16" s="2194" t="s">
        <v>1111</v>
      </c>
      <c r="B16" s="2183"/>
      <c r="C16" s="2191"/>
      <c r="D16" s="2192"/>
      <c r="E16" s="2192"/>
      <c r="F16" s="2193"/>
    </row>
    <row r="17" spans="1:11" ht="12.75" customHeight="1" thickBot="1" x14ac:dyDescent="0.25">
      <c r="A17" s="2207" t="s">
        <v>64</v>
      </c>
      <c r="B17" s="2208"/>
      <c r="C17" s="726"/>
      <c r="D17" s="585"/>
      <c r="E17" s="726"/>
      <c r="F17" s="1755">
        <f>SUM(C17+D17)-E17</f>
        <v>0</v>
      </c>
    </row>
    <row r="18" spans="1:11" ht="12.75" customHeight="1" thickTop="1" thickBot="1" x14ac:dyDescent="0.25">
      <c r="A18" s="2207" t="s">
        <v>6</v>
      </c>
      <c r="B18" s="2208"/>
      <c r="C18" s="726"/>
      <c r="D18" s="585"/>
      <c r="E18" s="726"/>
      <c r="F18" s="1755">
        <f>SUM(C18+D18)-E18</f>
        <v>0</v>
      </c>
    </row>
    <row r="19" spans="1:11" ht="12.75" customHeight="1" thickTop="1" thickBot="1" x14ac:dyDescent="0.25">
      <c r="A19" s="2207" t="s">
        <v>388</v>
      </c>
      <c r="B19" s="2208"/>
      <c r="C19" s="726"/>
      <c r="D19" s="585"/>
      <c r="E19" s="726"/>
      <c r="F19" s="1755">
        <f>SUM(C19+D19)-E19</f>
        <v>0</v>
      </c>
    </row>
    <row r="20" spans="1:11" ht="12.75" customHeight="1" thickTop="1" thickBot="1" x14ac:dyDescent="0.25">
      <c r="A20" s="2207" t="s">
        <v>448</v>
      </c>
      <c r="B20" s="2208"/>
      <c r="C20" s="726"/>
      <c r="D20" s="585"/>
      <c r="E20" s="726"/>
      <c r="F20" s="1755">
        <f>SUM(C20+D20)-E20</f>
        <v>0</v>
      </c>
    </row>
    <row r="21" spans="1:11" ht="14.25" thickTop="1" thickBot="1" x14ac:dyDescent="0.25">
      <c r="A21" s="2184" t="s">
        <v>632</v>
      </c>
      <c r="B21" s="2185"/>
      <c r="C21" s="1755">
        <f>SUM(C17:C20)</f>
        <v>0</v>
      </c>
      <c r="D21" s="1755">
        <f>SUM(D17:D20)</f>
        <v>0</v>
      </c>
      <c r="E21" s="1755">
        <f>SUM(E17:E20)</f>
        <v>0</v>
      </c>
      <c r="F21" s="1755">
        <f>SUM(F17:F20)</f>
        <v>0</v>
      </c>
      <c r="G21" s="552"/>
    </row>
    <row r="22" spans="1:11" ht="15.75" customHeight="1" thickTop="1" x14ac:dyDescent="0.2">
      <c r="A22" s="2209" t="s">
        <v>1112</v>
      </c>
      <c r="B22" s="2183"/>
      <c r="C22" s="2191"/>
      <c r="D22" s="2192"/>
      <c r="E22" s="2192"/>
      <c r="F22" s="2193"/>
    </row>
    <row r="23" spans="1:11" ht="13.5" thickBot="1" x14ac:dyDescent="0.25">
      <c r="A23" s="2197" t="s">
        <v>633</v>
      </c>
      <c r="B23" s="2198"/>
      <c r="C23" s="581"/>
      <c r="D23" s="581"/>
      <c r="E23" s="581"/>
      <c r="F23" s="1755">
        <f>SUM(C23+D23)-E23</f>
        <v>0</v>
      </c>
      <c r="G23" s="552"/>
    </row>
    <row r="24" spans="1:11" ht="15.75" customHeight="1" thickTop="1" x14ac:dyDescent="0.2">
      <c r="A24" s="2209" t="s">
        <v>1113</v>
      </c>
      <c r="B24" s="2183"/>
      <c r="C24" s="2191"/>
      <c r="D24" s="2192"/>
      <c r="E24" s="2192"/>
      <c r="F24" s="2193"/>
    </row>
    <row r="25" spans="1:11" ht="13.5" thickBot="1" x14ac:dyDescent="0.25">
      <c r="A25" s="2197" t="s">
        <v>634</v>
      </c>
      <c r="B25" s="2198"/>
      <c r="C25" s="581"/>
      <c r="D25" s="581"/>
      <c r="E25" s="581"/>
      <c r="F25" s="1755">
        <f>SUM(C25+D25)-E25</f>
        <v>0</v>
      </c>
      <c r="G25" s="552"/>
    </row>
    <row r="26" spans="1:11" ht="15.75" customHeight="1" thickTop="1" x14ac:dyDescent="0.2">
      <c r="A26" s="2182" t="s">
        <v>657</v>
      </c>
      <c r="B26" s="2183"/>
      <c r="C26" s="727"/>
      <c r="D26" s="727"/>
      <c r="E26" s="727"/>
      <c r="F26" s="728"/>
    </row>
    <row r="27" spans="1:11" ht="13.5" thickBot="1" x14ac:dyDescent="0.25">
      <c r="A27" s="2184" t="s">
        <v>1070</v>
      </c>
      <c r="B27" s="2185"/>
      <c r="C27" s="585"/>
      <c r="D27" s="585"/>
      <c r="E27" s="585"/>
      <c r="F27" s="1755">
        <f>SUM(C27+D27)-E27</f>
        <v>0</v>
      </c>
      <c r="G27" s="552"/>
    </row>
    <row r="28" spans="1:11" ht="7.5" customHeight="1" thickTop="1" x14ac:dyDescent="0.2">
      <c r="A28" s="593"/>
    </row>
    <row r="29" spans="1:11" ht="23.25" customHeight="1" x14ac:dyDescent="0.2">
      <c r="A29" s="2210" t="s">
        <v>582</v>
      </c>
      <c r="B29" s="2187"/>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1" t="s">
        <v>584</v>
      </c>
      <c r="C52" s="2202"/>
      <c r="D52" s="2202"/>
      <c r="E52" s="749" t="s">
        <v>845</v>
      </c>
      <c r="F52" s="2203"/>
      <c r="G52" s="2204"/>
      <c r="H52" s="736"/>
      <c r="I52" s="736"/>
      <c r="J52" s="746"/>
    </row>
    <row r="53" spans="1:11" ht="11.25" customHeight="1" x14ac:dyDescent="0.2">
      <c r="A53" s="750" t="s">
        <v>913</v>
      </c>
      <c r="B53" s="751" t="s">
        <v>951</v>
      </c>
      <c r="C53" s="746"/>
      <c r="D53" s="737"/>
      <c r="E53" s="749" t="s">
        <v>497</v>
      </c>
      <c r="F53" s="2205"/>
      <c r="G53" s="2206"/>
      <c r="H53" s="736"/>
      <c r="I53" s="736"/>
      <c r="J53" s="746"/>
    </row>
    <row r="54" spans="1:11" ht="11.25" customHeight="1" x14ac:dyDescent="0.2">
      <c r="A54" s="752" t="s">
        <v>914</v>
      </c>
      <c r="B54" s="747" t="s">
        <v>952</v>
      </c>
      <c r="C54" s="746"/>
      <c r="D54" s="737"/>
      <c r="E54" s="749" t="s">
        <v>498</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C0000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30"/>
      <c r="I1" s="760"/>
      <c r="J1" s="433"/>
    </row>
    <row r="2" spans="1:11" ht="26.25" x14ac:dyDescent="0.2">
      <c r="A2" s="2214" t="s">
        <v>1677</v>
      </c>
      <c r="B2" s="2215"/>
      <c r="C2" s="2215"/>
      <c r="D2" s="2215"/>
      <c r="E2" s="2216"/>
      <c r="F2" s="761" t="s">
        <v>904</v>
      </c>
      <c r="G2" s="762" t="s">
        <v>1674</v>
      </c>
      <c r="H2" s="762" t="s">
        <v>410</v>
      </c>
      <c r="I2" s="762" t="s">
        <v>1158</v>
      </c>
      <c r="J2" s="762" t="s">
        <v>1809</v>
      </c>
      <c r="K2" s="762" t="s">
        <v>138</v>
      </c>
    </row>
    <row r="3" spans="1:11" x14ac:dyDescent="0.2">
      <c r="A3" s="2217" t="s">
        <v>1961</v>
      </c>
      <c r="B3" s="2218"/>
      <c r="C3" s="2218"/>
      <c r="D3" s="2218"/>
      <c r="E3" s="2219"/>
      <c r="F3" s="763"/>
      <c r="G3" s="764"/>
      <c r="H3" s="764"/>
      <c r="I3" s="764"/>
      <c r="J3" s="765"/>
      <c r="K3" s="765"/>
    </row>
    <row r="4" spans="1:11" x14ac:dyDescent="0.2">
      <c r="A4" s="2220" t="s">
        <v>369</v>
      </c>
      <c r="B4" s="2221"/>
      <c r="C4" s="2221"/>
      <c r="D4" s="2221"/>
      <c r="E4" s="2202"/>
      <c r="F4" s="766"/>
      <c r="G4" s="767"/>
      <c r="H4" s="768"/>
      <c r="I4" s="767"/>
      <c r="J4" s="769"/>
      <c r="K4" s="769"/>
    </row>
    <row r="5" spans="1:11" x14ac:dyDescent="0.2">
      <c r="A5" s="2238" t="s">
        <v>1069</v>
      </c>
      <c r="B5" s="2211"/>
      <c r="C5" s="2211"/>
      <c r="D5" s="2211"/>
      <c r="E5" s="223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8" t="s">
        <v>1810</v>
      </c>
      <c r="B10" s="2211"/>
      <c r="C10" s="2211"/>
      <c r="D10" s="2211"/>
      <c r="E10" s="2240"/>
      <c r="F10" s="783" t="s">
        <v>862</v>
      </c>
      <c r="G10" s="782"/>
      <c r="H10" s="784"/>
      <c r="I10" s="764"/>
      <c r="J10" s="765"/>
      <c r="K10" s="765"/>
    </row>
    <row r="11" spans="1:11" x14ac:dyDescent="0.2">
      <c r="A11" s="2238" t="s">
        <v>160</v>
      </c>
      <c r="B11" s="2211"/>
      <c r="C11" s="2211"/>
      <c r="D11" s="2211"/>
      <c r="E11" s="2239"/>
      <c r="F11" s="770" t="s">
        <v>852</v>
      </c>
      <c r="G11" s="771"/>
      <c r="H11" s="764"/>
      <c r="I11" s="764"/>
      <c r="J11" s="765"/>
      <c r="K11" s="773"/>
    </row>
    <row r="12" spans="1:11" ht="13.5" thickBot="1" x14ac:dyDescent="0.25">
      <c r="A12" s="2228" t="s">
        <v>905</v>
      </c>
      <c r="B12" s="2229"/>
      <c r="C12" s="2229"/>
      <c r="D12" s="2229"/>
      <c r="E12" s="2230"/>
      <c r="F12" s="1757"/>
      <c r="G12" s="1758">
        <f>SUM(G5:G11)</f>
        <v>0</v>
      </c>
      <c r="H12" s="1758">
        <f>SUM(H5:H11)</f>
        <v>0</v>
      </c>
      <c r="I12" s="1758">
        <f>SUM(I5:I11)</f>
        <v>0</v>
      </c>
      <c r="J12" s="1758">
        <f>SUM(J5:J11)</f>
        <v>0</v>
      </c>
      <c r="K12" s="1758">
        <f>SUM(K5:K11)</f>
        <v>0</v>
      </c>
    </row>
    <row r="13" spans="1:11" ht="13.5" thickTop="1" x14ac:dyDescent="0.2">
      <c r="A13" s="2222" t="s">
        <v>370</v>
      </c>
      <c r="B13" s="2223"/>
      <c r="C13" s="2223"/>
      <c r="D13" s="2223"/>
      <c r="E13" s="2224"/>
      <c r="F13" s="785"/>
      <c r="G13" s="786"/>
      <c r="H13" s="787"/>
      <c r="I13" s="788"/>
      <c r="J13" s="788"/>
      <c r="K13" s="788"/>
    </row>
    <row r="14" spans="1:11" x14ac:dyDescent="0.2">
      <c r="A14" s="2244" t="s">
        <v>456</v>
      </c>
      <c r="B14" s="2244"/>
      <c r="C14" s="2244"/>
      <c r="D14" s="2244"/>
      <c r="E14" s="2245"/>
      <c r="F14" s="789" t="s">
        <v>854</v>
      </c>
      <c r="G14" s="782"/>
      <c r="H14" s="764"/>
      <c r="I14" s="771"/>
      <c r="J14" s="773"/>
      <c r="K14" s="765"/>
    </row>
    <row r="15" spans="1:11" x14ac:dyDescent="0.2">
      <c r="A15" s="2211" t="s">
        <v>4</v>
      </c>
      <c r="B15" s="2211"/>
      <c r="C15" s="2211"/>
      <c r="D15" s="2211"/>
      <c r="E15" s="2239"/>
      <c r="F15" s="789" t="s">
        <v>855</v>
      </c>
      <c r="G15" s="771"/>
      <c r="H15" s="764"/>
      <c r="I15" s="764"/>
      <c r="J15" s="765"/>
      <c r="K15" s="765"/>
    </row>
    <row r="16" spans="1:11" x14ac:dyDescent="0.2">
      <c r="A16" s="2211" t="s">
        <v>298</v>
      </c>
      <c r="B16" s="2211"/>
      <c r="C16" s="2211"/>
      <c r="D16" s="2211"/>
      <c r="E16" s="2239"/>
      <c r="F16" s="789" t="s">
        <v>923</v>
      </c>
      <c r="G16" s="772"/>
      <c r="H16" s="767"/>
      <c r="I16" s="767"/>
      <c r="J16" s="769"/>
      <c r="K16" s="769"/>
    </row>
    <row r="17" spans="1:11" x14ac:dyDescent="0.2">
      <c r="A17" s="2233" t="s">
        <v>935</v>
      </c>
      <c r="B17" s="2233"/>
      <c r="C17" s="2233"/>
      <c r="D17" s="2233"/>
      <c r="E17" s="2234"/>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46" t="s">
        <v>1806</v>
      </c>
      <c r="B19" s="2246"/>
      <c r="C19" s="2246"/>
      <c r="D19" s="2246"/>
      <c r="E19" s="2247"/>
      <c r="F19" s="789" t="s">
        <v>933</v>
      </c>
      <c r="G19" s="782"/>
      <c r="H19" s="782"/>
      <c r="I19" s="782"/>
      <c r="J19" s="765"/>
      <c r="K19" s="795"/>
    </row>
    <row r="20" spans="1:11" x14ac:dyDescent="0.2">
      <c r="A20" s="2225" t="s">
        <v>1811</v>
      </c>
      <c r="B20" s="2226"/>
      <c r="C20" s="2226"/>
      <c r="D20" s="2226"/>
      <c r="E20" s="2227"/>
      <c r="F20" s="789" t="s">
        <v>934</v>
      </c>
      <c r="G20" s="782"/>
      <c r="H20" s="782"/>
      <c r="I20" s="782"/>
      <c r="J20" s="765"/>
      <c r="K20" s="795"/>
    </row>
    <row r="21" spans="1:11" ht="13.5" thickBot="1" x14ac:dyDescent="0.25">
      <c r="A21" s="2231" t="s">
        <v>638</v>
      </c>
      <c r="B21" s="2231"/>
      <c r="C21" s="2231"/>
      <c r="D21" s="2231"/>
      <c r="E21" s="2231"/>
      <c r="F21" s="1759"/>
      <c r="G21" s="792"/>
      <c r="H21" s="796"/>
      <c r="I21" s="796"/>
      <c r="J21" s="1760">
        <f>SUM(J18:J20)</f>
        <v>0</v>
      </c>
      <c r="K21" s="793"/>
    </row>
    <row r="22" spans="1:11" ht="13.5" thickTop="1" x14ac:dyDescent="0.2">
      <c r="A22" s="2211" t="s">
        <v>1812</v>
      </c>
      <c r="B22" s="2211"/>
      <c r="C22" s="2211"/>
      <c r="D22" s="2211"/>
      <c r="E22" s="2239"/>
      <c r="F22" s="789" t="s">
        <v>862</v>
      </c>
      <c r="G22" s="782"/>
      <c r="H22" s="764"/>
      <c r="I22" s="764"/>
      <c r="J22" s="797"/>
      <c r="K22" s="765"/>
    </row>
    <row r="23" spans="1:11" ht="13.5" thickBot="1" x14ac:dyDescent="0.25">
      <c r="A23" s="2232" t="s">
        <v>906</v>
      </c>
      <c r="B23" s="2231"/>
      <c r="C23" s="2231"/>
      <c r="D23" s="2231"/>
      <c r="E23" s="2231"/>
      <c r="F23" s="1761"/>
      <c r="G23" s="1758">
        <f>SUM(G14:G16,G21,G22)</f>
        <v>0</v>
      </c>
      <c r="H23" s="1758">
        <f>SUM(H14:H16,H21,H22)</f>
        <v>0</v>
      </c>
      <c r="I23" s="1758">
        <f>SUM(I14:I16,I21,I22)</f>
        <v>0</v>
      </c>
      <c r="J23" s="1758">
        <f>SUM(J14:J16,J21,J22)</f>
        <v>0</v>
      </c>
      <c r="K23" s="1758">
        <f>SUM(K14:K16,K21,K22)</f>
        <v>0</v>
      </c>
    </row>
    <row r="24" spans="1:11" ht="14.25" thickTop="1" thickBot="1" x14ac:dyDescent="0.25">
      <c r="A24" s="2232" t="s">
        <v>1962</v>
      </c>
      <c r="B24" s="2231"/>
      <c r="C24" s="2231"/>
      <c r="D24" s="2231"/>
      <c r="E24" s="223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1"/>
      <c r="I31" s="2242"/>
      <c r="J31" s="2242"/>
      <c r="K31" s="2242"/>
    </row>
    <row r="32" spans="1:11" x14ac:dyDescent="0.2">
      <c r="A32" s="809"/>
      <c r="B32" s="237"/>
      <c r="C32" s="237"/>
      <c r="D32" s="237"/>
      <c r="E32" s="805"/>
      <c r="F32" s="811" t="s">
        <v>540</v>
      </c>
      <c r="G32" s="764"/>
      <c r="H32" s="2243"/>
      <c r="I32" s="2242"/>
      <c r="J32" s="2242"/>
      <c r="K32" s="2242"/>
    </row>
    <row r="33" spans="1:11" ht="1.5" customHeight="1" x14ac:dyDescent="0.2">
      <c r="A33" s="812" t="s">
        <v>1169</v>
      </c>
      <c r="B33" s="364"/>
      <c r="C33" s="364"/>
      <c r="D33" s="364"/>
      <c r="E33" s="364"/>
      <c r="F33" s="364"/>
      <c r="G33" s="813"/>
      <c r="H33" s="2243"/>
      <c r="I33" s="2242"/>
      <c r="J33" s="2242"/>
      <c r="K33" s="2242"/>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1" t="s">
        <v>541</v>
      </c>
      <c r="B41" s="2212"/>
      <c r="C41" s="2212"/>
      <c r="D41" s="2212"/>
      <c r="E41" s="2212"/>
      <c r="F41" s="221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C00000"/>
  </sheetPr>
  <dimension ref="A1:N27"/>
  <sheetViews>
    <sheetView showGridLines="0" defaultGridColor="0" topLeftCell="A1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1906</v>
      </c>
      <c r="B1" s="2251"/>
      <c r="C1" s="2252"/>
      <c r="D1" s="826"/>
      <c r="E1" s="827"/>
      <c r="F1" s="827"/>
      <c r="G1" s="828"/>
      <c r="H1" s="829"/>
      <c r="I1" s="830"/>
      <c r="J1" s="2248"/>
      <c r="K1" s="2249"/>
      <c r="L1" s="2249"/>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158753</v>
      </c>
      <c r="D12" s="844">
        <v>12147</v>
      </c>
      <c r="E12" s="844"/>
      <c r="F12" s="1760">
        <f>(C12+D12)-E12</f>
        <v>170900</v>
      </c>
      <c r="G12" s="843">
        <v>10</v>
      </c>
      <c r="H12" s="765">
        <v>82938</v>
      </c>
      <c r="I12" s="765">
        <v>8189</v>
      </c>
      <c r="J12" s="765"/>
      <c r="K12" s="1769">
        <f>(H12+I12)-J12</f>
        <v>91127</v>
      </c>
      <c r="L12" s="1769">
        <f>F12-K12</f>
        <v>79773</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158753</v>
      </c>
      <c r="D16" s="1760">
        <f>SUM(D3,D5:D6,D8:D10,D12:D15)</f>
        <v>12147</v>
      </c>
      <c r="E16" s="1760">
        <f>SUM(E3,E5:E6,E8:E10,E12:E15)</f>
        <v>0</v>
      </c>
      <c r="F16" s="1760">
        <f>SUM(F3,F5:F6,F8:F10,F12:F15)</f>
        <v>170900</v>
      </c>
      <c r="G16" s="843"/>
      <c r="H16" s="1760">
        <f>SUM(H3,H6,H8:H10,H12:H14,)</f>
        <v>82938</v>
      </c>
      <c r="I16" s="1760">
        <f>SUM(I3,I6,I8:I10,I12:I14,)</f>
        <v>8189</v>
      </c>
      <c r="J16" s="1760">
        <f>SUM(J3,J6,J8:J10,J12:J14,)</f>
        <v>0</v>
      </c>
      <c r="K16" s="1760">
        <f>(H16+I16)-J16</f>
        <v>91127</v>
      </c>
      <c r="L16" s="1760">
        <f>F16-K16</f>
        <v>79773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8189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C00000"/>
  </sheetPr>
  <dimension ref="A1:H202"/>
  <sheetViews>
    <sheetView showGridLines="0" defaultGridColor="0" colorId="8" zoomScale="110" zoomScaleNormal="110" workbookViewId="0">
      <pane ySplit="5" topLeftCell="A172" activePane="bottomLeft" state="frozen"/>
      <selection activeCell="A47" sqref="A47"/>
      <selection pane="bottomLeft" activeCell="E190" sqref="E19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1972</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3280614</v>
      </c>
      <c r="G8" s="865"/>
    </row>
    <row r="9" spans="1:7" x14ac:dyDescent="0.2">
      <c r="A9" s="869" t="s">
        <v>460</v>
      </c>
      <c r="B9" s="870" t="s">
        <v>1874</v>
      </c>
      <c r="C9" s="871"/>
      <c r="D9" s="869" t="s">
        <v>501</v>
      </c>
      <c r="E9" s="868"/>
      <c r="F9" s="1909">
        <f>'Expenditures 15-22'!K151</f>
        <v>0</v>
      </c>
      <c r="G9" s="872"/>
    </row>
    <row r="10" spans="1:7" x14ac:dyDescent="0.2">
      <c r="A10" s="869" t="s">
        <v>499</v>
      </c>
      <c r="B10" s="870" t="s">
        <v>1875</v>
      </c>
      <c r="C10" s="871"/>
      <c r="D10" s="869" t="s">
        <v>501</v>
      </c>
      <c r="E10" s="868"/>
      <c r="F10" s="1909">
        <f>'Expenditures 15-22'!K174</f>
        <v>0</v>
      </c>
      <c r="G10" s="872"/>
    </row>
    <row r="11" spans="1:7" x14ac:dyDescent="0.2">
      <c r="A11" s="869" t="s">
        <v>461</v>
      </c>
      <c r="B11" s="870" t="s">
        <v>1876</v>
      </c>
      <c r="C11" s="871"/>
      <c r="D11" s="869" t="s">
        <v>501</v>
      </c>
      <c r="E11" s="868"/>
      <c r="F11" s="1909">
        <f>'Expenditures 15-22'!K210</f>
        <v>0</v>
      </c>
      <c r="G11" s="872"/>
    </row>
    <row r="12" spans="1:7" x14ac:dyDescent="0.2">
      <c r="A12" s="869" t="s">
        <v>462</v>
      </c>
      <c r="B12" s="870" t="s">
        <v>1877</v>
      </c>
      <c r="C12" s="871"/>
      <c r="D12" s="869" t="s">
        <v>501</v>
      </c>
      <c r="E12" s="868"/>
      <c r="F12" s="1909">
        <f>'Expenditures 15-22'!K295</f>
        <v>0</v>
      </c>
      <c r="G12" s="872"/>
    </row>
    <row r="13" spans="1:7" x14ac:dyDescent="0.2">
      <c r="A13" s="869" t="s">
        <v>106</v>
      </c>
      <c r="B13" s="870" t="s">
        <v>1878</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3280614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1024814</v>
      </c>
      <c r="G53" s="865"/>
    </row>
    <row r="54" spans="1:7" x14ac:dyDescent="0.2">
      <c r="A54" s="869" t="s">
        <v>459</v>
      </c>
      <c r="B54" s="869" t="s">
        <v>1476</v>
      </c>
      <c r="C54" s="889" t="s">
        <v>982</v>
      </c>
      <c r="D54" s="885" t="s">
        <v>1095</v>
      </c>
      <c r="E54" s="868"/>
      <c r="F54" s="1913">
        <f>'Expenditures 15-22'!G114</f>
        <v>12147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1036961</v>
      </c>
      <c r="G76" s="865"/>
    </row>
    <row r="77" spans="1:8" s="893" customFormat="1" ht="12" customHeight="1" thickTop="1" thickBot="1" x14ac:dyDescent="0.25">
      <c r="A77" s="1779"/>
      <c r="B77" s="1776"/>
      <c r="C77" s="1772"/>
      <c r="D77" s="1777" t="s">
        <v>1897</v>
      </c>
      <c r="E77" s="1774"/>
      <c r="F77" s="1780">
        <f>(F14-F76)</f>
        <v>2243653</v>
      </c>
      <c r="G77" s="869"/>
    </row>
    <row r="78" spans="1:8" s="893" customFormat="1" ht="12" customHeight="1" thickTop="1" x14ac:dyDescent="0.2">
      <c r="A78" s="1781"/>
      <c r="B78" s="1776"/>
      <c r="C78" s="1772"/>
      <c r="D78" s="1777" t="s">
        <v>2059</v>
      </c>
      <c r="E78" s="1774"/>
      <c r="F78" s="898">
        <v>0</v>
      </c>
      <c r="G78" s="899"/>
      <c r="H78" s="869"/>
    </row>
    <row r="79" spans="1:8" s="893" customFormat="1" ht="12" customHeight="1" thickBot="1" x14ac:dyDescent="0.25">
      <c r="A79" s="1782"/>
      <c r="B79" s="1776"/>
      <c r="C79" s="1772"/>
      <c r="D79" s="1777" t="s">
        <v>1898</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5222</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10499</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0</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0</v>
      </c>
      <c r="G125" s="930"/>
    </row>
    <row r="126" spans="1:7" x14ac:dyDescent="0.2">
      <c r="A126" s="927" t="s">
        <v>668</v>
      </c>
      <c r="B126" s="927" t="s">
        <v>2021</v>
      </c>
      <c r="C126" s="932">
        <v>4300</v>
      </c>
      <c r="D126" s="933" t="str">
        <f>'Revenues 9-14'!A204</f>
        <v>Total Title I</v>
      </c>
      <c r="E126" s="906"/>
      <c r="F126" s="1789">
        <f>SUM('Revenues 9-14'!C204,'Revenues 9-14'!D204,'Revenues 9-14'!F204,'Revenues 9-14'!G204)</f>
        <v>0</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984979</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18966</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34438</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1054104</v>
      </c>
    </row>
    <row r="175" spans="1:7" ht="12" customHeight="1" x14ac:dyDescent="0.2">
      <c r="A175" s="1770"/>
      <c r="B175" s="1784"/>
      <c r="C175" s="1785"/>
      <c r="D175" s="1786" t="s">
        <v>2054</v>
      </c>
      <c r="E175" s="1787"/>
      <c r="F175" s="1789">
        <f>'PCTC-OEPP 27-28'!F77-F174</f>
        <v>1189549</v>
      </c>
    </row>
    <row r="176" spans="1:7" ht="12" customHeight="1" x14ac:dyDescent="0.2">
      <c r="A176" s="1770"/>
      <c r="B176" s="1784"/>
      <c r="C176" s="1785"/>
      <c r="D176" s="1786" t="s">
        <v>1814</v>
      </c>
      <c r="E176" s="1787"/>
      <c r="F176" s="1789">
        <f>'Cap Outlay Deprec 26'!I18</f>
        <v>8189</v>
      </c>
    </row>
    <row r="177" spans="1:7" ht="12" customHeight="1" x14ac:dyDescent="0.2">
      <c r="A177" s="1770"/>
      <c r="B177" s="1784"/>
      <c r="C177" s="1785"/>
      <c r="D177" s="1786" t="s">
        <v>2055</v>
      </c>
      <c r="E177" s="1787"/>
      <c r="F177" s="1789">
        <f>F175+F176</f>
        <v>1197738</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2056</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pageSetUpPr fitToPage="1"/>
  </sheetPr>
  <dimension ref="A1:H141"/>
  <sheetViews>
    <sheetView showGridLines="0" topLeftCell="A4" zoomScaleNormal="100" workbookViewId="0">
      <selection activeCell="D17" sqref="D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1815</v>
      </c>
      <c r="B4" s="2268"/>
      <c r="C4" s="2268"/>
      <c r="D4" s="2268"/>
      <c r="E4" s="2268"/>
      <c r="F4" s="2268"/>
      <c r="G4" s="2269"/>
    </row>
    <row r="5" spans="1:7" x14ac:dyDescent="0.25">
      <c r="A5" s="2270"/>
      <c r="B5" s="2271"/>
      <c r="C5" s="2271"/>
      <c r="D5" s="2271"/>
      <c r="E5" s="2271"/>
      <c r="F5" s="2271"/>
      <c r="G5" s="2272"/>
    </row>
    <row r="6" spans="1:7" ht="18.75" x14ac:dyDescent="0.25">
      <c r="A6" s="1534" t="s">
        <v>1816</v>
      </c>
      <c r="B6" s="1535"/>
      <c r="C6" s="1535"/>
      <c r="D6" s="1535"/>
      <c r="E6" s="1535"/>
      <c r="F6" s="1535"/>
      <c r="G6" s="1536"/>
    </row>
    <row r="7" spans="1:7" ht="30.75" customHeight="1" x14ac:dyDescent="0.25">
      <c r="A7" s="2273" t="s">
        <v>1929</v>
      </c>
      <c r="B7" s="2274"/>
      <c r="C7" s="2274"/>
      <c r="D7" s="2274"/>
      <c r="E7" s="2274"/>
      <c r="F7" s="2274"/>
      <c r="G7" s="2275"/>
    </row>
    <row r="8" spans="1:7" ht="15.75" customHeight="1" x14ac:dyDescent="0.25">
      <c r="A8" s="2276" t="s">
        <v>1904</v>
      </c>
      <c r="B8" s="2277"/>
      <c r="C8" s="2277"/>
      <c r="D8" s="2277"/>
      <c r="E8" s="2277"/>
      <c r="F8" s="2277"/>
      <c r="G8" s="2278"/>
    </row>
    <row r="9" spans="1:7" ht="35.25" customHeight="1" x14ac:dyDescent="0.25">
      <c r="A9" s="2273" t="s">
        <v>1932</v>
      </c>
      <c r="B9" s="2274"/>
      <c r="C9" s="2274"/>
      <c r="D9" s="2274"/>
      <c r="E9" s="2274"/>
      <c r="F9" s="2274"/>
      <c r="G9" s="2275"/>
    </row>
    <row r="10" spans="1:7" ht="15" customHeight="1" x14ac:dyDescent="0.25">
      <c r="A10" s="1537" t="s">
        <v>1817</v>
      </c>
      <c r="B10" s="1538"/>
      <c r="C10" s="1538"/>
      <c r="D10" s="1538"/>
      <c r="E10" s="1538"/>
      <c r="F10" s="1538"/>
      <c r="G10" s="1539"/>
    </row>
    <row r="11" spans="1:7" ht="17.25" customHeight="1" x14ac:dyDescent="0.25">
      <c r="A11" s="2273" t="s">
        <v>1931</v>
      </c>
      <c r="B11" s="2274"/>
      <c r="C11" s="2274"/>
      <c r="D11" s="2274"/>
      <c r="E11" s="2274"/>
      <c r="F11" s="2274"/>
      <c r="G11" s="2275"/>
    </row>
    <row r="12" spans="1:7" ht="15" customHeight="1" x14ac:dyDescent="0.25">
      <c r="A12" s="1537" t="s">
        <v>1822</v>
      </c>
      <c r="B12" s="1538"/>
      <c r="C12" s="1538"/>
      <c r="D12" s="1538"/>
      <c r="E12" s="1538"/>
      <c r="F12" s="1538"/>
      <c r="G12" s="1539"/>
    </row>
    <row r="13" spans="1:7" ht="32.25" customHeight="1" x14ac:dyDescent="0.25">
      <c r="A13" s="2264" t="s">
        <v>1973</v>
      </c>
      <c r="B13" s="2265"/>
      <c r="C13" s="2265"/>
      <c r="D13" s="2265"/>
      <c r="E13" s="2265"/>
      <c r="F13" s="2265"/>
      <c r="G13" s="2266"/>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00000"/>
  </sheetPr>
  <dimension ref="A1:I46"/>
  <sheetViews>
    <sheetView showGridLines="0" defaultGridColor="0" topLeftCell="A25" colorId="8" zoomScale="110" zoomScaleNormal="110" workbookViewId="0">
      <selection activeCell="F37" sqref="F3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84" t="s">
        <v>1974</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1818096</v>
      </c>
      <c r="F19" s="1799"/>
      <c r="G19" s="1801">
        <f>'Expenditures 15-22'!K33-SUM('Expenditures 15-22'!G33,'Expenditures 15-22'!I33)+'Expenditures 15-22'!D229</f>
        <v>1818096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13698</v>
      </c>
      <c r="F21" s="1802"/>
      <c r="G21" s="1805">
        <f>'Expenditures 15-22'!K42-SUM('Expenditures 15-22'!G42,'Expenditures 15-22'!I42)+'Expenditures 15-22'!K120-SUM('Expenditures 15-22'!G120,'Expenditures 15-22'!I120)+'Expenditures 15-22'!K180-SUM('Expenditures 15-22'!G180,'Expenditures 15-22'!I180)+'Expenditures 15-22'!D238</f>
        <v>13698</v>
      </c>
      <c r="H21" s="987"/>
      <c r="I21" s="162"/>
    </row>
    <row r="22" spans="1:9" s="668" customFormat="1" ht="12" customHeight="1" x14ac:dyDescent="0.2">
      <c r="A22" s="994" t="s">
        <v>564</v>
      </c>
      <c r="B22" s="995"/>
      <c r="C22" s="993">
        <v>2200</v>
      </c>
      <c r="D22" s="1802"/>
      <c r="E22" s="1804">
        <f>'Expenditures 15-22'!K47-SUM('Expenditures 15-22'!G47,'Expenditures 15-22'!I47)+'Expenditures 15-22'!D243</f>
        <v>6106</v>
      </c>
      <c r="F22" s="1802"/>
      <c r="G22" s="1805">
        <f>'Expenditures 15-22'!K47-SUM('Expenditures 15-22'!G47,'Expenditures 15-22'!I47)+'Expenditures 15-22'!D243</f>
        <v>6106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384599</v>
      </c>
      <c r="F23" s="1802"/>
      <c r="G23" s="1804">
        <f>'Expenditures 15-22'!K53-SUM('Expenditures 15-22'!G53,'Expenditures 15-22'!I53)+'Expenditures 15-22'!D257+'Expenditures 15-22'!K330-SUM('Expenditures 15-22'!G330,'Expenditures 15-22'!I330)</f>
        <v>384599</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3000</v>
      </c>
      <c r="F28" s="1806">
        <f>'Expenditures 15-22'!K61-SUM('Expenditures 15-22'!G61,'Expenditures 15-22'!I61)+'Expenditures 15-22'!K124-SUM('Expenditures 15-22'!G124,'Expenditures 15-22'!I124)+'Expenditures 15-22'!D266-E9</f>
        <v>3000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403</v>
      </c>
      <c r="F29" s="1802"/>
      <c r="G29" s="1805">
        <f>'Expenditures 15-22'!K62-SUM('Expenditures 15-22'!G62,'Expenditures 15-22'!I62)+'Expenditures 15-22'!K125-SUM('Expenditures 15-22'!G125,'Expenditures 15-22'!I125)+'Expenditures 15-22'!K182-SUM('Expenditures 15-22'!G182,'Expenditures 15-22'!I182)+'Expenditures 15-22'!D267</f>
        <v>403</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17751</v>
      </c>
      <c r="E37" s="1804">
        <f>E14</f>
        <v>0</v>
      </c>
      <c r="F37" s="1804">
        <f>'Expenditures 15-22'!K71-SUM('Expenditures 15-22'!G71,'Expenditures 15-22'!I71)+'Expenditures 15-22'!D276-E14</f>
        <v>17751</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17751</v>
      </c>
      <c r="E41" s="1806">
        <f>SUM(E19:E40)</f>
        <v>2225902</v>
      </c>
      <c r="F41" s="1806">
        <f>SUM(F19:F39)</f>
        <v>20751</v>
      </c>
      <c r="G41" s="1806">
        <f>SUM(G19:G40)</f>
        <v>2222902</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17751</v>
      </c>
      <c r="F43" s="1807" t="s">
        <v>473</v>
      </c>
      <c r="G43" s="1808">
        <f>F41</f>
        <v>20751</v>
      </c>
    </row>
    <row r="44" spans="1:7" ht="12" customHeight="1" x14ac:dyDescent="0.2">
      <c r="A44" s="987"/>
      <c r="B44" s="162"/>
      <c r="C44" s="1001"/>
      <c r="D44" s="1807" t="s">
        <v>474</v>
      </c>
      <c r="E44" s="1808">
        <f>E41</f>
        <v>2225902</v>
      </c>
      <c r="F44" s="1807" t="s">
        <v>474</v>
      </c>
      <c r="G44" s="1808">
        <f>G41</f>
        <v>2222902</v>
      </c>
    </row>
    <row r="45" spans="1:7" ht="12" customHeight="1" x14ac:dyDescent="0.2">
      <c r="A45" s="987"/>
      <c r="B45" s="162"/>
      <c r="C45" s="162"/>
      <c r="D45" s="1809" t="s">
        <v>1006</v>
      </c>
      <c r="E45" s="1810">
        <f>(E43/E44)</f>
        <v>7.9747446203831084E-3</v>
      </c>
      <c r="F45" s="1809" t="s">
        <v>1006</v>
      </c>
      <c r="G45" s="1810">
        <f>(G43/G44)</f>
        <v>9.335094394624684E-3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00000"/>
  </sheetPr>
  <dimension ref="A1:L97"/>
  <sheetViews>
    <sheetView showGridLines="0" zoomScale="110" zoomScaleNormal="110" workbookViewId="0">
      <pane ySplit="4" topLeftCell="A14" activePane="bottomLeft" state="frozen"/>
      <selection activeCell="A47" sqref="A47"/>
      <selection pane="bottomLeft" activeCell="B9" sqref="B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0" t="s">
        <v>1379</v>
      </c>
      <c r="B1" s="2290"/>
      <c r="C1" s="2290"/>
      <c r="D1" s="2290"/>
      <c r="E1" s="2290"/>
      <c r="F1" s="2290"/>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291" t="s">
        <v>1546</v>
      </c>
      <c r="B5" s="2292"/>
      <c r="C5" s="2293"/>
      <c r="D5" s="2293"/>
      <c r="E5" s="2293"/>
      <c r="F5" s="2293"/>
    </row>
    <row r="6" spans="1:10" ht="12" customHeight="1" x14ac:dyDescent="0.25">
      <c r="A6" s="1850"/>
      <c r="B6" s="1851"/>
      <c r="C6" s="2294" t="str">
        <f>COVER!A17</f>
        <v>South Macoupin Association</v>
      </c>
      <c r="D6" s="2294"/>
      <c r="E6" s="2294"/>
      <c r="F6" s="1852"/>
    </row>
    <row r="7" spans="1:10" ht="11.25" customHeight="1" thickBot="1" x14ac:dyDescent="0.3">
      <c r="A7" s="1850"/>
      <c r="B7" s="1851"/>
      <c r="C7" s="2295">
        <f>COVER!A13</f>
        <v>40056801060</v>
      </c>
      <c r="D7" s="2295"/>
      <c r="E7" s="2295"/>
      <c r="F7" s="1852"/>
    </row>
    <row r="8" spans="1:10" ht="25.5" customHeight="1" thickBot="1" x14ac:dyDescent="0.25">
      <c r="A8" s="1893" t="s">
        <v>1905</v>
      </c>
      <c r="B8" s="1853" t="s">
        <v>2061</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J31" sqref="J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South Macoupin Association</v>
      </c>
      <c r="J6" s="2315"/>
      <c r="Q6" s="1664"/>
    </row>
    <row r="7" spans="1:17" x14ac:dyDescent="0.2">
      <c r="A7" s="2316" t="s">
        <v>869</v>
      </c>
      <c r="B7" s="2317"/>
      <c r="C7" s="2317"/>
      <c r="D7" s="2317"/>
      <c r="E7" s="2318"/>
      <c r="F7" s="1017"/>
      <c r="G7" s="1009"/>
      <c r="H7" s="1016" t="s">
        <v>372</v>
      </c>
      <c r="I7" s="2319">
        <f>COVER!A13</f>
        <v>40056801060</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329190</v>
      </c>
      <c r="F13" s="1039"/>
      <c r="G13" s="1811">
        <f t="shared" si="0"/>
        <v>329190</v>
      </c>
      <c r="H13" s="1040">
        <f>37821+6157+249013+55126+3611+2000+3000+5000+14000+15000</f>
        <v>390728</v>
      </c>
      <c r="I13" s="1039"/>
      <c r="J13" s="1811">
        <f t="shared" si="1"/>
        <v>390728</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329190</v>
      </c>
      <c r="F19" s="1813">
        <f t="shared" si="2"/>
        <v>0</v>
      </c>
      <c r="G19" s="1813">
        <f t="shared" si="2"/>
        <v>329190</v>
      </c>
      <c r="H19" s="1813">
        <f t="shared" si="2"/>
        <v>390728</v>
      </c>
      <c r="I19" s="1813">
        <f t="shared" si="2"/>
        <v>0</v>
      </c>
      <c r="J19" s="1813">
        <f t="shared" si="2"/>
        <v>390728</v>
      </c>
    </row>
    <row r="20" spans="1:10" ht="13.5" thickTop="1" x14ac:dyDescent="0.2">
      <c r="A20" s="1035">
        <v>9</v>
      </c>
      <c r="B20" s="2326" t="s">
        <v>1978</v>
      </c>
      <c r="C20" s="2326"/>
      <c r="D20" s="2327"/>
      <c r="E20" s="1046"/>
      <c r="F20" s="1046"/>
      <c r="G20" s="1046"/>
      <c r="H20" s="1046"/>
      <c r="I20" s="1046"/>
      <c r="J20" s="1814">
        <f>IF(AND(G19&gt;0,J19&gt;0),(((J19-G19)/G19)),"Enter Budget Data")</f>
        <v>0.1869376348005711</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t="s">
        <v>2061</v>
      </c>
      <c r="C36" s="2313" t="s">
        <v>1980</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C00000"/>
  </sheetPr>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2083</v>
      </c>
    </row>
    <row r="6" spans="1:2" x14ac:dyDescent="0.2">
      <c r="A6" s="1068">
        <v>2</v>
      </c>
      <c r="B6" s="329" t="s">
        <v>2084</v>
      </c>
    </row>
    <row r="7" spans="1:2" x14ac:dyDescent="0.2">
      <c r="A7" s="1068"/>
    </row>
    <row r="8" spans="1:2" x14ac:dyDescent="0.2">
      <c r="A8" s="1068"/>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South Macoupin Association</v>
      </c>
    </row>
    <row r="65" spans="2:2" x14ac:dyDescent="0.2">
      <c r="B65" s="1070">
        <f>COVER!A13</f>
        <v>40056801060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I84"/>
  <sheetViews>
    <sheetView showGridLines="0" topLeftCell="A85"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C00000"/>
  </sheetPr>
  <dimension ref="A1:D19"/>
  <sheetViews>
    <sheetView showGridLines="0" defaultGridColor="0" topLeftCell="A7"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6" sqref="E15:E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428625</xdr:colOff>
                <xdr:row>2</xdr:row>
                <xdr:rowOff>57150</xdr:rowOff>
              </from>
              <to>
                <xdr:col>1</xdr:col>
                <xdr:colOff>1343025</xdr:colOff>
                <xdr:row>6</xdr:row>
                <xdr:rowOff>95250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C00000"/>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1984</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1985</v>
      </c>
      <c r="B4" s="2354"/>
      <c r="C4" s="2354"/>
      <c r="D4" s="2354"/>
      <c r="E4" s="2354"/>
      <c r="F4" s="2355"/>
      <c r="G4" s="1074"/>
      <c r="H4" s="1074"/>
    </row>
    <row r="5" spans="1:8" ht="14.25" customHeight="1" x14ac:dyDescent="0.2">
      <c r="A5" s="2356" t="s">
        <v>1981</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3281786</v>
      </c>
      <c r="C8" s="1815">
        <f>'Acct Summary 7-8'!D8</f>
        <v>0</v>
      </c>
      <c r="D8" s="1815">
        <f>'Acct Summary 7-8'!F8</f>
        <v>0</v>
      </c>
      <c r="E8" s="1815">
        <f>'Acct Summary 7-8'!I8</f>
        <v>0</v>
      </c>
      <c r="F8" s="1815">
        <f>SUM(B8:E8)</f>
        <v>3281786</v>
      </c>
    </row>
    <row r="9" spans="1:8" s="1079" customFormat="1" ht="14.25" customHeight="1" thickBot="1" x14ac:dyDescent="0.25">
      <c r="A9" s="1078" t="s">
        <v>1369</v>
      </c>
      <c r="B9" s="1816">
        <f>'Acct Summary 7-8'!C17</f>
        <v>3280614</v>
      </c>
      <c r="C9" s="1816">
        <f>'Acct Summary 7-8'!D17</f>
        <v>0</v>
      </c>
      <c r="D9" s="1816">
        <f>'Acct Summary 7-8'!F17</f>
        <v>0</v>
      </c>
      <c r="E9" s="1815"/>
      <c r="F9" s="1815">
        <f>SUM(B9:E9)</f>
        <v>3280614</v>
      </c>
    </row>
    <row r="10" spans="1:8" s="1079" customFormat="1" ht="14.25" thickTop="1" thickBot="1" x14ac:dyDescent="0.25">
      <c r="A10" s="1080" t="s">
        <v>1370</v>
      </c>
      <c r="B10" s="1817">
        <f>(B8-B9)</f>
        <v>1172</v>
      </c>
      <c r="C10" s="1817">
        <f>(C8-C9)</f>
        <v>0</v>
      </c>
      <c r="D10" s="1817">
        <f>(D8-D9)</f>
        <v>0</v>
      </c>
      <c r="E10" s="1816">
        <f>(E8-E9)</f>
        <v>0</v>
      </c>
      <c r="F10" s="1818">
        <f>SUM(F8-F9)</f>
        <v>1172</v>
      </c>
    </row>
    <row r="11" spans="1:8" s="1079" customFormat="1" ht="14.25" thickTop="1" thickBot="1" x14ac:dyDescent="0.25">
      <c r="A11" s="1081" t="s">
        <v>1982</v>
      </c>
      <c r="B11" s="1819">
        <f>'Acct Summary 7-8'!C81</f>
        <v>254534</v>
      </c>
      <c r="C11" s="1819">
        <f>'Acct Summary 7-8'!D81</f>
        <v>0</v>
      </c>
      <c r="D11" s="1819">
        <f>'Acct Summary 7-8'!F81</f>
        <v>0</v>
      </c>
      <c r="E11" s="1819">
        <f>'Acct Summary 7-8'!I81</f>
        <v>0</v>
      </c>
      <c r="F11" s="1820">
        <f>SUM(B11:E11)</f>
        <v>254534</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6"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40056801060</v>
      </c>
    </row>
    <row r="3" spans="1:2" x14ac:dyDescent="0.2">
      <c r="A3" t="s">
        <v>956</v>
      </c>
      <c r="B3" s="138" t="str">
        <f>COVER!A15</f>
        <v>MACOUPIN</v>
      </c>
    </row>
    <row r="4" spans="1:2" x14ac:dyDescent="0.2">
      <c r="A4" t="s">
        <v>1007</v>
      </c>
      <c r="B4" s="138" t="str">
        <f>COVER!A17</f>
        <v>South Macoupin Association</v>
      </c>
    </row>
    <row r="5" spans="1:2" x14ac:dyDescent="0.2">
      <c r="A5" t="s">
        <v>704</v>
      </c>
      <c r="B5" s="138" t="str">
        <f>COVER!A38</f>
        <v>ALISON STORM</v>
      </c>
    </row>
    <row r="6" spans="1:2" x14ac:dyDescent="0.2">
      <c r="A6" t="s">
        <v>709</v>
      </c>
      <c r="B6" s="138">
        <f>COVER!P35</f>
        <v>0</v>
      </c>
    </row>
    <row r="7" spans="1:2" x14ac:dyDescent="0.2">
      <c r="A7" t="s">
        <v>705</v>
      </c>
      <c r="B7" s="138">
        <f>COVER!I38</f>
        <v>0</v>
      </c>
    </row>
    <row r="8" spans="1:2" x14ac:dyDescent="0.2">
      <c r="A8" t="s">
        <v>706</v>
      </c>
      <c r="B8" s="138" t="str">
        <f>COVER!T38</f>
        <v>MICHELLE MUELLER</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060-003363</v>
      </c>
    </row>
    <row r="16" spans="1:2" x14ac:dyDescent="0.2">
      <c r="A16" t="s">
        <v>422</v>
      </c>
      <c r="B16" s="138" t="str">
        <f>COVER!T13</f>
        <v>LOY MILLER TALLEY, PC</v>
      </c>
    </row>
    <row r="17" spans="1:2" x14ac:dyDescent="0.2">
      <c r="A17" t="s">
        <v>884</v>
      </c>
      <c r="B17" s="138" t="str">
        <f>COVER!T15</f>
        <v>KENNETH E. LOY, CPA</v>
      </c>
    </row>
    <row r="18" spans="1:2" x14ac:dyDescent="0.2">
      <c r="A18" t="s">
        <v>1150</v>
      </c>
      <c r="B18" s="138" t="str">
        <f>COVER!T17</f>
        <v>#2 CROSSROADS CT</v>
      </c>
    </row>
    <row r="19" spans="1:2" x14ac:dyDescent="0.2">
      <c r="A19" t="s">
        <v>886</v>
      </c>
      <c r="B19" s="138" t="str">
        <f>COVER!T25</f>
        <v>KEN@LMTCPAS.COM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618-465-1196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254534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254534</v>
      </c>
      <c r="D92" s="2" t="str">
        <f t="shared" si="0"/>
        <v>Error?</v>
      </c>
    </row>
    <row r="93" spans="1:4" x14ac:dyDescent="0.2">
      <c r="A93" s="5">
        <v>32</v>
      </c>
      <c r="B93" s="138">
        <f>'Assets-Liab 5-6'!C41</f>
        <v>254534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170900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170900</v>
      </c>
      <c r="C279" s="2" t="s">
        <v>573</v>
      </c>
      <c r="D279" s="2" t="str">
        <f t="shared" si="3"/>
        <v>Error?</v>
      </c>
    </row>
    <row r="280" spans="1:4" x14ac:dyDescent="0.2">
      <c r="A280" s="5">
        <v>219</v>
      </c>
      <c r="B280" s="138">
        <f>'Assets-Liab 5-6'!M40</f>
        <v>170900</v>
      </c>
      <c r="D280" s="2" t="str">
        <f t="shared" si="3"/>
        <v>Error?</v>
      </c>
    </row>
    <row r="281" spans="1:4" x14ac:dyDescent="0.2">
      <c r="A281" s="5">
        <v>220</v>
      </c>
      <c r="B281" s="138">
        <f>'Assets-Liab 5-6'!M41</f>
        <v>170900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1447262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37397</v>
      </c>
      <c r="D732" s="2" t="str">
        <f t="shared" si="10"/>
        <v>Error?</v>
      </c>
    </row>
    <row r="733" spans="1:4" x14ac:dyDescent="0.2">
      <c r="A733" s="5">
        <v>672</v>
      </c>
      <c r="B733" s="138">
        <f>'Expenditures 15-22'!C50</f>
        <v>0</v>
      </c>
      <c r="D733" s="2" t="str">
        <f t="shared" si="10"/>
        <v>Error?</v>
      </c>
    </row>
    <row r="734" spans="1:4" x14ac:dyDescent="0.2">
      <c r="A734" s="5">
        <v>673</v>
      </c>
      <c r="B734" s="138">
        <f>'Expenditures 15-22'!C53</f>
        <v>275489</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275489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1722751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275452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5749</v>
      </c>
      <c r="D790" s="2" t="str">
        <f t="shared" si="11"/>
        <v>Error?</v>
      </c>
    </row>
    <row r="791" spans="1:4" x14ac:dyDescent="0.2">
      <c r="A791" s="5">
        <v>730</v>
      </c>
      <c r="B791" s="138">
        <f>'Expenditures 15-22'!D50</f>
        <v>0</v>
      </c>
      <c r="D791" s="2" t="str">
        <f t="shared" si="11"/>
        <v>Error?</v>
      </c>
    </row>
    <row r="792" spans="1:4" x14ac:dyDescent="0.2">
      <c r="A792" s="5">
        <v>731</v>
      </c>
      <c r="B792" s="138">
        <f>'Expenditures 15-22'!D53</f>
        <v>61986</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61986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337438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75958</v>
      </c>
      <c r="C836" s="2" t="s">
        <v>573</v>
      </c>
      <c r="D836" s="2" t="str">
        <f t="shared" si="12"/>
        <v>Error?</v>
      </c>
    </row>
    <row r="837" spans="1:4" x14ac:dyDescent="0.2">
      <c r="A837" s="5">
        <v>776</v>
      </c>
      <c r="B837" s="138">
        <f>'Expenditures 15-22'!E36</f>
        <v>10406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10406</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43370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3000</v>
      </c>
      <c r="D856" s="2" t="str">
        <f t="shared" si="12"/>
        <v>Error?</v>
      </c>
    </row>
    <row r="857" spans="1:4" x14ac:dyDescent="0.2">
      <c r="A857" s="5">
        <v>796</v>
      </c>
      <c r="B857" s="138">
        <f>'Expenditures 15-22'!E62</f>
        <v>403</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3403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17751</v>
      </c>
      <c r="D867" s="2" t="str">
        <f t="shared" si="12"/>
        <v>Error?</v>
      </c>
    </row>
    <row r="868" spans="1:4" x14ac:dyDescent="0.2">
      <c r="A868" s="10">
        <v>807</v>
      </c>
      <c r="D868" s="2" t="str">
        <f t="shared" si="12"/>
        <v>OK</v>
      </c>
    </row>
    <row r="869" spans="1:4" x14ac:dyDescent="0.2">
      <c r="A869" s="5">
        <v>808</v>
      </c>
      <c r="B869" s="138">
        <f>'Expenditures 15-22'!E72</f>
        <v>17751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74930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150888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19424</v>
      </c>
      <c r="C894" s="2" t="s">
        <v>573</v>
      </c>
      <c r="D894" s="2" t="str">
        <f t="shared" si="12"/>
        <v>Error?</v>
      </c>
    </row>
    <row r="895" spans="1:4" x14ac:dyDescent="0.2">
      <c r="A895" s="5">
        <v>834</v>
      </c>
      <c r="B895" s="138">
        <f>'Expenditures 15-22'!F36</f>
        <v>1100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1100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6106</v>
      </c>
      <c r="D904" s="2" t="str">
        <f t="shared" si="13"/>
        <v>Error?</v>
      </c>
    </row>
    <row r="905" spans="1:4" x14ac:dyDescent="0.2">
      <c r="A905" s="5">
        <v>844</v>
      </c>
      <c r="B905" s="138">
        <f>'Expenditures 15-22'!F47</f>
        <v>6106</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3754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10960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30384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12147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12147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2192</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2192</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2192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1024814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1027006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1830243</v>
      </c>
      <c r="C1108" s="2" t="s">
        <v>573</v>
      </c>
      <c r="D1108" s="2" t="str">
        <f t="shared" si="16"/>
        <v>Error?</v>
      </c>
    </row>
    <row r="1109" spans="1:4" x14ac:dyDescent="0.2">
      <c r="A1109" s="5">
        <v>1048</v>
      </c>
      <c r="B1109" s="138">
        <f>'Expenditures 15-22'!K36</f>
        <v>13698</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13698</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6106</v>
      </c>
      <c r="C1118" s="2" t="s">
        <v>573</v>
      </c>
      <c r="D1118" s="2" t="str">
        <f t="shared" si="16"/>
        <v>Error?</v>
      </c>
    </row>
    <row r="1119" spans="1:4" x14ac:dyDescent="0.2">
      <c r="A1119" s="5">
        <v>1058</v>
      </c>
      <c r="B1119" s="138">
        <f>'Expenditures 15-22'!K47</f>
        <v>6106</v>
      </c>
      <c r="C1119" s="2" t="s">
        <v>573</v>
      </c>
      <c r="D1119" s="2" t="str">
        <f t="shared" si="16"/>
        <v>Error?</v>
      </c>
    </row>
    <row r="1120" spans="1:4" x14ac:dyDescent="0.2">
      <c r="A1120" s="5">
        <v>1059</v>
      </c>
      <c r="B1120" s="138">
        <f>'Expenditures 15-22'!K49</f>
        <v>43146</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384599</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3000</v>
      </c>
      <c r="C1128" s="2" t="s">
        <v>573</v>
      </c>
      <c r="D1128" s="2" t="str">
        <f t="shared" si="16"/>
        <v>Error?</v>
      </c>
    </row>
    <row r="1129" spans="1:4" x14ac:dyDescent="0.2">
      <c r="A1129" s="5">
        <v>1068</v>
      </c>
      <c r="B1129" s="138">
        <f>'Expenditures 15-22'!K62</f>
        <v>403</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3403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17751</v>
      </c>
      <c r="C1139" s="2" t="s">
        <v>573</v>
      </c>
      <c r="D1139" s="2" t="str">
        <f t="shared" si="16"/>
        <v>Error?</v>
      </c>
    </row>
    <row r="1140" spans="1:4" x14ac:dyDescent="0.2">
      <c r="A1140" s="10">
        <v>1079</v>
      </c>
      <c r="D1140" s="2" t="str">
        <f t="shared" si="16"/>
        <v>OK</v>
      </c>
    </row>
    <row r="1141" spans="1:4" x14ac:dyDescent="0.2">
      <c r="A1141" s="5">
        <v>1080</v>
      </c>
      <c r="B1141" s="138">
        <f>'Expenditures 15-22'!K72</f>
        <v>17751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425557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1024814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3280614</v>
      </c>
      <c r="C1152" s="2" t="s">
        <v>573</v>
      </c>
      <c r="D1152" s="2" t="str">
        <f t="shared" si="17"/>
        <v>Error?</v>
      </c>
    </row>
    <row r="1153" spans="1:4" x14ac:dyDescent="0.2">
      <c r="A1153" s="5">
        <v>1092</v>
      </c>
      <c r="B1153" s="138">
        <f>'Expenditures 15-22'!K115</f>
        <v>1172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253362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254534</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158753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158753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12147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12147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170900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170900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82938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82938</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8189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8189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91127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91127</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79773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79773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1024814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1024814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1946409</v>
      </c>
      <c r="C2551" s="2" t="s">
        <v>573</v>
      </c>
      <c r="D2551" s="2" t="str">
        <f t="shared" si="38"/>
        <v>Error?</v>
      </c>
    </row>
    <row r="2552" spans="1:4" x14ac:dyDescent="0.2">
      <c r="A2552" s="10">
        <v>2491</v>
      </c>
      <c r="D2552" s="2" t="str">
        <f t="shared" si="38"/>
        <v>OK</v>
      </c>
    </row>
    <row r="2553" spans="1:4" x14ac:dyDescent="0.2">
      <c r="A2553" s="5">
        <v>2492</v>
      </c>
      <c r="B2553" s="138">
        <f>'Acct Summary 7-8'!C6</f>
        <v>257159</v>
      </c>
      <c r="C2553" s="2" t="s">
        <v>573</v>
      </c>
      <c r="D2553" s="2" t="str">
        <f t="shared" si="38"/>
        <v>Error?</v>
      </c>
    </row>
    <row r="2554" spans="1:4" x14ac:dyDescent="0.2">
      <c r="A2554" s="5">
        <v>2493</v>
      </c>
      <c r="B2554" s="138">
        <f>'Acct Summary 7-8'!C7</f>
        <v>1078218</v>
      </c>
      <c r="C2554" s="2" t="s">
        <v>573</v>
      </c>
      <c r="D2554" s="2" t="str">
        <f t="shared" si="38"/>
        <v>Error?</v>
      </c>
    </row>
    <row r="2555" spans="1:4" x14ac:dyDescent="0.2">
      <c r="A2555" s="5">
        <v>2494</v>
      </c>
      <c r="B2555" s="138">
        <f>'Acct Summary 7-8'!C8</f>
        <v>3281786</v>
      </c>
      <c r="C2555" s="2" t="s">
        <v>573</v>
      </c>
      <c r="D2555" s="2" t="str">
        <f t="shared" si="38"/>
        <v>Error?</v>
      </c>
    </row>
    <row r="2556" spans="1:4" x14ac:dyDescent="0.2">
      <c r="A2556" s="5">
        <v>2495</v>
      </c>
      <c r="B2556" s="138">
        <f>'Acct Summary 7-8'!C12</f>
        <v>1830243</v>
      </c>
      <c r="C2556" s="2" t="s">
        <v>573</v>
      </c>
      <c r="D2556" s="2" t="str">
        <f t="shared" si="38"/>
        <v>Error?</v>
      </c>
    </row>
    <row r="2557" spans="1:4" x14ac:dyDescent="0.2">
      <c r="A2557" s="5">
        <v>2496</v>
      </c>
      <c r="B2557" s="138">
        <f>'Acct Summary 7-8'!C13</f>
        <v>425557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1024814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3280614</v>
      </c>
      <c r="C2561" s="2" t="s">
        <v>573</v>
      </c>
      <c r="D2561" s="2" t="str">
        <f t="shared" si="39"/>
        <v>Error?</v>
      </c>
    </row>
    <row r="2562" spans="1:4" x14ac:dyDescent="0.2">
      <c r="A2562" s="5">
        <v>2501</v>
      </c>
      <c r="B2562" s="138">
        <f>'Acct Summary 7-8'!C20</f>
        <v>1172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238092</v>
      </c>
      <c r="D2718" s="2" t="str">
        <f t="shared" si="41"/>
        <v>Error?</v>
      </c>
    </row>
    <row r="2719" spans="1:4" x14ac:dyDescent="0.2">
      <c r="A2719" s="5">
        <v>2658</v>
      </c>
      <c r="B2719" s="138">
        <f>'Expenditures 15-22'!D51</f>
        <v>56237</v>
      </c>
      <c r="D2719" s="2" t="str">
        <f t="shared" si="41"/>
        <v>Error?</v>
      </c>
    </row>
    <row r="2720" spans="1:4" x14ac:dyDescent="0.2">
      <c r="A2720" s="5">
        <v>2659</v>
      </c>
      <c r="B2720" s="138">
        <f>'Expenditures 15-22'!E51</f>
        <v>31107</v>
      </c>
      <c r="D2720" s="2" t="str">
        <f t="shared" si="41"/>
        <v>Error?</v>
      </c>
    </row>
    <row r="2721" spans="1:4" x14ac:dyDescent="0.2">
      <c r="A2721" s="5">
        <v>2660</v>
      </c>
      <c r="B2721" s="138">
        <f>'Expenditures 15-22'!F51</f>
        <v>3754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329190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1024814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1024814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1172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1447262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275452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75958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19424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12147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1830243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254534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1185890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4467676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1185890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4466504</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254534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10499</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18966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34438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1936807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1936807</v>
      </c>
      <c r="C5087" s="2" t="s">
        <v>573</v>
      </c>
      <c r="D5087" s="2" t="str">
        <f t="shared" si="78"/>
        <v>Error?</v>
      </c>
    </row>
    <row r="5088" spans="1:4" x14ac:dyDescent="0.2">
      <c r="A5088" s="5">
        <v>5027</v>
      </c>
      <c r="B5088" s="138">
        <f>'Revenues 9-14'!C65</f>
        <v>2313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2313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5222</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5222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2067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2067</v>
      </c>
      <c r="C5120" s="2" t="s">
        <v>573</v>
      </c>
      <c r="D5120" s="2" t="str">
        <f t="shared" si="79"/>
        <v>Error?</v>
      </c>
    </row>
    <row r="5121" spans="1:4" x14ac:dyDescent="0.2">
      <c r="A5121" s="5">
        <v>5060</v>
      </c>
      <c r="B5121" s="138">
        <f>'Revenues 9-14'!C109</f>
        <v>1946409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246660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246660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10499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10499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257159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39835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984979</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1024814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1078218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1078218</v>
      </c>
      <c r="C5326" s="2" t="s">
        <v>573</v>
      </c>
      <c r="D5326" s="2" t="str">
        <f t="shared" si="82"/>
        <v>Error?</v>
      </c>
    </row>
    <row r="5327" spans="1:5" x14ac:dyDescent="0.2">
      <c r="A5327" s="5">
        <v>5266</v>
      </c>
      <c r="B5327" s="138">
        <f>'Revenues 9-14'!C268</f>
        <v>3281786</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1172</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4.6044929164669552E-3</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12263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12263</v>
      </c>
      <c r="D6940" s="2" t="str">
        <f t="shared" si="107"/>
        <v>Error?</v>
      </c>
    </row>
    <row r="6941" spans="1:4" x14ac:dyDescent="0.2">
      <c r="A6941">
        <v>6880</v>
      </c>
      <c r="B6941" s="138">
        <f>'Expenditures 15-22'!L52</f>
        <v>12050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8189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0</v>
      </c>
      <c r="D7797" s="2" t="str">
        <f t="shared" si="127"/>
        <v>Error?</v>
      </c>
      <c r="E7797" s="4" t="s">
        <v>1901</v>
      </c>
    </row>
    <row r="7798" spans="1:5" x14ac:dyDescent="0.2">
      <c r="A7798">
        <v>7737</v>
      </c>
      <c r="B7798" s="138">
        <f>'Contracts Paid in CY 29'!F141</f>
        <v>0</v>
      </c>
      <c r="D7798" s="2" t="str">
        <f t="shared" si="127"/>
        <v>Error?</v>
      </c>
      <c r="E7798" s="4" t="s">
        <v>1901</v>
      </c>
    </row>
    <row r="7799" spans="1:5" x14ac:dyDescent="0.2">
      <c r="A7799">
        <v>7738</v>
      </c>
      <c r="B7799" s="138">
        <f>'Contracts Paid in CY 29'!G141</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H47" sqref="H4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8" t="s">
        <v>1986</v>
      </c>
      <c r="B4" s="2399"/>
      <c r="C4" s="2399"/>
      <c r="D4" s="2399"/>
      <c r="E4" s="2399"/>
      <c r="F4" s="2399"/>
      <c r="G4" s="2399"/>
      <c r="H4" s="2399"/>
      <c r="I4" s="2399"/>
      <c r="J4" s="2399"/>
      <c r="K4" s="2399"/>
      <c r="L4" s="239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0" t="str">
        <f>COVER!A17</f>
        <v>South Macoupin Association</v>
      </c>
      <c r="B7" s="2401"/>
      <c r="C7" s="2401"/>
      <c r="D7" s="2402"/>
      <c r="E7" s="2403">
        <f>COVER!A13</f>
        <v>40056801060</v>
      </c>
      <c r="F7" s="2404"/>
      <c r="G7" s="2410" t="str">
        <f>COVER!T23</f>
        <v>060-003363</v>
      </c>
      <c r="H7" s="2411"/>
      <c r="I7" s="2411"/>
      <c r="J7" s="2411"/>
      <c r="K7" s="2411"/>
      <c r="L7" s="241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3"/>
      <c r="B9" s="2414"/>
      <c r="C9" s="2414"/>
      <c r="D9" s="2414"/>
      <c r="E9" s="2414"/>
      <c r="F9" s="2415"/>
      <c r="G9" s="2384" t="str">
        <f>COVER!T13</f>
        <v>LOY MILLER TALLEY, PC</v>
      </c>
      <c r="H9" s="2416"/>
      <c r="I9" s="2416"/>
      <c r="J9" s="2416"/>
      <c r="K9" s="2416"/>
      <c r="L9" s="2417"/>
    </row>
    <row r="10" spans="1:29" ht="13.5" customHeight="1" x14ac:dyDescent="0.2">
      <c r="A10" s="2390" t="str">
        <f>COVER!A38</f>
        <v>ALISON STORM</v>
      </c>
      <c r="B10" s="2391"/>
      <c r="C10" s="2391"/>
      <c r="D10" s="2391"/>
      <c r="E10" s="2391"/>
      <c r="F10" s="2392"/>
      <c r="G10" s="2384" t="str">
        <f>COVER!T17</f>
        <v>#2 CROSSROADS CT</v>
      </c>
      <c r="H10" s="2385"/>
      <c r="I10" s="2385"/>
      <c r="J10" s="2385"/>
      <c r="K10" s="2385"/>
      <c r="L10" s="2386"/>
    </row>
    <row r="11" spans="1:29" ht="13.5" customHeight="1" x14ac:dyDescent="0.2">
      <c r="A11" s="1184" t="s">
        <v>1519</v>
      </c>
      <c r="B11" s="1185"/>
      <c r="C11" s="1186"/>
      <c r="D11" s="1191"/>
      <c r="E11" s="1186"/>
      <c r="F11" s="1190"/>
      <c r="G11" s="2384" t="str">
        <f>COVER!T19</f>
        <v>ALTON</v>
      </c>
      <c r="H11" s="2385"/>
      <c r="I11" s="2385"/>
      <c r="J11" s="2385"/>
      <c r="K11" s="2385"/>
      <c r="L11" s="2386"/>
    </row>
    <row r="12" spans="1:29" ht="13.5" customHeight="1" x14ac:dyDescent="0.2">
      <c r="A12" s="2393" t="s">
        <v>1518</v>
      </c>
      <c r="B12" s="2394"/>
      <c r="C12" s="2394"/>
      <c r="D12" s="2394"/>
      <c r="E12" s="2394"/>
      <c r="F12" s="2395"/>
      <c r="G12" s="2387"/>
      <c r="H12" s="2388"/>
      <c r="I12" s="2388"/>
      <c r="J12" s="2388"/>
      <c r="K12" s="2388"/>
      <c r="L12" s="2389"/>
    </row>
    <row r="13" spans="1:29" ht="13.5" customHeight="1" x14ac:dyDescent="0.2">
      <c r="A13" s="2384"/>
      <c r="B13" s="2385"/>
      <c r="C13" s="2385"/>
      <c r="D13" s="2385"/>
      <c r="E13" s="2385"/>
      <c r="F13" s="2386"/>
      <c r="G13" s="2379" t="s">
        <v>1520</v>
      </c>
      <c r="H13" s="2380"/>
      <c r="I13" s="2396" t="str">
        <f>COVER!T25</f>
        <v>KEN@LMTCPAS.COM</v>
      </c>
      <c r="J13" s="2397"/>
      <c r="K13" s="2397"/>
      <c r="L13" s="2398"/>
    </row>
    <row r="14" spans="1:29" ht="13.5" customHeight="1" x14ac:dyDescent="0.2">
      <c r="A14" s="2384" t="str">
        <f>COVER!A19</f>
        <v>70 N. DENEEN ST.</v>
      </c>
      <c r="B14" s="2385"/>
      <c r="C14" s="2385"/>
      <c r="D14" s="2385"/>
      <c r="E14" s="2385"/>
      <c r="F14" s="2386"/>
      <c r="G14" s="1195" t="s">
        <v>1185</v>
      </c>
      <c r="H14" s="1193"/>
      <c r="I14" s="1193"/>
      <c r="J14" s="1193"/>
      <c r="K14" s="1193"/>
      <c r="L14" s="1194"/>
    </row>
    <row r="15" spans="1:29" ht="13.5" customHeight="1" x14ac:dyDescent="0.2">
      <c r="A15" s="2384" t="str">
        <f>COVER!A21</f>
        <v>STAUNTON</v>
      </c>
      <c r="B15" s="2385"/>
      <c r="C15" s="2385"/>
      <c r="D15" s="2385"/>
      <c r="E15" s="2385"/>
      <c r="F15" s="2386"/>
      <c r="G15" s="2381" t="str">
        <f>COVER!T15</f>
        <v>KENNETH E. LOY, CPA</v>
      </c>
      <c r="H15" s="2382"/>
      <c r="I15" s="2382"/>
      <c r="J15" s="2382"/>
      <c r="K15" s="2382"/>
      <c r="L15" s="2383"/>
    </row>
    <row r="16" spans="1:29" ht="12.2" customHeight="1" x14ac:dyDescent="0.2">
      <c r="A16" s="2406">
        <f>COVER!A25</f>
        <v>62088</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95" t="s">
        <v>1184</v>
      </c>
      <c r="H17" s="1193"/>
      <c r="I17" s="1193"/>
      <c r="J17" s="1193"/>
      <c r="K17" s="1197" t="s">
        <v>1183</v>
      </c>
      <c r="L17" s="1190"/>
      <c r="M17" s="1183"/>
    </row>
    <row r="18" spans="1:13" ht="12.2" customHeight="1" x14ac:dyDescent="0.2">
      <c r="A18" s="2390"/>
      <c r="B18" s="2391"/>
      <c r="C18" s="2391"/>
      <c r="D18" s="2391"/>
      <c r="E18" s="2391"/>
      <c r="F18" s="2392"/>
      <c r="G18" s="2400" t="str">
        <f>COVER!T21</f>
        <v>618-465-1196</v>
      </c>
      <c r="H18" s="2401"/>
      <c r="I18" s="2401"/>
      <c r="J18" s="2401"/>
      <c r="K18" s="2400" t="str">
        <f>COVER!X21</f>
        <v>618-465-2900</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2062</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2062</v>
      </c>
      <c r="C26" s="1202" t="s">
        <v>1699</v>
      </c>
    </row>
    <row r="27" spans="1:13" s="1198" customFormat="1" ht="9" customHeight="1" x14ac:dyDescent="0.2">
      <c r="B27" s="1203"/>
      <c r="C27" s="1202"/>
    </row>
    <row r="28" spans="1:13" s="1198" customFormat="1" ht="12.2" customHeight="1" x14ac:dyDescent="0.2">
      <c r="A28" s="1205"/>
      <c r="B28" s="1201" t="s">
        <v>2062</v>
      </c>
      <c r="C28" s="1202" t="s">
        <v>1700</v>
      </c>
    </row>
    <row r="29" spans="1:13" s="1198" customFormat="1" ht="9" customHeight="1" x14ac:dyDescent="0.2">
      <c r="A29" s="1205"/>
      <c r="B29" s="1203"/>
      <c r="C29" s="1202"/>
    </row>
    <row r="30" spans="1:13" s="1198" customFormat="1" ht="12.2" customHeight="1" x14ac:dyDescent="0.2">
      <c r="B30" s="1201" t="s">
        <v>2062</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2062</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2062</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2062</v>
      </c>
      <c r="C38" s="1202" t="s">
        <v>1566</v>
      </c>
    </row>
    <row r="39" spans="1:8" ht="9" customHeight="1" x14ac:dyDescent="0.2">
      <c r="B39" s="1203"/>
      <c r="C39" s="1206"/>
    </row>
    <row r="40" spans="1:8" s="1198" customFormat="1" ht="13.5" customHeight="1" x14ac:dyDescent="0.2">
      <c r="B40" s="1201" t="s">
        <v>2062</v>
      </c>
      <c r="C40" s="1202" t="s">
        <v>1567</v>
      </c>
    </row>
    <row r="41" spans="1:8" ht="9" customHeight="1" x14ac:dyDescent="0.2">
      <c r="A41" s="1207"/>
      <c r="B41" s="1203"/>
      <c r="C41" s="1206"/>
    </row>
    <row r="42" spans="1:8" s="1198" customFormat="1" ht="13.5" customHeight="1" x14ac:dyDescent="0.2">
      <c r="B42" s="1201" t="s">
        <v>2062</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2062</v>
      </c>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H47" sqref="H47"/>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South Macoupin Association</v>
      </c>
      <c r="B1" s="2399"/>
      <c r="C1" s="2399"/>
      <c r="D1" s="2399"/>
    </row>
    <row r="2" spans="1:11" s="1212" customFormat="1" ht="12.75" x14ac:dyDescent="0.2">
      <c r="A2" s="2423">
        <f>'Single Audit Cover'!E7</f>
        <v>40056801060</v>
      </c>
      <c r="B2" s="2424"/>
      <c r="C2" s="2424"/>
      <c r="D2" s="2424"/>
    </row>
    <row r="3" spans="1:11" s="1212" customFormat="1" ht="12.75" x14ac:dyDescent="0.2">
      <c r="A3" s="2422" t="s">
        <v>1513</v>
      </c>
      <c r="B3" s="2399"/>
      <c r="C3" s="2399"/>
      <c r="D3" s="239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6" zoomScale="110" zoomScaleNormal="110" zoomScaleSheetLayoutView="100" workbookViewId="0">
      <selection activeCell="H47" sqref="H4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South Macoupin Association</v>
      </c>
      <c r="B1" s="2426"/>
      <c r="C1" s="2426"/>
      <c r="D1" s="2426"/>
      <c r="E1" s="2426"/>
    </row>
    <row r="2" spans="1:5" x14ac:dyDescent="0.2">
      <c r="A2" s="2427">
        <f>'Single Audit Cover'!E7</f>
        <v>40056801060</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1078218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-34438</v>
      </c>
    </row>
    <row r="19" spans="1:4" ht="13.5" thickBot="1" x14ac:dyDescent="0.25">
      <c r="A19" s="1262" t="s">
        <v>1235</v>
      </c>
      <c r="D19" s="1263">
        <f>SUM(D10:D17)</f>
        <v>1043780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1043780</v>
      </c>
    </row>
    <row r="33" spans="1:4" x14ac:dyDescent="0.2">
      <c r="D33" s="1266"/>
    </row>
    <row r="34" spans="1:4" x14ac:dyDescent="0.2">
      <c r="A34" s="317" t="s">
        <v>1232</v>
      </c>
    </row>
    <row r="35" spans="1:4" x14ac:dyDescent="0.2">
      <c r="A35" s="317" t="s">
        <v>1231</v>
      </c>
      <c r="B35" s="1255" t="s">
        <v>1230</v>
      </c>
      <c r="D35" s="1267">
        <f>' SEFA (3)'!I27</f>
        <v>1043780</v>
      </c>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1043780</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H47" sqref="H4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South Macoupin Association</v>
      </c>
      <c r="C1" s="2430"/>
      <c r="D1" s="2430"/>
      <c r="E1" s="2430"/>
      <c r="F1" s="2430"/>
      <c r="G1" s="2430"/>
      <c r="H1" s="2430"/>
      <c r="I1" s="2430"/>
      <c r="J1" s="2430"/>
      <c r="K1" s="2430"/>
      <c r="L1" s="2430"/>
      <c r="M1" s="2430"/>
    </row>
    <row r="2" spans="2:14" ht="15" x14ac:dyDescent="0.2">
      <c r="B2" s="2431">
        <f>'Single Audit Cover'!E7</f>
        <v>40056801060</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2085</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2086</v>
      </c>
      <c r="C13" s="1338"/>
      <c r="D13" s="1339"/>
      <c r="E13" s="1340"/>
      <c r="F13" s="1340"/>
      <c r="G13" s="1340"/>
      <c r="H13" s="1340"/>
      <c r="I13" s="1340"/>
      <c r="J13" s="1340"/>
      <c r="K13" s="1340"/>
      <c r="L13" s="1337">
        <f t="shared" si="0"/>
        <v>0</v>
      </c>
      <c r="M13" s="1340"/>
    </row>
    <row r="14" spans="2:14" ht="20.100000000000001" customHeight="1" x14ac:dyDescent="0.2">
      <c r="B14" s="1334" t="s">
        <v>2087</v>
      </c>
      <c r="C14" s="1338">
        <v>84.027000000000001</v>
      </c>
      <c r="D14" s="1339" t="s">
        <v>2092</v>
      </c>
      <c r="E14" s="1340"/>
      <c r="F14" s="1340">
        <v>721345</v>
      </c>
      <c r="G14" s="1340"/>
      <c r="H14" s="1340"/>
      <c r="I14" s="1340">
        <v>721345</v>
      </c>
      <c r="J14" s="1340">
        <v>721345</v>
      </c>
      <c r="K14" s="1340">
        <v>246598</v>
      </c>
      <c r="L14" s="1337">
        <f t="shared" si="0"/>
        <v>967943</v>
      </c>
      <c r="M14" s="1340">
        <v>985123</v>
      </c>
    </row>
    <row r="15" spans="2:14" ht="20.100000000000001" customHeight="1" x14ac:dyDescent="0.2">
      <c r="B15" s="1334" t="s">
        <v>2088</v>
      </c>
      <c r="C15" s="1338">
        <v>84.027000000000001</v>
      </c>
      <c r="D15" s="1339" t="s">
        <v>2093</v>
      </c>
      <c r="E15" s="1340">
        <v>716563</v>
      </c>
      <c r="F15" s="1340">
        <v>263634</v>
      </c>
      <c r="G15" s="1340">
        <v>716563</v>
      </c>
      <c r="H15" s="1340">
        <v>716563</v>
      </c>
      <c r="I15" s="1340">
        <v>263634</v>
      </c>
      <c r="J15" s="1340">
        <v>263634</v>
      </c>
      <c r="K15" s="1340"/>
      <c r="L15" s="1337">
        <f t="shared" si="0"/>
        <v>980197</v>
      </c>
      <c r="M15" s="1340">
        <v>995806</v>
      </c>
    </row>
    <row r="16" spans="2:14" ht="20.100000000000001" customHeight="1" x14ac:dyDescent="0.2">
      <c r="B16" s="1334" t="s">
        <v>2089</v>
      </c>
      <c r="C16" s="1338">
        <v>84.173000000000002</v>
      </c>
      <c r="D16" s="1339" t="s">
        <v>2094</v>
      </c>
      <c r="E16" s="1340"/>
      <c r="F16" s="1340">
        <v>29608</v>
      </c>
      <c r="G16" s="1340"/>
      <c r="H16" s="1340"/>
      <c r="I16" s="1340">
        <v>29608</v>
      </c>
      <c r="J16" s="1340">
        <v>29608</v>
      </c>
      <c r="K16" s="1340">
        <v>13183</v>
      </c>
      <c r="L16" s="1337">
        <f t="shared" si="0"/>
        <v>42791</v>
      </c>
      <c r="M16" s="1340">
        <v>48170</v>
      </c>
    </row>
    <row r="17" spans="2:14" ht="20.100000000000001" customHeight="1" x14ac:dyDescent="0.2">
      <c r="B17" s="1334" t="s">
        <v>2090</v>
      </c>
      <c r="C17" s="1338">
        <v>84.173000000000002</v>
      </c>
      <c r="D17" s="1339" t="s">
        <v>2095</v>
      </c>
      <c r="E17" s="1340">
        <v>29407</v>
      </c>
      <c r="F17" s="1340">
        <v>10227</v>
      </c>
      <c r="G17" s="1340">
        <v>29406</v>
      </c>
      <c r="H17" s="1340">
        <v>29406</v>
      </c>
      <c r="I17" s="1340">
        <v>10227</v>
      </c>
      <c r="J17" s="1340">
        <v>10228</v>
      </c>
      <c r="K17" s="1340"/>
      <c r="L17" s="1337">
        <f t="shared" si="0"/>
        <v>39633</v>
      </c>
      <c r="M17" s="1340">
        <v>39634</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2091</v>
      </c>
      <c r="C27" s="1338"/>
      <c r="D27" s="1339"/>
      <c r="E27" s="1340">
        <f>SUM(E14:E26)</f>
        <v>745970</v>
      </c>
      <c r="F27" s="1340">
        <f t="shared" ref="F27:K27" si="1">SUM(F14:F26)</f>
        <v>1024814</v>
      </c>
      <c r="G27" s="1340">
        <f t="shared" si="1"/>
        <v>745969</v>
      </c>
      <c r="H27" s="1340">
        <f t="shared" si="1"/>
        <v>745969</v>
      </c>
      <c r="I27" s="1340">
        <f t="shared" si="1"/>
        <v>1024814</v>
      </c>
      <c r="J27" s="1340">
        <f t="shared" si="1"/>
        <v>1024815</v>
      </c>
      <c r="K27" s="1340">
        <f t="shared" si="1"/>
        <v>259781</v>
      </c>
      <c r="L27" s="1337">
        <f t="shared" si="0"/>
        <v>2030564</v>
      </c>
      <c r="M27" s="1340">
        <f>SUM(M14:M26)</f>
        <v>2068733</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87C6-4DFF-45E3-942E-869946C64CB9}">
  <dimension ref="B1:N152"/>
  <sheetViews>
    <sheetView showGridLines="0" zoomScaleNormal="100" workbookViewId="0">
      <selection activeCell="H47" sqref="H4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South Macoupin Association</v>
      </c>
      <c r="C1" s="2430"/>
      <c r="D1" s="2430"/>
      <c r="E1" s="2430"/>
      <c r="F1" s="2430"/>
      <c r="G1" s="2430"/>
      <c r="H1" s="2430"/>
      <c r="I1" s="2430"/>
      <c r="J1" s="2430"/>
      <c r="K1" s="2430"/>
      <c r="L1" s="2430"/>
      <c r="M1" s="2430"/>
    </row>
    <row r="2" spans="2:14" ht="15" x14ac:dyDescent="0.2">
      <c r="B2" s="2431">
        <f>'Single Audit Cover'!E7</f>
        <v>40056801060</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2096</v>
      </c>
      <c r="C11" s="1335"/>
      <c r="D11" s="1336"/>
      <c r="E11" s="1337"/>
      <c r="F11" s="1337"/>
      <c r="G11" s="1337"/>
      <c r="H11" s="1337"/>
      <c r="I11" s="1337"/>
      <c r="J11" s="1337"/>
      <c r="K11" s="1337"/>
      <c r="L11" s="1337">
        <f>+G11+I11+K11</f>
        <v>0</v>
      </c>
      <c r="M11" s="1337"/>
    </row>
    <row r="12" spans="2:14" ht="20.100000000000001" customHeight="1" x14ac:dyDescent="0.2">
      <c r="B12" s="1334" t="s">
        <v>2097</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2098</v>
      </c>
      <c r="C14" s="1338">
        <v>93.778000000000006</v>
      </c>
      <c r="D14" s="1339" t="s">
        <v>2100</v>
      </c>
      <c r="E14" s="1340"/>
      <c r="F14" s="1340">
        <v>18966</v>
      </c>
      <c r="G14" s="1340"/>
      <c r="H14" s="1340"/>
      <c r="I14" s="1340">
        <v>18966</v>
      </c>
      <c r="J14" s="1340"/>
      <c r="K14" s="1340"/>
      <c r="L14" s="1337">
        <f t="shared" si="0"/>
        <v>18966</v>
      </c>
      <c r="M14" s="1340" t="s">
        <v>2101</v>
      </c>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2099</v>
      </c>
      <c r="C27" s="1338"/>
      <c r="D27" s="1339"/>
      <c r="E27" s="1340">
        <f>SUM(E14:E26)</f>
        <v>0</v>
      </c>
      <c r="F27" s="1340">
        <f t="shared" ref="F27:K27" si="1">SUM(F14:F26)</f>
        <v>18966</v>
      </c>
      <c r="G27" s="1340">
        <f t="shared" si="1"/>
        <v>0</v>
      </c>
      <c r="H27" s="1340">
        <f t="shared" si="1"/>
        <v>0</v>
      </c>
      <c r="I27" s="1340">
        <f t="shared" si="1"/>
        <v>18966</v>
      </c>
      <c r="J27" s="1340">
        <f t="shared" si="1"/>
        <v>0</v>
      </c>
      <c r="K27" s="1340">
        <f t="shared" si="1"/>
        <v>0</v>
      </c>
      <c r="L27" s="1337">
        <f t="shared" si="0"/>
        <v>18966</v>
      </c>
      <c r="M27" s="1340">
        <f>SUM(M14:M26)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00000"/>
  </sheetPr>
  <dimension ref="A1:K143"/>
  <sheetViews>
    <sheetView showGridLines="0" defaultGridColor="0"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2066</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CDC7-BED3-488A-8933-3D7E7DA86C57}">
  <dimension ref="B1:N152"/>
  <sheetViews>
    <sheetView showGridLines="0" zoomScaleNormal="100" workbookViewId="0">
      <selection activeCell="H47" sqref="H4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South Macoupin Association</v>
      </c>
      <c r="C1" s="2430"/>
      <c r="D1" s="2430"/>
      <c r="E1" s="2430"/>
      <c r="F1" s="2430"/>
      <c r="G1" s="2430"/>
      <c r="H1" s="2430"/>
      <c r="I1" s="2430"/>
      <c r="J1" s="2430"/>
      <c r="K1" s="2430"/>
      <c r="L1" s="2430"/>
      <c r="M1" s="2430"/>
    </row>
    <row r="2" spans="2:14" ht="15" x14ac:dyDescent="0.2">
      <c r="B2" s="2431">
        <f>'Single Audit Cover'!E7</f>
        <v>40056801060</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2102</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2103</v>
      </c>
      <c r="C14" s="1338"/>
      <c r="D14" s="1339"/>
      <c r="E14" s="1340">
        <f>' SEFA'!E27</f>
        <v>745970</v>
      </c>
      <c r="F14" s="1340">
        <f>' SEFA'!F27</f>
        <v>1024814</v>
      </c>
      <c r="G14" s="1340">
        <f>' SEFA'!G27</f>
        <v>745969</v>
      </c>
      <c r="H14" s="1340">
        <f>' SEFA'!H27</f>
        <v>745969</v>
      </c>
      <c r="I14" s="1340">
        <f>' SEFA'!I27</f>
        <v>1024814</v>
      </c>
      <c r="J14" s="1340">
        <f>' SEFA'!J27</f>
        <v>1024815</v>
      </c>
      <c r="K14" s="1340">
        <f>' SEFA'!K27</f>
        <v>259781</v>
      </c>
      <c r="L14" s="1337">
        <f t="shared" si="0"/>
        <v>2030564</v>
      </c>
      <c r="M14" s="1340">
        <f>' SEFA'!M27</f>
        <v>2068733</v>
      </c>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t="s">
        <v>2104</v>
      </c>
      <c r="C16" s="1338"/>
      <c r="D16" s="1339"/>
      <c r="E16" s="1340">
        <f>' SEFA (2)'!E27</f>
        <v>0</v>
      </c>
      <c r="F16" s="1340">
        <f>' SEFA (2)'!F27</f>
        <v>18966</v>
      </c>
      <c r="G16" s="1340">
        <f>' SEFA (2)'!G27</f>
        <v>0</v>
      </c>
      <c r="H16" s="1340">
        <f>' SEFA (2)'!H27</f>
        <v>0</v>
      </c>
      <c r="I16" s="1340">
        <f>' SEFA (2)'!I27</f>
        <v>18966</v>
      </c>
      <c r="J16" s="1340">
        <f>' SEFA (2)'!J27</f>
        <v>0</v>
      </c>
      <c r="K16" s="1340">
        <f>' SEFA (2)'!K27</f>
        <v>0</v>
      </c>
      <c r="L16" s="1337">
        <f t="shared" si="0"/>
        <v>18966</v>
      </c>
      <c r="M16" s="1340">
        <f>' SEFA (2)'!M27</f>
        <v>0</v>
      </c>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2105</v>
      </c>
      <c r="C27" s="1338"/>
      <c r="D27" s="1339"/>
      <c r="E27" s="1340">
        <f>SUM(E12:E26)</f>
        <v>745970</v>
      </c>
      <c r="F27" s="1340">
        <f t="shared" ref="F27:K27" si="1">SUM(F12:F26)</f>
        <v>1043780</v>
      </c>
      <c r="G27" s="1340">
        <f t="shared" si="1"/>
        <v>745969</v>
      </c>
      <c r="H27" s="1340">
        <f t="shared" si="1"/>
        <v>745969</v>
      </c>
      <c r="I27" s="1340">
        <f t="shared" si="1"/>
        <v>1043780</v>
      </c>
      <c r="J27" s="1340">
        <f t="shared" si="1"/>
        <v>1024815</v>
      </c>
      <c r="K27" s="1340">
        <f t="shared" si="1"/>
        <v>259781</v>
      </c>
      <c r="L27" s="1337">
        <f t="shared" si="0"/>
        <v>2049530</v>
      </c>
      <c r="M27" s="1340">
        <f>SUM(M12:M26)</f>
        <v>2068733</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H47" sqref="H4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South Macoupin Association</v>
      </c>
      <c r="B1" s="2443"/>
      <c r="C1" s="2443"/>
      <c r="D1" s="2443"/>
      <c r="E1" s="2443"/>
      <c r="F1" s="2443"/>
    </row>
    <row r="2" spans="1:7" ht="13.5" customHeight="1" x14ac:dyDescent="0.2">
      <c r="A2" s="2431">
        <f>'Single Audit Cover'!E7</f>
        <v>40056801060</v>
      </c>
      <c r="B2" s="2431"/>
      <c r="C2" s="2431"/>
      <c r="D2" s="2431"/>
      <c r="E2" s="2431"/>
      <c r="F2" s="2431"/>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2115</v>
      </c>
      <c r="B7" s="2442"/>
      <c r="C7" s="2442"/>
      <c r="D7" s="2442"/>
      <c r="E7" s="2442"/>
      <c r="F7" s="2442"/>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2" t="s">
        <v>2116</v>
      </c>
      <c r="B13" s="2442"/>
      <c r="C13" s="2442"/>
      <c r="D13" s="2442"/>
      <c r="E13" s="2442"/>
      <c r="F13" s="2442"/>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t="s">
        <v>2106</v>
      </c>
      <c r="C17" s="1282">
        <v>84.027000000000001</v>
      </c>
      <c r="D17" s="2435">
        <v>330178</v>
      </c>
      <c r="E17" s="2435"/>
      <c r="F17" s="2435"/>
    </row>
    <row r="18" spans="1:6" ht="20.65" customHeight="1" x14ac:dyDescent="0.2">
      <c r="A18" s="1280"/>
      <c r="B18" s="1281" t="s">
        <v>2107</v>
      </c>
      <c r="C18" s="1282">
        <v>84.027000000000001</v>
      </c>
      <c r="D18" s="2435">
        <v>162130</v>
      </c>
      <c r="E18" s="2435"/>
      <c r="F18" s="2435"/>
    </row>
    <row r="19" spans="1:6" ht="20.65" customHeight="1" x14ac:dyDescent="0.2">
      <c r="A19" s="1280"/>
      <c r="B19" s="1281" t="s">
        <v>2108</v>
      </c>
      <c r="C19" s="1282">
        <v>84.027000000000001</v>
      </c>
      <c r="D19" s="2435">
        <v>316634</v>
      </c>
      <c r="E19" s="2435"/>
      <c r="F19" s="2435"/>
    </row>
    <row r="20" spans="1:6" ht="20.65" customHeight="1" x14ac:dyDescent="0.2">
      <c r="A20" s="1280"/>
      <c r="B20" s="1281" t="s">
        <v>2109</v>
      </c>
      <c r="C20" s="1282">
        <v>84.027000000000001</v>
      </c>
      <c r="D20" s="2435">
        <v>176037</v>
      </c>
      <c r="E20" s="2435"/>
      <c r="F20" s="2435"/>
    </row>
    <row r="21" spans="1:6" ht="20.65" customHeight="1" x14ac:dyDescent="0.2">
      <c r="A21" s="1280"/>
      <c r="B21" s="1281" t="s">
        <v>2110</v>
      </c>
      <c r="C21" s="1282">
        <v>84.173000000000002</v>
      </c>
      <c r="D21" s="2435">
        <v>15746</v>
      </c>
      <c r="E21" s="2435"/>
      <c r="F21" s="2435"/>
    </row>
    <row r="22" spans="1:6" ht="20.65" customHeight="1" x14ac:dyDescent="0.2">
      <c r="A22" s="1280"/>
      <c r="B22" s="1281" t="s">
        <v>2111</v>
      </c>
      <c r="C22" s="1282">
        <v>84.173000000000002</v>
      </c>
      <c r="D22" s="2435">
        <v>5898</v>
      </c>
      <c r="E22" s="2435"/>
      <c r="F22" s="2435"/>
    </row>
    <row r="23" spans="1:6" ht="20.65" customHeight="1" x14ac:dyDescent="0.2">
      <c r="A23" s="1280"/>
      <c r="B23" s="1281" t="s">
        <v>2112</v>
      </c>
      <c r="C23" s="1282">
        <v>84.173000000000002</v>
      </c>
      <c r="D23" s="2435">
        <v>6453</v>
      </c>
      <c r="E23" s="2435"/>
      <c r="F23" s="2435"/>
    </row>
    <row r="24" spans="1:6" ht="20.65" customHeight="1" x14ac:dyDescent="0.2">
      <c r="A24" s="1280"/>
      <c r="B24" s="1281" t="s">
        <v>2113</v>
      </c>
      <c r="C24" s="1282">
        <v>84.173000000000002</v>
      </c>
      <c r="D24" s="2435">
        <v>11738</v>
      </c>
      <c r="E24" s="2435"/>
      <c r="F24" s="2435"/>
    </row>
    <row r="25" spans="1:6" ht="20.65" customHeight="1" x14ac:dyDescent="0.2">
      <c r="A25" s="1280"/>
      <c r="B25" s="1281"/>
      <c r="C25" s="1282"/>
      <c r="D25" s="2435"/>
      <c r="E25" s="2435"/>
      <c r="F25" s="2435"/>
    </row>
    <row r="26" spans="1:6" ht="20.65" customHeight="1" x14ac:dyDescent="0.2">
      <c r="A26" s="1280"/>
      <c r="B26" s="1281"/>
      <c r="C26" s="1282"/>
      <c r="D26" s="2435"/>
      <c r="E26" s="2435"/>
      <c r="F26" s="2435"/>
    </row>
    <row r="27" spans="1:6" ht="20.65" customHeight="1" x14ac:dyDescent="0.2">
      <c r="A27" s="1280"/>
      <c r="B27" s="1281"/>
      <c r="C27" s="1282"/>
      <c r="D27" s="2435"/>
      <c r="E27" s="2435"/>
      <c r="F27" s="2435"/>
    </row>
    <row r="28" spans="1:6" ht="20.65" customHeight="1" x14ac:dyDescent="0.2">
      <c r="A28" s="1280"/>
      <c r="B28" s="1281"/>
      <c r="C28" s="1282"/>
      <c r="D28" s="2435"/>
      <c r="E28" s="2435"/>
      <c r="F28" s="2435"/>
    </row>
    <row r="29" spans="1:6" ht="20.65" customHeight="1" x14ac:dyDescent="0.2">
      <c r="A29" s="1280"/>
      <c r="B29" s="1281"/>
      <c r="C29" s="1282"/>
      <c r="D29" s="2435"/>
      <c r="E29" s="2435"/>
      <c r="F29" s="243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6" t="s">
        <v>2114</v>
      </c>
      <c r="B32" s="2436"/>
      <c r="C32" s="2436"/>
      <c r="D32" s="2436"/>
      <c r="E32" s="2436"/>
      <c r="F32" s="2436"/>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37">
        <f>+C33+C34</f>
        <v>0</v>
      </c>
      <c r="F34" s="243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9" t="s">
        <v>1590</v>
      </c>
      <c r="C49" s="2439"/>
      <c r="D49" s="2439"/>
      <c r="E49" s="1396"/>
    </row>
    <row r="50" spans="1:5" s="1297" customFormat="1" ht="3.75" customHeight="1" x14ac:dyDescent="0.2">
      <c r="A50" s="1296"/>
      <c r="B50" s="1845"/>
      <c r="C50" s="1845"/>
      <c r="D50" s="1845"/>
      <c r="E50" s="1396"/>
    </row>
    <row r="51" spans="1:5" s="1297" customFormat="1" ht="20.25" customHeight="1" x14ac:dyDescent="0.2">
      <c r="A51" s="1298">
        <v>6</v>
      </c>
      <c r="B51" s="2434" t="s">
        <v>1551</v>
      </c>
      <c r="C51" s="2434"/>
      <c r="D51" s="2434"/>
    </row>
    <row r="52" spans="1:5" ht="14.25" customHeight="1" x14ac:dyDescent="0.2">
      <c r="A52" s="1298"/>
      <c r="B52" s="2434"/>
      <c r="C52" s="2434"/>
      <c r="D52" s="243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2" zoomScale="110" zoomScaleNormal="110" workbookViewId="0">
      <selection activeCell="H47" sqref="H4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South Macoupin Association</v>
      </c>
      <c r="C1" s="2458"/>
      <c r="D1" s="2458"/>
      <c r="E1" s="2458"/>
      <c r="F1" s="2458"/>
      <c r="G1" s="2458"/>
      <c r="H1" s="2458"/>
      <c r="I1" s="2458"/>
      <c r="J1" s="1406"/>
    </row>
    <row r="2" spans="2:10" s="317" customFormat="1" ht="12.75" customHeight="1" x14ac:dyDescent="0.2">
      <c r="B2" s="2459">
        <f>'Single Audit Cover'!E7</f>
        <v>40056801060</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t="s">
        <v>2117</v>
      </c>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t="s">
        <v>2118</v>
      </c>
      <c r="E29" s="2464"/>
      <c r="F29" s="2464"/>
      <c r="G29" s="2464"/>
      <c r="H29" s="2464"/>
      <c r="I29" s="2464"/>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5" t="s">
        <v>1748</v>
      </c>
      <c r="D37" s="2466"/>
      <c r="E37" s="2466"/>
      <c r="F37" s="2467"/>
      <c r="G37" s="2465" t="s">
        <v>1592</v>
      </c>
      <c r="H37" s="2466"/>
      <c r="I37" s="2467"/>
    </row>
    <row r="38" spans="2:9" ht="16.5" customHeight="1" x14ac:dyDescent="0.2">
      <c r="B38" s="1428">
        <v>84.027000000000001</v>
      </c>
      <c r="C38" s="2453" t="s">
        <v>2119</v>
      </c>
      <c r="D38" s="2454"/>
      <c r="E38" s="2454"/>
      <c r="F38" s="2455"/>
      <c r="G38" s="2468">
        <f>SUM(' SEFA'!I14:I15)</f>
        <v>984979</v>
      </c>
      <c r="H38" s="2469"/>
      <c r="I38" s="2470"/>
    </row>
    <row r="39" spans="2:9" ht="16.5" customHeight="1" x14ac:dyDescent="0.2">
      <c r="B39" s="1428">
        <v>84.173000000000002</v>
      </c>
      <c r="C39" s="2453" t="s">
        <v>2120</v>
      </c>
      <c r="D39" s="2454"/>
      <c r="E39" s="2454"/>
      <c r="F39" s="2455"/>
      <c r="G39" s="2456">
        <f>SUM(' SEFA'!I16:I17)</f>
        <v>39835</v>
      </c>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46" t="s">
        <v>1593</v>
      </c>
      <c r="D43" s="2447"/>
      <c r="E43" s="2447"/>
      <c r="F43" s="2448"/>
      <c r="G43" s="2449">
        <f>SUM(G38:I42)</f>
        <v>1024814</v>
      </c>
      <c r="H43" s="2449"/>
      <c r="I43" s="2449"/>
    </row>
    <row r="44" spans="2:9" ht="12.75" customHeight="1" x14ac:dyDescent="0.2"/>
    <row r="45" spans="2:9" ht="12.75" customHeight="1" x14ac:dyDescent="0.2">
      <c r="B45" s="1419" t="s">
        <v>1838</v>
      </c>
      <c r="D45" s="2450">
        <f>' SEFA (3)'!I27</f>
        <v>1043780</v>
      </c>
      <c r="E45" s="2451"/>
    </row>
    <row r="46" spans="2:9" ht="5.25" customHeight="1" x14ac:dyDescent="0.2">
      <c r="B46" s="1429"/>
      <c r="D46" s="1430"/>
      <c r="E46" s="1431"/>
    </row>
    <row r="47" spans="2:9" ht="12.75" customHeight="1" x14ac:dyDescent="0.2">
      <c r="B47" s="1297" t="s">
        <v>1594</v>
      </c>
      <c r="C47" s="1297"/>
      <c r="D47" s="1432">
        <f>+G43/D45</f>
        <v>0.98182950430167282</v>
      </c>
      <c r="E47" s="1433"/>
      <c r="F47" s="1434"/>
      <c r="I47" s="1435"/>
    </row>
    <row r="48" spans="2:9" ht="9.9499999999999993" customHeight="1" x14ac:dyDescent="0.2"/>
    <row r="49" spans="1:9" x14ac:dyDescent="0.2">
      <c r="B49" s="1365" t="s">
        <v>1273</v>
      </c>
      <c r="C49" s="1279"/>
      <c r="D49" s="1279"/>
      <c r="E49" s="2452">
        <v>750000</v>
      </c>
      <c r="F49" s="2452"/>
      <c r="G49" s="2452"/>
      <c r="H49" s="322"/>
    </row>
    <row r="51" spans="1:9" ht="13.5" customHeight="1" x14ac:dyDescent="0.2">
      <c r="B51" s="1365" t="s">
        <v>1272</v>
      </c>
      <c r="C51" s="1279"/>
      <c r="E51" s="1422"/>
      <c r="F51" s="1297" t="s">
        <v>885</v>
      </c>
      <c r="G51" s="1422" t="s">
        <v>2062</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H47" sqref="H4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South Macoupin Association</v>
      </c>
      <c r="C1" s="2457"/>
      <c r="D1" s="2457"/>
      <c r="E1" s="2457"/>
      <c r="F1" s="2457"/>
      <c r="G1" s="2457"/>
      <c r="H1" s="2457"/>
      <c r="I1" s="2457"/>
      <c r="J1" s="2457"/>
      <c r="K1" s="2457"/>
      <c r="L1" s="1371"/>
      <c r="M1" s="1371"/>
    </row>
    <row r="2" spans="1:13" ht="12" customHeight="1" x14ac:dyDescent="0.2">
      <c r="B2" s="2459">
        <f>'Single Audit Cover'!E7</f>
        <v>40056801060</v>
      </c>
      <c r="C2" s="2459"/>
      <c r="D2" s="2459"/>
      <c r="E2" s="2459"/>
      <c r="F2" s="2459"/>
      <c r="G2" s="2459"/>
      <c r="H2" s="2459"/>
      <c r="I2" s="2459"/>
      <c r="J2" s="2459"/>
      <c r="K2" s="2459"/>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t="s">
        <v>2121</v>
      </c>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H47" sqref="H4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South Macoupin Association</v>
      </c>
      <c r="C1" s="2480"/>
      <c r="D1" s="2480"/>
      <c r="E1" s="2480"/>
      <c r="F1" s="2480"/>
      <c r="G1" s="2480"/>
      <c r="H1" s="2480"/>
      <c r="I1" s="2480"/>
      <c r="J1" s="2480"/>
      <c r="K1" s="2480"/>
      <c r="L1" s="1449"/>
    </row>
    <row r="2" spans="1:12" ht="12.75" customHeight="1" x14ac:dyDescent="0.2">
      <c r="B2" s="2481">
        <f>'Single Audit Cover'!E7</f>
        <v>40056801060</v>
      </c>
      <c r="C2" s="2481"/>
      <c r="D2" s="2481"/>
      <c r="E2" s="2481"/>
      <c r="F2" s="2481"/>
      <c r="G2" s="2481"/>
      <c r="H2" s="2481"/>
      <c r="I2" s="2481"/>
      <c r="J2" s="2481"/>
      <c r="K2" s="2481"/>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7"/>
      <c r="E14" s="2477"/>
      <c r="F14" s="2477"/>
      <c r="H14" s="1459" t="s">
        <v>1303</v>
      </c>
      <c r="I14" s="2478"/>
      <c r="J14" s="2478"/>
      <c r="K14" s="247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8"/>
      <c r="E16" s="2478"/>
      <c r="F16" s="2478"/>
      <c r="G16" s="2478"/>
      <c r="H16" s="2478"/>
      <c r="I16" s="2478"/>
      <c r="J16" s="2478"/>
      <c r="K16" s="2478"/>
      <c r="L16" s="322"/>
    </row>
    <row r="17" spans="2:12" ht="13.5" customHeight="1" x14ac:dyDescent="0.2">
      <c r="B17" s="1384" t="s">
        <v>1301</v>
      </c>
      <c r="C17" s="1384"/>
      <c r="D17" s="2479"/>
      <c r="E17" s="2479"/>
      <c r="F17" s="2479"/>
      <c r="G17" s="2479"/>
      <c r="H17" s="2479"/>
      <c r="I17" s="2479"/>
      <c r="J17" s="2479"/>
      <c r="K17" s="247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t="s">
        <v>2121</v>
      </c>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H47" sqref="H4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South Macoupin Association</v>
      </c>
      <c r="C1" s="2457"/>
      <c r="D1" s="2457"/>
      <c r="E1" s="1469"/>
    </row>
    <row r="2" spans="2:5" s="1279" customFormat="1" ht="12.75" customHeight="1" x14ac:dyDescent="0.2">
      <c r="B2" s="2459">
        <f>'Single Audit Cover'!E7</f>
        <v>40056801060</v>
      </c>
      <c r="C2" s="2459"/>
      <c r="D2" s="2459"/>
      <c r="E2" s="1470"/>
    </row>
    <row r="3" spans="2:5" ht="12.75" customHeight="1" x14ac:dyDescent="0.2">
      <c r="B3" s="2473" t="s">
        <v>1763</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2122</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C00000"/>
  </sheetPr>
  <dimension ref="A1:N72"/>
  <sheetViews>
    <sheetView showGridLines="0" defaultGridColor="0"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3281786</v>
      </c>
      <c r="E16" s="356"/>
      <c r="F16" s="1733">
        <f>SUM('Acct Summary 7-8'!C17,'Acct Summary 7-8'!D17,'Acct Summary 7-8'!F17)</f>
        <v>3280614</v>
      </c>
      <c r="G16" s="356"/>
      <c r="H16" s="1733">
        <f>SUM(D16-F16)</f>
        <v>1172</v>
      </c>
      <c r="I16" s="222"/>
      <c r="J16" s="1733">
        <f>SUM('Acct Summary 7-8'!C81,'Acct Summary 7-8'!D81,'Acct Summary 7-8'!F81,'Acct Summary 7-8'!I81)</f>
        <v>254534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C00000"/>
  </sheetPr>
  <dimension ref="A1:R44"/>
  <sheetViews>
    <sheetView showGridLines="0" topLeftCell="A25"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South Macoupin Association</v>
      </c>
      <c r="E7" s="391"/>
      <c r="G7" s="252"/>
      <c r="H7" s="387"/>
      <c r="I7" s="387"/>
      <c r="J7" s="387"/>
      <c r="K7" s="387"/>
      <c r="L7" s="329"/>
      <c r="M7" s="329"/>
      <c r="N7" s="329"/>
      <c r="O7" s="329"/>
      <c r="P7" s="329"/>
    </row>
    <row r="8" spans="1:18" ht="12.75" x14ac:dyDescent="0.2">
      <c r="A8" s="329"/>
      <c r="B8" s="329"/>
      <c r="C8" s="389" t="s">
        <v>1125</v>
      </c>
      <c r="D8" s="392">
        <f>COVER!A13</f>
        <v>40056801060</v>
      </c>
      <c r="E8" s="393"/>
      <c r="G8" s="329"/>
      <c r="H8" s="329"/>
      <c r="I8" s="329"/>
      <c r="J8" s="329"/>
      <c r="K8" s="329"/>
      <c r="L8" s="329"/>
      <c r="M8" s="329"/>
      <c r="N8" s="329"/>
      <c r="O8" s="329"/>
      <c r="P8" s="329"/>
    </row>
    <row r="9" spans="1:18" ht="12.75" x14ac:dyDescent="0.2">
      <c r="A9" s="329"/>
      <c r="B9" s="329"/>
      <c r="C9" s="389" t="s">
        <v>713</v>
      </c>
      <c r="D9" s="394" t="str">
        <f>COVER!A15</f>
        <v>MACOUPIN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254534</v>
      </c>
      <c r="I12" s="404"/>
      <c r="J12" s="404"/>
      <c r="K12" s="405">
        <f>TRUNC((H12/H13*100000),5)/100000</f>
        <v>7.7559597100000002E-2</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3281786</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3280614</v>
      </c>
      <c r="I17" s="404"/>
      <c r="J17" s="416"/>
      <c r="K17" s="405">
        <f>TRUNC((H17/H18*100000),5)/100000</f>
        <v>0.99964287730000001</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3281786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254534</v>
      </c>
      <c r="I24" s="422"/>
      <c r="J24" s="422"/>
      <c r="K24" s="423">
        <f>TRUNC(((H24/H25*100000)/100000),2)</f>
        <v>27.93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9112.8166700000002</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00000"/>
  </sheetPr>
  <dimension ref="A1:N44"/>
  <sheetViews>
    <sheetView showGridLines="0" defaultGridColor="0" colorId="8" zoomScale="110" zoomScaleNormal="110" workbookViewId="0">
      <pane ySplit="2" topLeftCell="A29"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254534</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254534</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170900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170900</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254534</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170900</v>
      </c>
      <c r="N40" s="497"/>
    </row>
    <row r="41" spans="1:14" ht="13.5" customHeight="1" thickBot="1" x14ac:dyDescent="0.25">
      <c r="A41" s="1736" t="s">
        <v>655</v>
      </c>
      <c r="B41" s="1706"/>
      <c r="C41" s="1688">
        <f>(SUM(C34,C37,C38,C39))</f>
        <v>254534</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170900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00000"/>
  </sheetPr>
  <dimension ref="A1:M87"/>
  <sheetViews>
    <sheetView showGridLines="0" defaultGridColor="0" colorId="8" zoomScale="110" zoomScaleNormal="110" zoomScaleSheetLayoutView="100" workbookViewId="0">
      <pane ySplit="2" topLeftCell="A6"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1946409</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257159</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1078218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3281786</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1185890</v>
      </c>
      <c r="D9" s="516"/>
      <c r="E9" s="481"/>
      <c r="F9" s="481"/>
      <c r="G9" s="517"/>
      <c r="H9" s="481"/>
      <c r="I9" s="509" t="s">
        <v>1169</v>
      </c>
      <c r="J9" s="478"/>
      <c r="K9" s="481"/>
      <c r="L9" s="347"/>
    </row>
    <row r="10" spans="1:13" s="519" customFormat="1" ht="13.5" thickBot="1" x14ac:dyDescent="0.25">
      <c r="A10" s="1736" t="s">
        <v>1173</v>
      </c>
      <c r="B10" s="1709"/>
      <c r="C10" s="1688">
        <f>SUM(C8:C9)</f>
        <v>4467676</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1830243</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425557</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1024814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3280614</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1185890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4466504</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3" t="s">
        <v>1655</v>
      </c>
      <c r="B20" s="2124"/>
      <c r="C20" s="1746">
        <f>C8-C17</f>
        <v>1172</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1172</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1946</v>
      </c>
      <c r="B79" s="534"/>
      <c r="C79" s="478">
        <v>253362</v>
      </c>
      <c r="D79" s="535"/>
      <c r="E79" s="535"/>
      <c r="F79" s="535"/>
      <c r="G79" s="535"/>
      <c r="H79" s="535"/>
      <c r="I79" s="535"/>
      <c r="J79" s="535"/>
      <c r="K79" s="535"/>
      <c r="L79" s="347"/>
    </row>
    <row r="80" spans="1:12" x14ac:dyDescent="0.2">
      <c r="A80" s="2125" t="s">
        <v>1792</v>
      </c>
      <c r="B80" s="2126"/>
      <c r="C80" s="467"/>
      <c r="D80" s="467"/>
      <c r="E80" s="467"/>
      <c r="F80" s="467"/>
      <c r="G80" s="467"/>
      <c r="H80" s="467"/>
      <c r="I80" s="467"/>
      <c r="J80" s="467"/>
      <c r="K80" s="467"/>
      <c r="L80" s="347"/>
    </row>
    <row r="81" spans="1:12" ht="13.5" thickBot="1" x14ac:dyDescent="0.25">
      <c r="A81" s="2117" t="s">
        <v>1947</v>
      </c>
      <c r="B81" s="2118"/>
      <c r="C81" s="1688">
        <f>(SUM(C78:C80))</f>
        <v>254534</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1172</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4.6044929164669552E-3</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00000"/>
  </sheetPr>
  <dimension ref="A1:L279"/>
  <sheetViews>
    <sheetView showGridLines="0" defaultGridColor="0" colorId="8" zoomScale="110" zoomScaleNormal="110" zoomScaleSheetLayoutView="75" workbookViewId="0">
      <pane ySplit="2" topLeftCell="A199" activePane="bottomLeft" state="frozen"/>
      <selection pane="bottomLeft" activeCell="C211" sqref="C21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1799</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f>264835+619472+813422+239078</f>
        <v>1936807</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1936807</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2313</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2313</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v>5222</v>
      </c>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5222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2067</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2067</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1946409</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246660</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1"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246660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v>10499</v>
      </c>
      <c r="D131" s="467"/>
      <c r="E131" s="468"/>
      <c r="F131" s="466"/>
      <c r="G131" s="468"/>
      <c r="H131" s="468"/>
      <c r="I131" s="468"/>
      <c r="J131" s="468"/>
      <c r="K131" s="468"/>
    </row>
    <row r="132" spans="1:11" ht="12.75" customHeight="1" thickBot="1" x14ac:dyDescent="0.25">
      <c r="A132" s="1708" t="s">
        <v>1032</v>
      </c>
      <c r="B132" s="1720"/>
      <c r="C132" s="1707">
        <f>SUM(C125:C131)</f>
        <v>10499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10499</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257159</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1800</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39835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v>984979</v>
      </c>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1024814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1934</v>
      </c>
      <c r="B261" s="470">
        <v>4981</v>
      </c>
      <c r="C261" s="575"/>
      <c r="D261" s="576"/>
      <c r="E261" s="468"/>
      <c r="F261" s="576"/>
      <c r="G261" s="576"/>
      <c r="H261" s="468"/>
      <c r="I261" s="468"/>
      <c r="J261" s="468"/>
      <c r="K261" s="468"/>
    </row>
    <row r="262" spans="1:11" ht="12.75" customHeight="1" thickTop="1" thickBot="1" x14ac:dyDescent="0.25">
      <c r="A262" s="1932"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18966</v>
      </c>
      <c r="D263" s="576"/>
      <c r="E263" s="468"/>
      <c r="F263" s="576"/>
      <c r="G263" s="576"/>
      <c r="H263" s="468"/>
      <c r="I263" s="468"/>
      <c r="J263" s="468"/>
      <c r="K263" s="468"/>
    </row>
    <row r="264" spans="1:11" ht="12.75" customHeight="1" thickTop="1" thickBot="1" x14ac:dyDescent="0.25">
      <c r="A264" s="463" t="s">
        <v>377</v>
      </c>
      <c r="B264" s="470">
        <v>4992</v>
      </c>
      <c r="C264" s="575">
        <v>34438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1078218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1078218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3281786</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00000"/>
  </sheetPr>
  <dimension ref="A1:N368"/>
  <sheetViews>
    <sheetView showGridLines="0" defaultGridColor="0" colorId="8" zoomScale="110" zoomScaleNormal="110" workbookViewId="0">
      <pane ySplit="2" topLeftCell="A48" activePane="bottomLeft" state="frozen"/>
      <selection pane="bottomLeft" activeCell="J51" sqref="C51:J5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9" t="s">
        <v>297</v>
      </c>
      <c r="B3" s="216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f>1+1447261</f>
        <v>1447262</v>
      </c>
      <c r="D8" s="466">
        <f>57768+6273+5882+205529</f>
        <v>275452</v>
      </c>
      <c r="E8" s="466">
        <f>57250+7136+11572</f>
        <v>75958</v>
      </c>
      <c r="F8" s="466">
        <f>651+6719+12054</f>
        <v>19424</v>
      </c>
      <c r="G8" s="466">
        <v>12147</v>
      </c>
      <c r="H8" s="466"/>
      <c r="I8" s="467"/>
      <c r="J8" s="467"/>
      <c r="K8" s="1671">
        <f t="shared" si="0"/>
        <v>1830243</v>
      </c>
      <c r="L8" s="466">
        <v>1827222</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1447262</v>
      </c>
      <c r="D33" s="1670">
        <f t="shared" ref="D33:L33" si="1">SUM(D5:D32)</f>
        <v>275452</v>
      </c>
      <c r="E33" s="1670">
        <f t="shared" si="1"/>
        <v>75958</v>
      </c>
      <c r="F33" s="1670">
        <f t="shared" si="1"/>
        <v>19424</v>
      </c>
      <c r="G33" s="1670">
        <f t="shared" si="1"/>
        <v>12147</v>
      </c>
      <c r="H33" s="1670">
        <f t="shared" si="1"/>
        <v>0</v>
      </c>
      <c r="I33" s="1670">
        <f t="shared" si="1"/>
        <v>0</v>
      </c>
      <c r="J33" s="1670">
        <f t="shared" si="1"/>
        <v>0</v>
      </c>
      <c r="K33" s="1670">
        <f t="shared" si="1"/>
        <v>1830243</v>
      </c>
      <c r="L33" s="1670">
        <f t="shared" si="1"/>
        <v>1827222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f>3938+6468</f>
        <v>10406</v>
      </c>
      <c r="F36" s="481">
        <v>1100</v>
      </c>
      <c r="G36" s="481"/>
      <c r="H36" s="481">
        <v>2192</v>
      </c>
      <c r="I36" s="467"/>
      <c r="J36" s="467"/>
      <c r="K36" s="1671">
        <f t="shared" ref="K36:K41" si="2">SUM(C36:J36)</f>
        <v>13698</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10406</v>
      </c>
      <c r="F42" s="1670">
        <f t="shared" si="3"/>
        <v>1100</v>
      </c>
      <c r="G42" s="1670">
        <f t="shared" si="3"/>
        <v>0</v>
      </c>
      <c r="H42" s="1670">
        <f t="shared" si="3"/>
        <v>2192</v>
      </c>
      <c r="I42" s="1670">
        <f t="shared" si="3"/>
        <v>0</v>
      </c>
      <c r="J42" s="1670">
        <f t="shared" si="3"/>
        <v>0</v>
      </c>
      <c r="K42" s="1670">
        <f t="shared" si="3"/>
        <v>13698</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v>11000</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v>6106</v>
      </c>
      <c r="G46" s="466"/>
      <c r="H46" s="466"/>
      <c r="I46" s="467"/>
      <c r="J46" s="467"/>
      <c r="K46" s="1672">
        <f>SUM(C46:J46)</f>
        <v>6106</v>
      </c>
      <c r="L46" s="466">
        <v>4200</v>
      </c>
    </row>
    <row r="47" spans="1:14" ht="12.75" customHeight="1" thickBot="1" x14ac:dyDescent="0.25">
      <c r="A47" s="1668" t="s">
        <v>561</v>
      </c>
      <c r="B47" s="1669" t="s">
        <v>32</v>
      </c>
      <c r="C47" s="1670">
        <f>SUM(C44:C46)</f>
        <v>0</v>
      </c>
      <c r="D47" s="1670">
        <f t="shared" ref="D47:K47" si="4">SUM(D44:D46)</f>
        <v>0</v>
      </c>
      <c r="E47" s="1670">
        <f t="shared" si="4"/>
        <v>0</v>
      </c>
      <c r="F47" s="1670">
        <f t="shared" si="4"/>
        <v>6106</v>
      </c>
      <c r="G47" s="1670">
        <f t="shared" si="4"/>
        <v>0</v>
      </c>
      <c r="H47" s="1670">
        <f t="shared" si="4"/>
        <v>0</v>
      </c>
      <c r="I47" s="1670">
        <f t="shared" si="4"/>
        <v>0</v>
      </c>
      <c r="J47" s="1670">
        <f t="shared" si="4"/>
        <v>0</v>
      </c>
      <c r="K47" s="1670">
        <f t="shared" si="4"/>
        <v>6106</v>
      </c>
      <c r="L47" s="1670">
        <f>SUM(L44:L46)</f>
        <v>15200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37397</v>
      </c>
      <c r="D49" s="481">
        <v>5749</v>
      </c>
      <c r="E49" s="481"/>
      <c r="F49" s="481"/>
      <c r="G49" s="481"/>
      <c r="H49" s="481"/>
      <c r="I49" s="467"/>
      <c r="J49" s="467"/>
      <c r="K49" s="1672">
        <f>SUM(C49:J49)</f>
        <v>43146</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v>238092</v>
      </c>
      <c r="D51" s="466">
        <f>52799+3438</f>
        <v>56237</v>
      </c>
      <c r="E51" s="466">
        <f>11793+15907+1095+2312</f>
        <v>31107</v>
      </c>
      <c r="F51" s="466">
        <v>3754</v>
      </c>
      <c r="G51" s="466"/>
      <c r="H51" s="466"/>
      <c r="I51" s="467"/>
      <c r="J51" s="467"/>
      <c r="K51" s="1672">
        <f>SUM(C51:J51)</f>
        <v>329190</v>
      </c>
      <c r="L51" s="466">
        <v>396057</v>
      </c>
    </row>
    <row r="52" spans="1:14" ht="22.5" x14ac:dyDescent="0.2">
      <c r="A52" s="1505" t="s">
        <v>298</v>
      </c>
      <c r="B52" s="627" t="s">
        <v>366</v>
      </c>
      <c r="C52" s="474"/>
      <c r="D52" s="474"/>
      <c r="E52" s="474">
        <v>12263</v>
      </c>
      <c r="F52" s="474"/>
      <c r="G52" s="474"/>
      <c r="H52" s="474"/>
      <c r="I52" s="474"/>
      <c r="J52" s="474"/>
      <c r="K52" s="1672">
        <f>SUM(C52:J52)</f>
        <v>12263</v>
      </c>
      <c r="L52" s="474">
        <v>12050</v>
      </c>
    </row>
    <row r="53" spans="1:14" ht="12.75" customHeight="1" thickBot="1" x14ac:dyDescent="0.25">
      <c r="A53" s="1668" t="s">
        <v>717</v>
      </c>
      <c r="B53" s="1669" t="s">
        <v>33</v>
      </c>
      <c r="C53" s="1670">
        <f>SUM(C49:C52)</f>
        <v>275489</v>
      </c>
      <c r="D53" s="1670">
        <f t="shared" ref="D53:L53" si="5">SUM(D49:D52)</f>
        <v>61986</v>
      </c>
      <c r="E53" s="1670">
        <f t="shared" si="5"/>
        <v>43370</v>
      </c>
      <c r="F53" s="1670">
        <f t="shared" si="5"/>
        <v>3754</v>
      </c>
      <c r="G53" s="1670">
        <f t="shared" si="5"/>
        <v>0</v>
      </c>
      <c r="H53" s="1670">
        <f t="shared" si="5"/>
        <v>0</v>
      </c>
      <c r="I53" s="1670">
        <f t="shared" si="5"/>
        <v>0</v>
      </c>
      <c r="J53" s="1670">
        <f t="shared" si="5"/>
        <v>0</v>
      </c>
      <c r="K53" s="1670">
        <f t="shared" si="5"/>
        <v>384599</v>
      </c>
      <c r="L53" s="1670">
        <f t="shared" si="5"/>
        <v>408107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v>4300</v>
      </c>
      <c r="M60" s="609"/>
      <c r="N60" s="609"/>
    </row>
    <row r="61" spans="1:14" s="343" customFormat="1" x14ac:dyDescent="0.2">
      <c r="A61" s="1504" t="s">
        <v>197</v>
      </c>
      <c r="B61" s="614">
        <v>2540</v>
      </c>
      <c r="C61" s="466"/>
      <c r="D61" s="466"/>
      <c r="E61" s="466">
        <v>3000</v>
      </c>
      <c r="F61" s="466"/>
      <c r="G61" s="466"/>
      <c r="H61" s="466"/>
      <c r="I61" s="467"/>
      <c r="J61" s="467"/>
      <c r="K61" s="1672">
        <f t="shared" si="7"/>
        <v>3000</v>
      </c>
      <c r="L61" s="466">
        <v>3000</v>
      </c>
      <c r="M61" s="609"/>
      <c r="N61" s="609"/>
    </row>
    <row r="62" spans="1:14" s="343" customFormat="1" x14ac:dyDescent="0.2">
      <c r="A62" s="1504" t="s">
        <v>953</v>
      </c>
      <c r="B62" s="614">
        <v>2550</v>
      </c>
      <c r="C62" s="466"/>
      <c r="D62" s="466"/>
      <c r="E62" s="466">
        <v>403</v>
      </c>
      <c r="F62" s="466"/>
      <c r="G62" s="466"/>
      <c r="H62" s="466"/>
      <c r="I62" s="467"/>
      <c r="J62" s="467"/>
      <c r="K62" s="1672">
        <f t="shared" si="7"/>
        <v>403</v>
      </c>
      <c r="L62" s="466">
        <v>500</v>
      </c>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3403</v>
      </c>
      <c r="F65" s="1670">
        <f t="shared" si="8"/>
        <v>0</v>
      </c>
      <c r="G65" s="1670">
        <f t="shared" si="8"/>
        <v>0</v>
      </c>
      <c r="H65" s="1670">
        <f t="shared" si="8"/>
        <v>0</v>
      </c>
      <c r="I65" s="1670">
        <f t="shared" si="8"/>
        <v>0</v>
      </c>
      <c r="J65" s="1670">
        <f t="shared" si="8"/>
        <v>0</v>
      </c>
      <c r="K65" s="1670">
        <f t="shared" si="8"/>
        <v>3403</v>
      </c>
      <c r="L65" s="1670">
        <f t="shared" si="8"/>
        <v>7800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17751</v>
      </c>
      <c r="F71" s="466"/>
      <c r="G71" s="466"/>
      <c r="H71" s="466"/>
      <c r="I71" s="467"/>
      <c r="J71" s="467"/>
      <c r="K71" s="1672">
        <f>SUM(C71:J71)</f>
        <v>17751</v>
      </c>
      <c r="L71" s="466">
        <v>16000</v>
      </c>
      <c r="M71" s="609"/>
      <c r="N71" s="609"/>
    </row>
    <row r="72" spans="1:14" s="343" customFormat="1" ht="12.75" customHeight="1" thickBot="1" x14ac:dyDescent="0.25">
      <c r="A72" s="1668" t="s">
        <v>37</v>
      </c>
      <c r="B72" s="1675" t="s">
        <v>36</v>
      </c>
      <c r="C72" s="1670">
        <f>SUM(C67:C71)</f>
        <v>0</v>
      </c>
      <c r="D72" s="1670">
        <f t="shared" ref="D72:K72" si="9">SUM(D67:D71)</f>
        <v>0</v>
      </c>
      <c r="E72" s="1670">
        <f t="shared" si="9"/>
        <v>17751</v>
      </c>
      <c r="F72" s="1670">
        <f t="shared" si="9"/>
        <v>0</v>
      </c>
      <c r="G72" s="1670">
        <f t="shared" si="9"/>
        <v>0</v>
      </c>
      <c r="H72" s="1670">
        <f t="shared" si="9"/>
        <v>0</v>
      </c>
      <c r="I72" s="1670">
        <f t="shared" si="9"/>
        <v>0</v>
      </c>
      <c r="J72" s="1670">
        <f t="shared" si="9"/>
        <v>0</v>
      </c>
      <c r="K72" s="1670">
        <f t="shared" si="9"/>
        <v>17751</v>
      </c>
      <c r="L72" s="1670">
        <f>SUM(L67:L71)</f>
        <v>16000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275489</v>
      </c>
      <c r="D74" s="1677">
        <f t="shared" ref="D74:K74" si="10">SUM(D42,D47,D53,D57,D65,D72,D73)</f>
        <v>61986</v>
      </c>
      <c r="E74" s="1677">
        <f t="shared" si="10"/>
        <v>74930</v>
      </c>
      <c r="F74" s="1677">
        <f t="shared" si="10"/>
        <v>10960</v>
      </c>
      <c r="G74" s="1677">
        <f t="shared" si="10"/>
        <v>0</v>
      </c>
      <c r="H74" s="1677">
        <f t="shared" si="10"/>
        <v>2192</v>
      </c>
      <c r="I74" s="1677">
        <f t="shared" si="10"/>
        <v>0</v>
      </c>
      <c r="J74" s="1677">
        <f t="shared" si="10"/>
        <v>0</v>
      </c>
      <c r="K74" s="1677">
        <f t="shared" si="10"/>
        <v>425557</v>
      </c>
      <c r="L74" s="1677">
        <f>SUM(L42,L47,L53,L57,L65,L72,L73)</f>
        <v>447107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f>984979+39835</f>
        <v>1024814</v>
      </c>
      <c r="I79" s="477"/>
      <c r="J79" s="477"/>
      <c r="K79" s="1671">
        <f t="shared" si="11"/>
        <v>1024814</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1024814</v>
      </c>
      <c r="I84" s="477"/>
      <c r="J84" s="477"/>
      <c r="K84" s="1670">
        <f>SUM(K78:K83)</f>
        <v>1024814</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1024814</v>
      </c>
      <c r="I102" s="477"/>
      <c r="J102" s="477"/>
      <c r="K102" s="1677">
        <f>SUM(K84,K92,K100,K101)</f>
        <v>1024814</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1722751</v>
      </c>
      <c r="D114" s="1670">
        <f t="shared" ref="D114:K114" si="13">SUM(D33,D74,D75,D102,D112,D113)</f>
        <v>337438</v>
      </c>
      <c r="E114" s="1670">
        <f t="shared" si="13"/>
        <v>150888</v>
      </c>
      <c r="F114" s="1670">
        <f t="shared" si="13"/>
        <v>30384</v>
      </c>
      <c r="G114" s="1670">
        <f t="shared" si="13"/>
        <v>12147</v>
      </c>
      <c r="H114" s="1670">
        <f>SUM(H33,H74,H75,H102,H112,H113)</f>
        <v>1027006</v>
      </c>
      <c r="I114" s="1670">
        <f t="shared" si="13"/>
        <v>0</v>
      </c>
      <c r="J114" s="1670">
        <f t="shared" si="13"/>
        <v>0</v>
      </c>
      <c r="K114" s="1670">
        <f t="shared" si="13"/>
        <v>3280614</v>
      </c>
      <c r="L114" s="1670">
        <f>SUM(L33,L74,L75,L102,L112,L113)</f>
        <v>2274329</v>
      </c>
    </row>
    <row r="115" spans="1:14" ht="13.5" thickTop="1" x14ac:dyDescent="0.2">
      <c r="A115" s="2178" t="s">
        <v>996</v>
      </c>
      <c r="B115" s="2179"/>
      <c r="C115" s="618"/>
      <c r="D115" s="618"/>
      <c r="E115" s="618"/>
      <c r="F115" s="618"/>
      <c r="G115" s="618"/>
      <c r="H115" s="618"/>
      <c r="I115" s="618"/>
      <c r="J115" s="618"/>
      <c r="K115" s="1684">
        <f>'Revenues 9-14'!C268-'Expenditures 15-22'!K114</f>
        <v>1172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6" t="s">
        <v>296</v>
      </c>
      <c r="B117" s="215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8" t="s">
        <v>620</v>
      </c>
      <c r="B151" s="215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1" t="s">
        <v>1178</v>
      </c>
      <c r="B152" s="2172"/>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6" t="s">
        <v>621</v>
      </c>
      <c r="B154" s="215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78" t="s">
        <v>996</v>
      </c>
      <c r="B175" s="2179"/>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78" t="s">
        <v>996</v>
      </c>
      <c r="B211" s="2179"/>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3" t="s">
        <v>965</v>
      </c>
      <c r="B213" s="217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69" t="s">
        <v>505</v>
      </c>
      <c r="B295" s="2170"/>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78" t="s">
        <v>996</v>
      </c>
      <c r="B296" s="2179"/>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1" t="s">
        <v>143</v>
      </c>
      <c r="B298" s="215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6" t="s">
        <v>277</v>
      </c>
      <c r="B312" s="216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2" t="s">
        <v>996</v>
      </c>
      <c r="B313" s="216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5" t="s">
        <v>149</v>
      </c>
      <c r="B315" s="217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7" t="s">
        <v>898</v>
      </c>
      <c r="B317" s="217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4" t="s">
        <v>996</v>
      </c>
      <c r="B343" s="2165"/>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4" t="s">
        <v>966</v>
      </c>
      <c r="B345" s="215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78" t="s">
        <v>996</v>
      </c>
      <c r="B368" s="2179"/>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d21dc803-237d-4c68-8692-8d731fd29118"/>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4d435f69-8686-490b-bd6d-b153bf22ab50"/>
    <ds:schemaRef ds:uri="6ce3111e-7420-4802-b50a-75d4e9a0b980"/>
    <ds:schemaRef ds:uri="http://www.w3.org/XML/1998/namespace"/>
    <ds:schemaRef ds:uri="http://purl.org/dc/term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2019-09-11T18:02:03Z</cp:lastPrinted>
  <dcterms:created xsi:type="dcterms:W3CDTF">2003-10-29T19:06:34Z</dcterms:created>
  <dcterms:modified xsi:type="dcterms:W3CDTF">2019-12-06T16:39:49Z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