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2966069C-DCF0-491C-AF33-539011DC3D73}"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L367" i="29" l="1"/>
  <c r="F50" i="34"/>
  <c r="F42" i="34"/>
  <c r="K184" i="29"/>
  <c r="F13" i="4" s="1"/>
  <c r="B2596" i="106" s="1"/>
  <c r="D2596" i="106" s="1"/>
  <c r="G210" i="29"/>
  <c r="D7245" i="106"/>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D41" i="108" l="1"/>
  <c r="E43" i="108" s="1"/>
  <c r="B1365" i="106"/>
  <c r="D1365" i="106" s="1"/>
  <c r="F65" i="34"/>
  <c r="L114" i="29"/>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<sst xmlns="http://schemas.openxmlformats.org/spreadsheetml/2006/main" count="5057" uniqueCount="2083">
  <si>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</si>
  <si>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</si>
  <si>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</si>
  <si>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</si>
  <si>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</si>
  <si>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</si>
  <si>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</si>
  <si>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</si>
  <si>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</si>
  <si>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</si>
  <si>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</si>
  <si>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</si>
  <si>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</si>
  <si>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</si>
  <si>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</si>
  <si>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</si>
  <si>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</si>
  <si>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</si>
  <si>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</si>
  <si>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</si>
  <si>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</si>
  <si>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</si>
  <si>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</si>
  <si>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</si>
  <si>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</si>
  <si>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</si>
  <si>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</si>
  <si>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</si>
  <si>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</si>
  <si>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</si>
  <si>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</si>
  <si>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</si>
  <si>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</si>
  <si>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</si>
  <si>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</si>
  <si>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</si>
  <si>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</si>
  <si>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</si>
  <si>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</si>
  <si>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</si>
  <si>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</si>
  <si>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</si>
  <si>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</si>
  <si>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</si>
  <si>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</si>
  <si>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</si>
  <si>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</si>
  <si>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</si>
  <si>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</si>
  <si>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</si>
  <si>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</si>
  <si>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</si>
  <si>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</si>
  <si>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</si>
  <si>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</si>
  <si>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</si>
  <si>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</si>
  <si>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</si>
  <si>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</si>
  <si>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</si>
  <si>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</si>
  <si>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</si>
  <si>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</si>
  <si>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</si>
  <si>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</si>
  <si>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</si>
  <si>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</si>
  <si>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</si>
  <si>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</si>
  <si>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</si>
  <si>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</si>
  <si>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</si>
  <si>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</si>
  <si>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</si>
  <si>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</si>
  <si>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</si>
  <si>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</si>
  <si>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</si>
  <si>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</si>
  <si>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</si>
  <si>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</si>
  <si>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</si>
  <si>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</si>
  <si>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</si>
  <si>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</si>
  <si>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</si>
  <si>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</si>
  <si>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</si>
  <si>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</si>
  <si>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</si>
  <si>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</si>
  <si>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</si>
  <si>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</si>
  <si>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</si>
  <si>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</si>
  <si>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</si>
  <si>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</si>
  <si>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</si>
  <si>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</si>
  <si>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</si>
  <si>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</si>
  <si>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</si>
  <si>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</si>
  <si>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</si>
  <si>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</si>
  <si>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</si>
  <si>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</si>
  <si>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</si>
  <si>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</si>
  <si>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</si>
  <si>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</si>
  <si>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</si>
  <si>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</si>
  <si>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</si>
  <si>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</si>
  <si>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</si>
  <si>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</si>
  <si>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</si>
  <si>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</si>
  <si>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</si>
  <si>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</si>
  <si>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</si>
  <si>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</si>
  <si>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</si>
  <si>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</si>
  <si>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</si>
  <si>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</si>
  <si>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</si>
  <si>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</si>
  <si>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</si>
  <si>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</si>
  <si>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</si>
  <si>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</si>
  <si>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</si>
  <si>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</si>
  <si>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</si>
  <si>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</si>
  <si>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</si>
  <si>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</si>
  <si>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</si>
  <si>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</si>
  <si>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</si>
  <si>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</si>
  <si>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</si>
  <si>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</si>
  <si>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</si>
  <si>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</si>
  <si>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</si>
  <si>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</si>
  <si>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</si>
  <si>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</si>
  <si>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</si>
  <si>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</si>
  <si>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</si>
  <si>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</si>
  <si>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</si>
  <si>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</si>
  <si>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</si>
  <si>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</si>
  <si>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</si>
  <si>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</si>
  <si>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</si>
  <si>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</si>
  <si>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</si>
  <si>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</si>
  <si>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</si>
  <si>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</si>
  <si>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</si>
  <si>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</si>
  <si>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</si>
  <si>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</si>
  <si>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</si>
  <si>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</si>
  <si>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</si>
  <si>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</si>
  <si>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</si>
  <si>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</si>
  <si>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</si>
  <si>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</si>
  <si>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</si>
  <si>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</si>
  <si>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</si>
  <si>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</si>
  <si>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</si>
  <si>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</si>
  <si>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</si>
  <si>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</si>
  <si>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</si>
  <si>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</si>
  <si>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</si>
  <si>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</si>
  <si>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</si>
  <si>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</si>
  <si>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</si>
  <si>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</si>
  <si>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</si>
  <si>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</si>
  <si>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</si>
  <si>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</si>
  <si>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</si>
  <si>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</si>
  <si>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</si>
  <si>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</si>
  <si>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</si>
  <si>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</si>
  <si>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</si>
  <si>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</si>
  <si>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</si>
  <si>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</si>
  <si>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</si>
  <si>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</si>
  <si>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</si>
  <si>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</si>
  <si>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</si>
  <si>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</si>
  <si>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</si>
  <si>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</si>
  <si>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</si>
  <si>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</si>
  <si>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</si>
  <si>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</si>
  <si>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</si>
  <si>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</si>
  <si>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</si>
  <si>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</si>
  <si>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</si>
  <si>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</si>
  <si>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</si>
  <si>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</si>
  <si>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</si>
  <si>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</si>
  <si>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</si>
  <si>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</si>
  <si>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</si>
  <si>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</si>
  <si>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</si>
  <si>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</si>
  <si>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</si>
  <si>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</si>
  <si>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</si>
  <si>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</si>
  <si>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</si>
  <si>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</si>
  <si>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</si>
  <si>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</si>
  <si>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</si>
  <si>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</si>
  <si>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</si>
  <si>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</si>
  <si>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</si>
  <si>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</si>
  <si>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</si>
  <si>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</si>
  <si>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</si>
  <si>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</si>
  <si>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</si>
  <si>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</si>
  <si>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</si>
  <si>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</si>
  <si>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</si>
  <si>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</si>
  <si>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</si>
  <si>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</si>
  <si>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</si>
  <si>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</si>
  <si>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</si>
  <si>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</si>
  <si>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</si>
  <si>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</si>
  <si>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</si>
  <si>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</si>
  <si>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</si>
  <si>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</si>
  <si>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</si>
  <si>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</si>
  <si>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</si>
  <si>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</si>
  <si>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</si>
  <si>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</si>
  <si>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</si>
  <si>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</si>
  <si>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</si>
  <si>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</si>
  <si>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</si>
  <si>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</si>
  <si>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</si>
  <si>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</si>
  <si>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</si>
  <si>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</si>
  <si>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</si>
  <si>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</si>
  <si>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</si>
  <si>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</si>
  <si>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</si>
  <si>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</si>
  <si>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</si>
  <si>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</si>
  <si>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</si>
  <si>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</si>
  <si>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</si>
  <si>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</si>
  <si>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</si>
  <si>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</si>
  <si>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</si>
  <si>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</si>
  <si>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</si>
  <si>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</si>
  <si>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</si>
  <si>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</si>
  <si>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</si>
  <si>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</si>
  <si>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</si>
  <si>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</si>
  <si>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</si>
  <si>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</si>
  <si>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</si>
  <si>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</si>
  <si>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</si>
  <si>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</si>
  <si>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</si>
  <si>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</si>
  <si>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</si>
  <si>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</si>
  <si>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</si>
  <si>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</si>
  <si>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</si>
  <si>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</si>
  <si>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</si>
  <si>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</si>
  <si>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</si>
  <si>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</si>
  <si>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</si>
  <si>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</si>
  <si>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</si>
  <si>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</si>
  <si>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</si>
  <si>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</si>
  <si>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</si>
  <si>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</si>
  <si>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</si>
  <si>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</si>
  <si>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</si>
  <si>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</si>
  <si>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</si>
  <si>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</si>
  <si>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</si>
  <si>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</si>
  <si>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</si>
  <si>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</si>
  <si>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</si>
  <si>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</si>
  <si>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</si>
  <si>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</si>
  <si>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</si>
  <si>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</si>
  <si>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</si>
  <si>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</si>
  <si>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</si>
  <si>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</si>
  <si>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</si>
  <si>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</si>
  <si>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</si>
  <si>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</si>
  <si>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</si>
  <si>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</si>
  <si>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</si>
  <si>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</si>
  <si>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</si>
  <si>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</si>
  <si>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</si>
  <si>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</si>
  <si>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</si>
  <si>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</si>
  <si>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</si>
  <si>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</si>
  <si>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</si>
  <si>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</si>
  <si>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</si>
  <si>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</si>
  <si>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</si>
  <si>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</si>
  <si>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</si>
  <si>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</si>
  <si>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</si>
  <si>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</si>
  <si>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</si>
  <si>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</si>
  <si>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</si>
  <si>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</si>
  <si>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</si>
  <si>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</si>
  <si>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</si>
  <si>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</si>
  <si>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</si>
  <si>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</si>
  <si>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</si>
  <si>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</si>
  <si>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</si>
  <si>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</si>
  <si>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</si>
  <si>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</si>
  <si>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</si>
  <si>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</si>
  <si>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</si>
  <si>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</si>
  <si>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</si>
  <si>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</si>
  <si>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</si>
  <si>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</si>
  <si>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</si>
  <si>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</si>
  <si>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</si>
  <si>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</si>
  <si>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</si>
  <si>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</si>
  <si>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</si>
  <si>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</si>
  <si>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</si>
  <si>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</si>
  <si>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</si>
  <si>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</si>
  <si>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</si>
  <si>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</si>
  <si>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</si>
  <si>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</si>
  <si>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</si>
  <si>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</si>
  <si>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</si>
  <si>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</si>
  <si>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</si>
  <si>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</si>
  <si>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</si>
  <si>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</si>
  <si>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</si>
  <si>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</si>
  <si>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</si>
  <si>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</si>
  <si>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</si>
  <si>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</si>
  <si>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</si>
  <si>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</si>
  <si>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</si>
  <si>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</si>
  <si>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</si>
  <si>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</si>
  <si>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</si>
  <si>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</si>
  <si>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</si>
  <si>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</si>
  <si>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</si>
  <si>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</si>
  <si>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</si>
  <si>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</si>
  <si>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</si>
  <si>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</si>
  <si>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</si>
  <si>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</si>
  <si>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</si>
  <si>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</si>
  <si>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</si>
  <si>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</si>
  <si>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</si>
  <si>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</si>
  <si>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</si>
  <si>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</si>
  <si>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</si>
  <si>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</si>
  <si>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</si>
  <si>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</si>
  <si>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</si>
  <si>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</si>
  <si>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</si>
  <si>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</si>
  <si>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</si>
  <si>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</si>
  <si>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</si>
  <si>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</si>
  <si>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</si>
  <si>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</si>
  <si>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</si>
  <si>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</si>
  <si>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</si>
  <si>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</si>
  <si>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</si>
  <si>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</si>
  <si>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</si>
  <si>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</si>
  <si>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</si>
  <si>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</si>
  <si>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</si>
  <si>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</si>
  <si>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</si>
  <si>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</si>
  <si>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</si>
  <si>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</si>
  <si>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</si>
  <si>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</si>
  <si>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</si>
  <si>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</si>
  <si>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</si>
  <si>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</si>
  <si>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</si>
  <si>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</si>
  <si>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</si>
  <si>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</si>
  <si>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</si>
  <si>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</si>
  <si>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</si>
  <si>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</si>
  <si>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</si>
  <si>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</si>
  <si>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</si>
  <si>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</si>
  <si>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</si>
  <si>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</si>
  <si>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</si>
  <si>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</si>
  <si>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</si>
  <si>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</si>
  <si>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</si>
  <si>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</si>
  <si>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</si>
  <si>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</si>
  <si>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</si>
  <si>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</si>
  <si>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</si>
  <si>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</si>
  <si>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</si>
  <si>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</si>
  <si>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</si>
  <si>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</si>
  <si>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</si>
  <si>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</si>
  <si>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</si>
  <si>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</si>
  <si>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</si>
  <si>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</si>
  <si>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</si>
  <si>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</si>
  <si>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</si>
  <si>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</si>
  <si>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</si>
  <si>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</si>
  <si>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</si>
  <si>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</si>
  <si>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</si>
  <si>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</si>
  <si>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</si>
  <si>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</si>
  <si>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</si>
  <si>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</si>
  <si>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</si>
  <si>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</si>
  <si>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</si>
  <si>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</si>
  <si>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</si>
  <si>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</si>
  <si>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</si>
  <si>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</si>
  <si>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</si>
  <si>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</si>
  <si>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</si>
  <si>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</si>
  <si>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</si>
  <si>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</si>
  <si>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</si>
  <si>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</si>
  <si>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</si>
  <si>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</si>
  <si>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</si>
  <si>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</si>
  <si>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</si>
  <si>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</si>
  <si>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</si>
  <si>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</si>
  <si>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</si>
  <si>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</si>
  <si>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</si>
  <si>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</si>
  <si>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</si>
  <si>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</si>
  <si>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</si>
  <si>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</si>
  <si>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</si>
  <si>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</si>
  <si>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</si>
  <si>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</si>
  <si>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</si>
  <si>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</si>
  <si>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</si>
  <si>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</si>
  <si>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</si>
  <si>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</si>
  <si>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</si>
  <si>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</si>
  <si>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</si>
  <si>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</si>
  <si>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</si>
  <si>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</si>
  <si>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</si>
  <si>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</si>
  <si>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</si>
  <si>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</si>
  <si>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</si>
  <si>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</si>
  <si>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</si>
  <si>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</si>
  <si>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</si>
  <si>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</si>
  <si>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</si>
  <si>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</si>
  <si>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</si>
  <si>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</si>
  <si>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</si>
  <si>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</si>
  <si>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</si>
  <si>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</si>
  <si>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</si>
  <si>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</si>
  <si>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</si>
  <si>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</si>
  <si>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</si>
  <si>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</si>
  <si>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</si>
  <si>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</si>
  <si>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</si>
  <si>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</si>
  <si>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</si>
  <si>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</si>
  <si>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</si>
  <si>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</si>
  <si>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</si>
  <si>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</si>
  <si>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</si>
  <si>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</si>
  <si>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</si>
  <si>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</si>
  <si>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</si>
  <si>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</si>
  <si>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</si>
  <si>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</si>
  <si>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</si>
  <si>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</si>
  <si>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</si>
  <si>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</si>
  <si>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</si>
  <si>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</si>
  <si>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</si>
  <si>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</si>
  <si>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</si>
  <si>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</si>
  <si>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</si>
  <si>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</si>
  <si>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</si>
  <si>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</si>
  <si>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</si>
  <si>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</si>
  <si>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</si>
  <si>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</si>
  <si>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</si>
  <si>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</si>
  <si>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</si>
  <si>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</si>
  <si>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</si>
  <si>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</si>
  <si>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</si>
  <si>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</si>
  <si>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</si>
  <si>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</si>
  <si>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</si>
  <si>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</si>
  <si>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</si>
  <si>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</si>
  <si>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</si>
  <si>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</si>
  <si>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</si>
  <si>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</si>
  <si>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</si>
  <si>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</si>
  <si>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</si>
  <si>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</si>
  <si>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</si>
  <si>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</si>
  <si>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</si>
  <si>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</si>
  <si>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</si>
  <si>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</si>
  <si>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</si>
  <si>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</si>
  <si>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</si>
  <si>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</si>
  <si>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</si>
  <si>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</si>
  <si>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</si>
  <si>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</si>
  <si>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</si>
  <si>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</si>
  <si>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</si>
  <si>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</si>
  <si>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</si>
  <si>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</si>
  <si>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</si>
  <si>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</si>
  <si>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</si>
  <si>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</si>
  <si>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</si>
  <si>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</si>
  <si>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</si>
  <si>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</si>
  <si>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</si>
  <si>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</si>
  <si>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</si>
  <si>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</si>
  <si>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</si>
  <si>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</si>
  <si>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</si>
  <si>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</si>
  <si>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</si>
  <si>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</si>
  <si>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</si>
  <si>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</si>
  <si>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</si>
  <si>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</si>
  <si>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</si>
  <si>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</si>
  <si>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</si>
  <si>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</si>
  <si>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</si>
  <si>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</si>
  <si>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</si>
  <si>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</si>
  <si>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</si>
  <si>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</si>
  <si>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</si>
  <si>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</si>
  <si>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</si>
  <si>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</si>
  <si>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</si>
  <si>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</si>
  <si>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</si>
  <si>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</si>
  <si>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</si>
  <si>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</si>
  <si>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</si>
  <si>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</si>
  <si>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</si>
  <si>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</si>
  <si>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</si>
  <si>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</si>
  <si>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</si>
  <si>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</si>
  <si>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</si>
  <si>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</si>
  <si>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</si>
  <si>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</si>
  <si>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</si>
  <si>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</si>
  <si>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</si>
  <si>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</si>
  <si>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</si>
  <si>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</si>
  <si>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</si>
  <si>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</si>
  <si>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</si>
  <si>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</si>
  <si>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</si>
  <si>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</si>
  <si>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</si>
  <si>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</si>
  <si>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</si>
  <si>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</si>
  <si>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</si>
  <si>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</si>
  <si>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</si>
  <si>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</si>
  <si>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</si>
  <si>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</si>
  <si>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</si>
  <si>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</si>
  <si>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</si>
  <si>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</si>
  <si>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</si>
  <si>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</si>
  <si>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</si>
  <si>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</si>
  <si>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</si>
  <si>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</si>
  <si>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</si>
  <si>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</si>
  <si>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</si>
  <si>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</si>
  <si>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</si>
  <si>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</si>
  <si>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</si>
  <si>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</si>
  <si>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</si>
  <si>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</si>
  <si>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</si>
  <si>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</si>
  <si>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</si>
  <si>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</si>
  <si>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</si>
  <si>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</si>
  <si>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</si>
  <si>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</si>
  <si>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</si>
  <si>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</si>
  <si>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</si>
  <si>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</si>
  <si>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</si>
  <si>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</si>
  <si>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</si>
  <si>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</si>
  <si>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</si>
  <si>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</si>
  <si>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</si>
  <si>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</si>
  <si>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</si>
  <si>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</si>
  <si>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</si>
  <si>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</si>
  <si>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</si>
  <si>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</si>
  <si>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</si>
  <si>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</si>
  <si>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</si>
  <si>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</si>
  <si>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</si>
  <si>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</si>
  <si>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</si>
  <si>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</si>
  <si>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</si>
  <si>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</si>
  <si>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</si>
  <si>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</si>
  <si>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</si>
  <si>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</si>
  <si>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</si>
  <si>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</si>
  <si>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</si>
  <si>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</si>
  <si>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</si>
  <si>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</si>
  <si>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</si>
  <si>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</si>
  <si>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</si>
  <si>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</si>
  <si>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</si>
  <si>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</si>
  <si>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</si>
  <si>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</si>
  <si>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</si>
  <si>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</si>
  <si>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</si>
  <si>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</si>
  <si>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</si>
  <si>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</si>
  <si>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</si>
  <si>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</si>
  <si>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</si>
  <si>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</si>
  <si>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</si>
  <si>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</si>
  <si>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</si>
  <si>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</si>
  <si>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</si>
  <si>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</si>
  <si>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</si>
  <si>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</si>
  <si>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</si>
  <si>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</si>
  <si>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</si>
  <si>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</si>
  <si>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</si>
  <si>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</si>
  <si>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</si>
  <si>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</si>
  <si>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</si>
  <si>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</si>
  <si>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</si>
  <si>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</si>
  <si>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</si>
  <si>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</si>
  <si>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</si>
  <si>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</si>
  <si>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</si>
  <si>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</si>
  <si>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</si>
  <si>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</si>
  <si>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</si>
  <si>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</si>
  <si>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</si>
  <si>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</si>
  <si>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</si>
  <si>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</si>
  <si>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</si>
  <si>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</si>
  <si>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</si>
  <si>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</si>
  <si>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</si>
  <si>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</si>
  <si>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</si>
  <si>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</si>
  <si>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</si>
  <si>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</si>
  <si>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</si>
  <si>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</si>
  <si>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</si>
  <si>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</si>
  <si>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</si>
  <si>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</si>
  <si>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</si>
  <si>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</si>
  <si>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</si>
  <si>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</si>
  <si>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</si>
  <si>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</si>
  <si>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</si>
  <si>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</si>
  <si>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</si>
  <si>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</si>
  <si>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</si>
  <si>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</si>
  <si>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</si>
  <si>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</si>
  <si>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</si>
  <si>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</si>
  <si>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</si>
  <si>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</si>
  <si>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</si>
  <si>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</si>
  <si>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</si>
  <si>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</si>
  <si>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</si>
  <si>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</si>
  <si>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</si>
  <si>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</si>
  <si>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</si>
  <si>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</si>
  <si>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</si>
  <si>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</si>
  <si>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</si>
  <si>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</si>
  <si>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</si>
  <si>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</si>
  <si>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</si>
  <si>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</si>
  <si>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</si>
  <si>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</si>
  <si>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</si>
  <si>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</si>
  <si>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</si>
  <si>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</si>
  <si>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</si>
  <si>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</si>
  <si>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</si>
  <si>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</si>
  <si>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</si>
  <si>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</si>
  <si>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</si>
  <si>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</si>
  <si>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</si>
  <si>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</si>
  <si>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</si>
  <si>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</si>
  <si>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</si>
  <si>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</si>
  <si>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</si>
  <si>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</si>
  <si>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</si>
  <si>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</si>
  <si>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</si>
  <si>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</si>
  <si>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</si>
  <si>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</si>
  <si>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</si>
  <si>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</si>
  <si>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</si>
  <si>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</si>
  <si>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</si>
  <si>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</si>
  <si>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</si>
  <si>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</si>
  <si>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</si>
  <si>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</si>
  <si>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</si>
  <si>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</si>
  <si>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</si>
  <si>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</si>
  <si>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</si>
  <si>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</si>
  <si>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</si>
  <si>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</si>
  <si>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</si>
  <si>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</si>
  <si>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</si>
  <si>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</si>
  <si>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</si>
  <si>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</si>
  <si>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</si>
  <si>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</si>
  <si>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</si>
  <si>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</si>
  <si>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</si>
  <si>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</si>
  <si>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</si>
  <si>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</si>
  <si>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</si>
  <si>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</si>
  <si>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</si>
  <si>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</si>
  <si>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</si>
  <si>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</si>
  <si>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</si>
  <si>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</si>
  <si>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</si>
  <si>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</si>
  <si>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</si>
  <si>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</si>
  <si>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</si>
  <si>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</si>
  <si>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</si>
  <si>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</si>
  <si>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</si>
  <si>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</si>
  <si>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</si>
  <si>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</si>
  <si>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</si>
  <si>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</si>
  <si>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</si>
  <si>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</si>
  <si>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</si>
  <si>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</si>
  <si>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</si>
  <si>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</si>
  <si>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</si>
  <si>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</si>
  <si>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</si>
  <si>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</si>
  <si>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</si>
  <si>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</si>
  <si>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</si>
  <si>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</si>
  <si>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</si>
  <si>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</si>
  <si>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</si>
  <si>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</si>
  <si>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</si>
  <si>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</si>
  <si>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</si>
  <si>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</si>
  <si>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</si>
  <si>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</si>
  <si>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</si>
  <si>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</si>
  <si>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</si>
  <si>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</si>
  <si>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</si>
  <si>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</si>
  <si>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</si>
  <si>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</si>
  <si>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</si>
  <si>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</si>
  <si>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</si>
  <si>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</si>
  <si>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</si>
  <si>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</si>
  <si>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</si>
  <si>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</si>
  <si>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</si>
  <si>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</si>
  <si>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</si>
  <si>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</si>
  <si>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</si>
  <si>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</si>
  <si>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</si>
  <si>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</si>
  <si>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</si>
  <si>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</si>
  <si>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</si>
  <si>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</si>
  <si>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</si>
  <si>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</si>
  <si>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</si>
  <si>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</si>
  <si>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</si>
  <si>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</si>
  <si>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</si>
  <si>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</si>
  <si>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</si>
  <si>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</si>
  <si>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</si>
  <si>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</si>
  <si>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</si>
  <si>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</si>
  <si>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</si>
  <si>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</si>
  <si>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</si>
  <si>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</si>
  <si>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</si>
  <si>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</si>
  <si>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</si>
  <si>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</si>
  <si>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</si>
  <si>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</si>
  <si>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</si>
  <si>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</si>
  <si>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</si>
  <si>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</si>
  <si>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</si>
  <si>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</si>
  <si>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</si>
  <si>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</si>
  <si>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</si>
  <si>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</si>
  <si>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</si>
  <si>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</si>
  <si>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</si>
  <si>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</si>
  <si>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</si>
  <si>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</si>
  <si>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</si>
  <si>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</si>
  <si>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</si>
  <si>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</si>
  <si>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</si>
  <si>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</si>
  <si>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</si>
  <si>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</si>
  <si>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</si>
  <si>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</si>
  <si>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</si>
  <si>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</si>
  <si>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</si>
  <si>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</si>
  <si>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</si>
  <si>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</si>
  <si>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</si>
  <si>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</si>
  <si>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</si>
  <si>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</si>
  <si>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</si>
  <si>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</si>
  <si>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</si>
  <si>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</si>
  <si>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</si>
  <si>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</si>
  <si>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</si>
  <si>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</si>
  <si>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</si>
  <si>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</si>
  <si>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</si>
  <si>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</si>
  <si>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</si>
  <si>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</si>
  <si>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</si>
  <si>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</si>
  <si>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</si>
  <si>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</si>
  <si>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</si>
  <si>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</si>
  <si>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</si>
  <si>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</si>
  <si>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</si>
  <si>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</si>
  <si>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</si>
  <si>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</si>
  <si>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</si>
  <si>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</si>
  <si>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</si>
  <si>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</si>
  <si>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</si>
  <si>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</si>
  <si>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</si>
  <si>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</si>
  <si>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</si>
  <si>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</si>
  <si>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</si>
  <si>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</si>
  <si>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</si>
  <si>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</si>
  <si>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</si>
  <si>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</si>
  <si>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</si>
  <si>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</si>
  <si>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</si>
  <si>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</si>
  <si>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</si>
  <si>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</si>
  <si>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</si>
  <si>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</si>
  <si>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</si>
  <si>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</si>
  <si>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</si>
  <si>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</si>
  <si>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</si>
  <si>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</si>
  <si>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</si>
  <si>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</si>
  <si>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</si>
  <si>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</si>
  <si>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</si>
  <si>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</si>
  <si>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</si>
  <si>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</si>
  <si>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</si>
  <si>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</si>
  <si>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</si>
  <si>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</si>
  <si>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</si>
  <si>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</si>
  <si>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</si>
  <si>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</si>
  <si>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</si>
  <si>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</si>
  <si>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</si>
  <si>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</si>
  <si>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</si>
  <si>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</si>
  <si>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</si>
  <si>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</si>
  <si>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</si>
  <si>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</si>
  <si>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</si>
  <si>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</si>
  <si>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</si>
  <si>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</si>
  <si>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</si>
  <si>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</si>
  <si>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</si>
  <si>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</si>
  <si>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</si>
  <si>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</si>
  <si>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</si>
  <si>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</si>
  <si>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</si>
  <si>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</si>
  <si>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</si>
  <si>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</si>
  <si>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</si>
  <si>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</si>
  <si>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</si>
  <si>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</si>
  <si>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</si>
  <si>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</si>
  <si>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</si>
  <si>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</si>
  <si>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</si>
  <si>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</si>
  <si>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</si>
  <si>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</si>
  <si>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</si>
  <si>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</si>
  <si>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</si>
  <si>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</si>
  <si>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</si>
  <si>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</si>
  <si>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</si>
  <si>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</si>
  <si>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</si>
  <si>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</si>
  <si>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</si>
  <si>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</si>
  <si>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</si>
  <si>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</si>
  <si>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</si>
  <si>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</si>
  <si>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</si>
  <si>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</si>
  <si>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</si>
  <si>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</si>
  <si>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</si>
  <si>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</si>
  <si>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</si>
  <si>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</si>
  <si>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</si>
  <si>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</si>
  <si>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</si>
  <si>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</si>
  <si>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</si>
  <si>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</si>
  <si>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</si>
  <si>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</si>
  <si>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</si>
  <si>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</si>
  <si>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</si>
  <si>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</si>
  <si>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</si>
  <si>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</si>
  <si>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</si>
  <si>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</si>
  <si>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</si>
  <si>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</si>
  <si>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</si>
  <si>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</si>
  <si>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</si>
  <si>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</si>
  <si>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</si>
  <si>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</si>
  <si>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</si>
  <si>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</si>
  <si>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</si>
  <si>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</si>
  <si>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</si>
  <si>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</si>
  <si>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</si>
  <si>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</si>
  <si>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</si>
  <si>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</si>
  <si>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</si>
  <si>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</si>
  <si>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</si>
  <si>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</si>
  <si>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</si>
  <si>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</si>
  <si>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</si>
  <si>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</si>
  <si>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</si>
  <si>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</si>
  <si>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</si>
  <si>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</si>
  <si>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</si>
  <si>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</si>
  <si>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</si>
  <si>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</si>
  <si>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</si>
  <si>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</si>
  <si>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</si>
  <si>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</si>
  <si>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</si>
  <si>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</si>
  <si>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</si>
  <si>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</si>
  <si>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</si>
  <si>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</si>
  <si>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</si>
  <si>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</si>
  <si>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</si>
  <si>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</si>
  <si>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</si>
  <si>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</si>
  <si>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</si>
  <si>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</si>
  <si>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</si>
  <si>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</si>
  <si>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</si>
  <si>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</si>
  <si>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</si>
  <si>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</si>
  <si>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</si>
  <si>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</si>
  <si>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</si>
  <si>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</si>
  <si>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</si>
  <si>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</si>
  <si>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</si>
  <si>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</si>
  <si>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</si>
  <si>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</si>
  <si>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</si>
  <si>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</si>
  <si>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</si>
  <si>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</si>
  <si>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</si>
  <si>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</si>
  <si>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</si>
  <si>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</si>
  <si>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</si>
  <si>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</si>
  <si>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</si>
  <si>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</si>
  <si>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</si>
  <si>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</si>
  <si>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</si>
  <si>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</si>
  <si>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</si>
  <si>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</si>
  <si>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</si>
  <si>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</si>
  <si>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</si>
  <si>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</si>
  <si>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</si>
  <si>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</si>
  <si>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</si>
  <si>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</si>
  <si>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</si>
  <si>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</si>
  <si>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</si>
  <si>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</si>
  <si>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</si>
  <si>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</si>
  <si>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</si>
  <si>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</si>
  <si>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</si>
  <si>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</si>
  <si>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</si>
  <si>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</si>
  <si>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</si>
  <si>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</si>
  <si>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</si>
  <si>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</si>
  <si>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</si>
  <si>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</si>
  <si>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</si>
  <si>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</si>
  <si>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</si>
  <si>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</si>
  <si>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</si>
  <si>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</si>
  <si>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</si>
  <si>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</si>
  <si>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</si>
  <si>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</si>
  <si>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</si>
  <si>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</si>
  <si>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</si>
  <si>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</si>
  <si>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</si>
  <si>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</si>
  <si>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</si>
  <si>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</si>
  <si>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</si>
  <si>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</si>
  <si>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</si>
  <si>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</si>
  <si>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</si>
  <si>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</si>
  <si>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</si>
  <si>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</si>
  <si>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</si>
  <si>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</si>
  <si>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</si>
  <si>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</si>
  <si>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</si>
  <si>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</si>
  <si>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</si>
  <si>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</si>
  <si>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</si>
  <si>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</si>
  <si>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</si>
  <si>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</si>
  <si>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</si>
  <si>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</si>
  <si>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</si>
  <si>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</si>
  <si>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</si>
  <si>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</si>
  <si>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</si>
  <si>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</si>
  <si>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</si>
  <si>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</si>
  <si>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</si>
  <si>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</si>
  <si>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</si>
  <si>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</si>
  <si>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</si>
  <si>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</si>
  <si>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</si>
  <si>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</si>
  <si>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</si>
  <si>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</si>
  <si>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</si>
  <si>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</si>
  <si>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</si>
  <si>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</si>
  <si>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</si>
  <si>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</si>
  <si>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</si>
  <si>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</si>
  <si>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</si>
  <si>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</si>
  <si>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</si>
  <si>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</si>
  <si>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</si>
  <si>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</si>
  <si>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</si>
  <si>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</si>
  <si>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</si>
  <si>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</si>
  <si>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</si>
  <si>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</si>
  <si>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</si>
  <si>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</si>
  <si>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</si>
  <si>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</si>
  <si>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</si>
  <si>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</si>
  <si>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</si>
  <si>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</si>
  <si>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</si>
  <si>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</si>
  <si>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</si>
  <si>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</si>
  <si>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</si>
  <si>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</si>
  <si>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</si>
  <si>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</si>
  <si>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</si>
  <si>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</si>
  <si>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</si>
  <si>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</si>
  <si>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</si>
  <si>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</si>
  <si>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</si>
  <si>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</si>
  <si>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</si>
  <si>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</si>
  <si>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</si>
  <si>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</si>
  <si>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</si>
  <si>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</si>
  <si>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</si>
  <si>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</si>
  <si>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</si>
  <si>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</si>
  <si>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</si>
  <si>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</si>
  <si>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</si>
  <si>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</si>
  <si>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</si>
  <si>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</si>
  <si>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</si>
  <si>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</si>
  <si>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</si>
  <si>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</si>
  <si>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</si>
  <si>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</si>
  <si>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</si>
  <si>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</si>
  <si>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</si>
  <si>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</si>
  <si>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</si>
  <si>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</si>
  <si>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</si>
  <si>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</si>
  <si>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</si>
  <si>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</si>
  <si>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</si>
  <si>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</si>
  <si>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</si>
  <si>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</si>
  <si>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</si>
  <si>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</si>
  <si>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</si>
  <si>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</si>
  <si>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</si>
  <si>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</si>
  <si>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</si>
  <si>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</si>
  <si>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</si>
  <si>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</si>
  <si>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</si>
  <si>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</si>
  <si>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</si>
  <si>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</si>
  <si>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</si>
  <si>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</si>
  <si>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</si>
  <si>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</si>
  <si>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</si>
  <si>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</si>
  <si>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</si>
  <si>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</si>
  <si>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</si>
  <si>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</si>
  <si>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</si>
  <si>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</si>
  <si>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</si>
  <si>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</si>
  <si>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</si>
  <si>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</si>
  <si>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</si>
  <si>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</si>
  <si>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</si>
  <si>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</si>
  <si>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</si>
  <si>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</si>
  <si>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</si>
  <si>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</si>
  <si>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</si>
  <si>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</si>
  <si>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</si>
  <si>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</si>
  <si>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</si>
  <si>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</si>
  <si>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</si>
  <si>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</si>
  <si>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</si>
  <si>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</si>
  <si>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</si>
  <si>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</si>
  <si>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</si>
  <si>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</si>
  <si>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</si>
  <si>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</si>
  <si>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</si>
  <si>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</si>
  <si>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</si>
  <si>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</si>
  <si>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</si>
  <si>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</si>
  <si>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</si>
  <si>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</si>
  <si>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</si>
  <si>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</si>
  <si>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</si>
  <si>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</si>
  <si>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</si>
  <si>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</si>
  <si>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</si>
  <si>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</si>
  <si>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</si>
  <si>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</si>
  <si>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</si>
  <si>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</si>
  <si>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</si>
  <si>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</si>
  <si>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</si>
  <si>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</si>
  <si>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</si>
  <si>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</si>
  <si>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</si>
  <si>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</si>
  <si>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</si>
  <si>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</si>
  <si>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</si>
  <si>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</si>
  <si>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</si>
  <si>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</si>
  <si>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</si>
  <si>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</si>
  <si>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</si>
  <si>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</si>
  <si>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</si>
  <si>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</si>
  <si>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</si>
  <si>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</si>
  <si>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</si>
  <si>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</si>
  <si>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</si>
  <si>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</si>
  <si>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</si>
  <si>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</si>
  <si>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</si>
  <si>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</si>
  <si>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</si>
  <si>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</si>
  <si>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</si>
  <si>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</si>
  <si>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</si>
  <si>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</si>
  <si>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</si>
  <si>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</si>
  <si>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</si>
  <si>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</si>
  <si>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</si>
  <si>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</si>
  <si>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</si>
  <si>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</si>
  <si>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</si>
  <si>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</si>
  <si>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</si>
  <si>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</si>
  <si>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</si>
  <si>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</si>
  <si>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</si>
  <si>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</si>
  <si>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</si>
  <si>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</si>
  <si>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</si>
  <si>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</si>
  <si>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</si>
  <si>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</si>
  <si>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</si>
  <si>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</si>
  <si>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</si>
  <si>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</si>
  <si>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</si>
  <si>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</si>
  <si>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</si>
  <si>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</si>
  <si>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</si>
  <si>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</si>
  <si>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</si>
  <si>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</si>
  <si>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</si>
  <si>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</si>
  <si>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</si>
  <si>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</si>
  <si>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</si>
  <si>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</si>
  <si>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</si>
  <si>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</si>
  <si>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</si>
  <si>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</si>
  <si>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</si>
  <si>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</si>
  <si>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</si>
  <si>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</si>
  <si>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</si>
  <si>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</si>
  <si>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</si>
  <si>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</si>
  <si>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</si>
  <si>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</si>
  <si>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</si>
  <si>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</si>
  <si>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</si>
  <si>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</si>
  <si>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</si>
  <si>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</si>
  <si>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</si>
  <si>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</si>
  <si>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</si>
  <si>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</si>
  <si>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</si>
  <si>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</si>
  <si>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</si>
  <si>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</si>
  <si>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</si>
  <si>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</si>
  <si>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</si>
  <si>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</si>
  <si>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</si>
  <si>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</si>
  <si>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</si>
  <si>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</si>
  <si>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</si>
  <si>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</si>
  <si>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</si>
  <si>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</si>
  <si>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</si>
  <si>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</si>
  <si>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</si>
  <si>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</si>
  <si>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</si>
  <si>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</si>
  <si>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</si>
  <si>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</si>
  <si>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</si>
  <si>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</si>
  <si>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</si>
  <si>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</si>
  <si>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</si>
  <si>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</si>
  <si>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</si>
  <si>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</si>
  <si>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</si>
  <si>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</si>
  <si>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</si>
  <si>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</si>
  <si>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</si>
  <si>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</si>
  <si>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</si>
  <si>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</si>
  <si>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</si>
  <si>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</si>
  <si>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</si>
  <si>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</si>
  <si>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</si>
  <si>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</si>
  <si>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</si>
  <si>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</si>
  <si>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</si>
  <si>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</si>
  <si>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</si>
  <si>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</si>
  <si>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</si>
  <si>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</si>
  <si>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</si>
  <si>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</si>
  <si>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</si>
  <si>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</si>
  <si>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</si>
  <si>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</si>
  <si>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</si>
  <si>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</si>
  <si>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</si>
  <si>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</si>
  <si>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</si>
  <si>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</si>
  <si>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</si>
  <si>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</si>
  <si>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</si>
  <si>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</si>
  <si>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</si>
  <si>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</si>
  <si>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</si>
  <si>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</si>
  <si>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</si>
  <si>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</si>
  <si>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</si>
  <si>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</si>
  <si>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</si>
  <si>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</si>
  <si>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</si>
  <si>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</si>
  <si>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</si>
  <si>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</si>
  <si>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</si>
  <si>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</si>
  <si>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</si>
  <si>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</si>
  <si>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</si>
  <si>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</si>
  <si>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</si>
  <si>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</si>
  <si>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</si>
  <si>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</si>
  <si>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</si>
  <si>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</si>
  <si>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</si>
  <si>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</si>
  <si>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</si>
  <si>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</si>
  <si>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</si>
  <si>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</si>
  <si>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</si>
  <si>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</si>
  <si>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</si>
  <si>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</si>
  <si>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</si>
  <si>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</si>
  <si>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</si>
  <si>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</si>
  <si>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</si>
  <si>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</si>
  <si>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</si>
  <si>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</si>
  <si>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</si>
  <si>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</si>
  <si>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</si>
  <si>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</si>
  <si>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</si>
  <si>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</si>
  <si>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</si>
  <si>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</si>
  <si>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</si>
  <si>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</si>
  <si>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</si>
  <si>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</si>
  <si>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</si>
  <si>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</si>
  <si>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</si>
  <si>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</si>
  <si>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</si>
  <si>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</si>
  <si>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</si>
  <si>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</si>
  <si>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</si>
  <si>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</si>
  <si>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</si>
  <si>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</si>
  <si>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</si>
  <si>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</si>
  <si>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</si>
  <si>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</si>
  <si>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</si>
  <si>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</si>
  <si>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</si>
  <si>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</si>
  <si>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</si>
  <si>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</si>
  <si>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</si>
  <si>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</si>
  <si>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</si>
  <si>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</si>
  <si>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</si>
  <si>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</si>
  <si>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</si>
  <si>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</si>
  <si>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</si>
  <si>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</si>
  <si>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</si>
  <si>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</si>
  <si>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</si>
  <si>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</si>
  <si>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</si>
  <si>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</si>
  <si>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</si>
  <si>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</si>
  <si>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</si>
  <si>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</si>
  <si>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</si>
  <si>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</si>
  <si>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</si>
  <si>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</si>
  <si>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</si>
  <si>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</si>
  <si>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</si>
  <si>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</si>
  <si>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</si>
  <si>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</si>
  <si>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</si>
  <si>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</si>
  <si>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</si>
  <si>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</si>
  <si>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</si>
  <si>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</si>
  <si>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</si>
  <si>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</si>
  <si>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</si>
  <si>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</si>
  <si>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</si>
  <si>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</si>
  <si>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</si>
  <si>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</si>
  <si>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</si>
  <si>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</si>
  <si>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</si>
  <si>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</si>
  <si>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</si>
  <si>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</si>
  <si>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</si>
  <si>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</si>
  <si>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</si>
  <si>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</si>
  <si>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</si>
  <si>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</si>
  <si>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</si>
  <si>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</si>
  <si>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</si>
  <si>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</si>
  <si>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</si>
  <si>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</si>
  <si>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</si>
  <si>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</si>
  <si>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</si>
  <si>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</si>
  <si>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</si>
  <si>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</si>
  <si>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</si>
  <si>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</si>
  <si>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</si>
  <si>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</si>
  <si>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</si>
  <si>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</si>
  <si>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</si>
  <si>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</si>
  <si>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</si>
  <si>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</si>
  <si>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</si>
  <si>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</si>
  <si>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</si>
  <si>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</si>
  <si>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</si>
  <si>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</si>
  <si>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</si>
  <si>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</si>
  <si>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</si>
  <si>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</si>
  <si>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</si>
  <si>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</si>
  <si>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</si>
  <si>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</si>
  <si>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</si>
  <si>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</si>
  <si>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</si>
  <si>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</si>
  <si>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</si>
  <si>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</si>
  <si>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</si>
  <si>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</si>
  <si>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</si>
  <si>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</si>
  <si>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</si>
  <si>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</si>
  <si>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</si>
  <si>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</si>
  <si>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</si>
  <si>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</si>
  <si>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</si>
  <si>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</si>
  <si>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</si>
  <si>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</si>
  <si>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</si>
  <si>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</si>
  <si>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</si>
  <si>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</si>
  <si>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</si>
  <si>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</si>
  <si>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</si>
  <si>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</si>
  <si>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</si>
  <si>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</si>
  <si>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</si>
  <si>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</si>
  <si>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</si>
  <si>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</si>
  <si>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</si>
  <si>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</si>
  <si>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</si>
  <si>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</si>
  <si>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</si>
  <si>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</si>
  <si>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</si>
  <si>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</si>
  <si>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</si>
  <si>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</si>
  <si>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</si>
  <si>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</si>
  <si>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</si>
  <si>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</si>
  <si>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</si>
  <si>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</si>
  <si>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</si>
  <si>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</si>
  <si>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</si>
  <si>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</si>
  <si>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</si>
  <si>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</si>
  <si>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</si>
  <si>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</si>
  <si>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</si>
  <si>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</si>
  <si>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</si>
  <si>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</si>
  <si>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</si>
  <si>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</si>
  <si>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</si>
  <si>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</si>
  <si>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</si>
  <si>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</si>
  <si>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</si>
  <si>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</si>
  <si>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</si>
  <si>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</si>
  <si>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</si>
  <si>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</si>
  <si>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</si>
  <si>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</si>
  <si>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</si>
  <si>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</si>
  <si>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</si>
  <si>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</si>
  <si>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</si>
  <si>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</si>
  <si>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</si>
  <si>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</si>
  <si>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</si>
  <si>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</si>
  <si>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</si>
  <si>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</si>
  <si>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</si>
  <si>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</si>
  <si>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</si>
  <si>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</si>
  <si>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</si>
  <si>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</si>
  <si>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</si>
  <si>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</si>
  <si>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</si>
  <si>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</si>
  <si>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</si>
  <si>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</si>
  <si>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</si>
  <si>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</si>
  <si>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</si>
  <si>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</si>
  <si>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</si>
  <si>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</si>
  <si>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</si>
  <si>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</si>
  <si>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</si>
  <si>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</si>
  <si>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Franklin &amp; Vaughn, LLC</t>
  </si>
  <si>
    <t>Calhoun/Greene/Jersey/Macoupin</t>
  </si>
  <si>
    <t>Mark E. Vaughn, CPA</t>
  </si>
  <si>
    <t>2852 Homer Adams Parkway</t>
  </si>
  <si>
    <t>PO Box 409</t>
  </si>
  <si>
    <t>Alton</t>
  </si>
  <si>
    <t>IL</t>
  </si>
  <si>
    <t>Jerseyville</t>
  </si>
  <si>
    <t>618-462-1162</t>
  </si>
  <si>
    <t>618-462-1168</t>
  </si>
  <si>
    <t>mark@franklinvaughncpa.com</t>
  </si>
  <si>
    <t>PDF in Opinion Page with Signature</t>
  </si>
  <si>
    <t>066-00-4377</t>
  </si>
  <si>
    <t>ROE #40</t>
  </si>
  <si>
    <t>Regional School Districts - See below</t>
  </si>
  <si>
    <t>Brussels CUSD #42, Bunker Hill CUSD #8, Calhoun CUSD #40, Carrollton CUSD #1, Carlinville CUSD #1, Gillespie CUSD #7, Greenville CUSD #10, Jersey CUSD #100, Mt. Olive CUSD #5, Northwestern CUSD #2,</t>
  </si>
  <si>
    <t>North Greene CUSD #3, Staunton CUSD #6</t>
  </si>
  <si>
    <t xml:space="preserve">Central III Rural Region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</si>
</sst>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0</xdr:rowOff>
        </xdr:from>
        <xdr:to>
          <xdr:col>1</xdr:col>
          <xdr:colOff>1876425</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1933575</xdr:colOff>
          <xdr:row>0</xdr:row>
          <xdr:rowOff>0</xdr:rowOff>
        </xdr:from>
        <xdr:to>
          <xdr:col>1</xdr:col>
          <xdr:colOff>2847975</xdr:colOff>
          <xdr:row>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85725</xdr:rowOff>
        </xdr:from>
        <xdr:to>
          <xdr:col>1</xdr:col>
          <xdr:colOff>914400</xdr:colOff>
          <xdr:row>8</xdr:row>
          <xdr:rowOff>123825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4</xdr:row>
          <xdr:rowOff>104775</xdr:rowOff>
        </xdr:from>
        <xdr:to>
          <xdr:col>1</xdr:col>
          <xdr:colOff>1885950</xdr:colOff>
          <xdr:row>8</xdr:row>
          <xdr:rowOff>142875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1924050</xdr:colOff>
          <xdr:row>4</xdr:row>
          <xdr:rowOff>104775</xdr:rowOff>
        </xdr:from>
        <xdr:to>
          <xdr:col>1</xdr:col>
          <xdr:colOff>2838450</xdr:colOff>
          <xdr:row>8</xdr:row>
          <xdr:rowOff>142875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0" t="s">
        <v>405</v>
      </c>
      <c r="J1" s="1981"/>
      <c r="K1" s="1981"/>
      <c r="L1" s="1981"/>
      <c r="M1" s="1981"/>
      <c r="N1" s="1981"/>
      <c r="O1" s="1981"/>
      <c r="P1" s="1981"/>
      <c r="Q1" s="1981"/>
      <c r="R1" s="1981"/>
      <c r="S1" s="1981"/>
    </row>
    <row r="2" spans="1:28" ht="12" customHeight="1" x14ac:dyDescent="0.2">
      <c r="A2" s="47" t="s">
        <v>1993</v>
      </c>
      <c r="D2" s="48"/>
      <c r="I2" s="1982" t="s">
        <v>979</v>
      </c>
      <c r="J2" s="1981"/>
      <c r="K2" s="1981"/>
      <c r="L2" s="1981"/>
      <c r="M2" s="1981"/>
      <c r="N2" s="1981"/>
      <c r="O2" s="1981"/>
      <c r="P2" s="1981"/>
      <c r="Q2" s="1981"/>
      <c r="R2" s="1981"/>
      <c r="S2" s="1981"/>
    </row>
    <row r="3" spans="1:28" ht="12" customHeight="1" x14ac:dyDescent="0.2">
      <c r="A3" s="155" t="s">
        <v>1945</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c r="C5" s="26" t="s">
        <v>910</v>
      </c>
      <c r="D5" s="84"/>
      <c r="E5" s="84"/>
      <c r="H5" s="38"/>
      <c r="I5" s="1990" t="s">
        <v>680</v>
      </c>
      <c r="J5" s="1989"/>
      <c r="K5" s="1989"/>
      <c r="L5" s="1989"/>
      <c r="M5" s="1989"/>
      <c r="N5" s="1989"/>
      <c r="O5" s="1989"/>
      <c r="P5" s="1989"/>
      <c r="Q5" s="1989"/>
      <c r="R5" s="1989"/>
      <c r="S5" s="1989"/>
    </row>
    <row r="6" spans="1:28" ht="14.1" customHeight="1" x14ac:dyDescent="0.2">
      <c r="B6" s="104" t="s">
        <v>2064</v>
      </c>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t="s">
        <v>2064</v>
      </c>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5">
        <v>40000000046</v>
      </c>
      <c r="B13" s="2016"/>
      <c r="C13" s="2016"/>
      <c r="D13" s="2016"/>
      <c r="E13" s="2016"/>
      <c r="F13" s="2016"/>
      <c r="G13" s="2016"/>
      <c r="H13" s="2017"/>
      <c r="I13" s="31"/>
      <c r="J13" s="30"/>
      <c r="K13" s="28"/>
      <c r="L13" s="30"/>
      <c r="M13" s="30"/>
      <c r="N13" s="30"/>
      <c r="O13" s="30"/>
      <c r="P13" s="30"/>
      <c r="Q13" s="30"/>
      <c r="R13" s="30"/>
      <c r="S13" s="30"/>
      <c r="T13" s="2020" t="s">
        <v>2065</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2066</v>
      </c>
      <c r="B15" s="2018"/>
      <c r="C15" s="2018"/>
      <c r="D15" s="2018"/>
      <c r="E15" s="2018"/>
      <c r="F15" s="2018"/>
      <c r="G15" s="2018"/>
      <c r="H15" s="2019"/>
      <c r="T15" s="2024" t="s">
        <v>2067</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2082</v>
      </c>
      <c r="B17" s="1975"/>
      <c r="C17" s="1975"/>
      <c r="D17" s="1975"/>
      <c r="E17" s="1975"/>
      <c r="F17" s="1975"/>
      <c r="G17" s="1975"/>
      <c r="H17" s="2000"/>
      <c r="T17" s="2031" t="s">
        <v>2068</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2069</v>
      </c>
      <c r="B19" s="1960"/>
      <c r="C19" s="1960"/>
      <c r="D19" s="1960"/>
      <c r="E19" s="1960"/>
      <c r="F19" s="1960"/>
      <c r="G19" s="1960"/>
      <c r="H19" s="1940"/>
      <c r="I19" s="30"/>
      <c r="J19" s="99"/>
      <c r="K19" s="40"/>
      <c r="L19" s="38"/>
      <c r="M19" s="112" t="s">
        <v>315</v>
      </c>
      <c r="P19" s="27"/>
      <c r="Q19" s="27"/>
      <c r="R19" s="27"/>
      <c r="S19" s="31"/>
      <c r="T19" s="2014" t="s">
        <v>2070</v>
      </c>
      <c r="U19" s="1939"/>
      <c r="V19" s="1939"/>
      <c r="W19" s="1940"/>
      <c r="X19" s="2029" t="s">
        <v>2071</v>
      </c>
      <c r="Y19" s="2030"/>
      <c r="Z19" s="2027">
        <v>62002</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2072</v>
      </c>
      <c r="B21" s="1939"/>
      <c r="C21" s="1939"/>
      <c r="D21" s="1939"/>
      <c r="E21" s="1939"/>
      <c r="F21" s="1939"/>
      <c r="G21" s="1939"/>
      <c r="H21" s="1940"/>
      <c r="I21" s="1994" t="s">
        <v>678</v>
      </c>
      <c r="J21" s="1989"/>
      <c r="K21" s="1989"/>
      <c r="L21" s="1989"/>
      <c r="M21" s="1989"/>
      <c r="N21" s="1989"/>
      <c r="O21" s="1989"/>
      <c r="P21" s="1989"/>
      <c r="Q21" s="1989"/>
      <c r="R21" s="1989"/>
      <c r="S21" s="1995"/>
      <c r="T21" s="2038" t="s">
        <v>2073</v>
      </c>
      <c r="U21" s="2039"/>
      <c r="V21" s="2039"/>
      <c r="W21" s="2039"/>
      <c r="X21" s="2044" t="s">
        <v>2074</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c r="B23" s="1992"/>
      <c r="C23" s="1992"/>
      <c r="D23" s="1992"/>
      <c r="E23" s="1992"/>
      <c r="F23" s="1992"/>
      <c r="G23" s="1992"/>
      <c r="H23" s="1993"/>
      <c r="T23" s="1974" t="s">
        <v>2077</v>
      </c>
      <c r="U23" s="2037"/>
      <c r="V23" s="2037"/>
      <c r="W23" s="2037"/>
      <c r="X23" s="2041">
        <v>44530</v>
      </c>
      <c r="Y23" s="2042"/>
      <c r="Z23" s="2042"/>
      <c r="AA23" s="2043"/>
    </row>
    <row r="24" spans="1:27" ht="14.1" customHeight="1" x14ac:dyDescent="0.2">
      <c r="A24" s="88" t="s">
        <v>677</v>
      </c>
      <c r="B24" s="49"/>
      <c r="C24" s="49"/>
      <c r="D24" s="49"/>
      <c r="E24" s="49"/>
      <c r="F24" s="49"/>
      <c r="G24" s="49"/>
      <c r="H24" s="61"/>
      <c r="J24" s="1961" t="str">
        <f>IF(B5="x",IF(AUDITCHECK!D29="AFR form Incomplete.","",IF(AUDITCHECK!D29="Deficit reduction plan is required.","School District must complete a deficit reduction plan in the 2019-2020 Budget",)),"")</f>
        <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62052</v>
      </c>
      <c r="B25" s="1939"/>
      <c r="C25" s="1939"/>
      <c r="D25" s="1939"/>
      <c r="E25" s="1939"/>
      <c r="F25" s="1939"/>
      <c r="G25" s="1939"/>
      <c r="H25" s="1940"/>
      <c r="I25" s="113"/>
      <c r="J25" s="1963"/>
      <c r="K25" s="1963"/>
      <c r="L25" s="1963"/>
      <c r="M25" s="1963"/>
      <c r="N25" s="1963"/>
      <c r="O25" s="1963"/>
      <c r="P25" s="1963"/>
      <c r="Q25" s="1963"/>
      <c r="R25" s="1963"/>
      <c r="S25" s="1964"/>
      <c r="T25" s="2034" t="s">
        <v>2075</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c r="B42" s="1958"/>
      <c r="C42" s="1959"/>
      <c r="D42" s="1957"/>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84" t="s">
        <v>1956</v>
      </c>
      <c r="D2" s="723" t="s">
        <v>1957</v>
      </c>
      <c r="E2" s="723" t="s">
        <v>1958</v>
      </c>
      <c r="F2" s="1884" t="s">
        <v>1959</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1964</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0</v>
      </c>
      <c r="I12" s="1758">
        <f>SUM(I5:I11)</f>
        <v>0</v>
      </c>
      <c r="J12" s="1758">
        <f>SUM(J5:J11)</f>
        <v>0</v>
      </c>
      <c r="K12" s="1758">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0</v>
      </c>
      <c r="I23" s="1758">
        <f>SUM(I14:I16,I21,I22)</f>
        <v>0</v>
      </c>
      <c r="J23" s="1758">
        <f>SUM(J14:J16,J21,J22)</f>
        <v>0</v>
      </c>
      <c r="K23" s="1758">
        <f>SUM(K14:K16,K21,K22)</f>
        <v>0</v>
      </c>
    </row>
    <row r="24" spans="1:11" ht="14.25" thickTop="1" thickBot="1" x14ac:dyDescent="0.25">
      <c r="A24" s="2245" t="s">
        <v>1965</v>
      </c>
      <c r="B24" s="2244"/>
      <c r="C24" s="2244"/>
      <c r="D24" s="2244"/>
      <c r="E24" s="224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3" sqref="C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0</v>
      </c>
      <c r="D16" s="1760">
        <f>SUM(D3,D5:D6,D8:D10,D12:D15)</f>
        <v>0</v>
      </c>
      <c r="E16" s="1760">
        <f>SUM(E3,E5:E6,E8:E10,E12:E15)</f>
        <v>0</v>
      </c>
      <c r="F16" s="1760">
        <f>SUM(F3,F5:F6,F8:F10,F12:F15)</f>
        <v>0</v>
      </c>
      <c r="G16" s="843"/>
      <c r="H16" s="1760">
        <f>SUM(H3,H6,H8:H10,H12:H14,)</f>
        <v>0</v>
      </c>
      <c r="I16" s="1760">
        <f>SUM(I3,I6,I8:I10,I12:I14,)</f>
        <v>0</v>
      </c>
      <c r="J16" s="1760">
        <f>SUM(J3,J6,J8:J10,J12:J14,)</f>
        <v>0</v>
      </c>
      <c r="K16" s="1760">
        <f>(H16+I16)-J16</f>
        <v>0</v>
      </c>
      <c r="L16" s="1760">
        <f>F16-K16</f>
        <v>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513357</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0</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513357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395674</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395674</v>
      </c>
      <c r="G76" s="865"/>
    </row>
    <row r="77" spans="1:8" s="893" customFormat="1" ht="12" customHeight="1" thickTop="1" thickBot="1" x14ac:dyDescent="0.25">
      <c r="A77" s="1779"/>
      <c r="B77" s="1776"/>
      <c r="C77" s="1772"/>
      <c r="D77" s="1777" t="s">
        <v>1900</v>
      </c>
      <c r="E77" s="1774"/>
      <c r="F77" s="1780">
        <f>(F14-F76)</f>
        <v>117683</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373251</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136115</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509366</v>
      </c>
    </row>
    <row r="175" spans="1:7" ht="12" customHeight="1" x14ac:dyDescent="0.2">
      <c r="A175" s="1770"/>
      <c r="B175" s="1784"/>
      <c r="C175" s="1785"/>
      <c r="D175" s="1786" t="s">
        <v>2057</v>
      </c>
      <c r="E175" s="1787"/>
      <c r="F175" s="1789">
        <f>'PCTC-OEPP 27-28'!F77-F174</f>
        <v>-391683</v>
      </c>
    </row>
    <row r="176" spans="1:7" ht="12" customHeight="1" x14ac:dyDescent="0.2">
      <c r="A176" s="1770"/>
      <c r="B176" s="1784"/>
      <c r="C176" s="1785"/>
      <c r="D176" s="1786" t="s">
        <v>1817</v>
      </c>
      <c r="E176" s="1787"/>
      <c r="F176" s="1789">
        <f>'Cap Outlay Deprec 26'!I18</f>
        <v>0</v>
      </c>
    </row>
    <row r="177" spans="1:7" ht="12" customHeight="1" x14ac:dyDescent="0.2">
      <c r="A177" s="1770"/>
      <c r="B177" s="1784"/>
      <c r="C177" s="1785"/>
      <c r="D177" s="1786" t="s">
        <v>2058</v>
      </c>
      <c r="E177" s="1787"/>
      <c r="F177" s="1789">
        <f>F175+F176</f>
        <v>-391683</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9"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4" t="s">
        <v>1977</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3099</v>
      </c>
      <c r="F19" s="1799"/>
      <c r="G19" s="1801">
        <f>'Expenditures 15-22'!K33-SUM('Expenditures 15-22'!G33,'Expenditures 15-22'!I33)+'Expenditures 15-22'!D229</f>
        <v>3099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7663</v>
      </c>
      <c r="F21" s="1802"/>
      <c r="G21" s="1805">
        <f>'Expenditures 15-22'!K42-SUM('Expenditures 15-22'!G42,'Expenditures 15-22'!I42)+'Expenditures 15-22'!K120-SUM('Expenditures 15-22'!G120,'Expenditures 15-22'!I120)+'Expenditures 15-22'!K180-SUM('Expenditures 15-22'!G180,'Expenditures 15-22'!I180)+'Expenditures 15-22'!D238</f>
        <v>7663</v>
      </c>
      <c r="H21" s="987"/>
      <c r="I21" s="162"/>
    </row>
    <row r="22" spans="1:9" s="668" customFormat="1" ht="12" customHeight="1" x14ac:dyDescent="0.2">
      <c r="A22" s="994" t="s">
        <v>564</v>
      </c>
      <c r="B22" s="995"/>
      <c r="C22" s="993">
        <v>2200</v>
      </c>
      <c r="D22" s="1802"/>
      <c r="E22" s="1804">
        <f>'Expenditures 15-22'!K47-SUM('Expenditures 15-22'!G47,'Expenditures 15-22'!I47)+'Expenditures 15-22'!D243</f>
        <v>4933</v>
      </c>
      <c r="F22" s="1802"/>
      <c r="G22" s="1805">
        <f>'Expenditures 15-22'!K47-SUM('Expenditures 15-22'!G47,'Expenditures 15-22'!I47)+'Expenditures 15-22'!D243</f>
        <v>4933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101488</v>
      </c>
      <c r="F23" s="1802"/>
      <c r="G23" s="1804">
        <f>'Expenditures 15-22'!K53-SUM('Expenditures 15-22'!G53,'Expenditures 15-22'!I53)+'Expenditures 15-22'!D257+'Expenditures 15-22'!K330-SUM('Expenditures 15-22'!G330,'Expenditures 15-22'!I330)</f>
        <v>101488</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500</v>
      </c>
      <c r="E27" s="1804">
        <f>E8</f>
        <v>0</v>
      </c>
      <c r="F27" s="1804">
        <f>'Expenditures 15-22'!K60-SUM('Expenditures 15-22'!G60,'Expenditures 15-22'!I60)+'Expenditures 15-22'!D264-E8</f>
        <v>500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500</v>
      </c>
      <c r="E41" s="1806">
        <f>SUM(E19:E40)</f>
        <v>117183</v>
      </c>
      <c r="F41" s="1806">
        <f>SUM(F19:F39)</f>
        <v>500</v>
      </c>
      <c r="G41" s="1806">
        <f>SUM(G19:G40)</f>
        <v>117183</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500</v>
      </c>
      <c r="F43" s="1807" t="s">
        <v>473</v>
      </c>
      <c r="G43" s="1808">
        <f>F41</f>
        <v>500</v>
      </c>
    </row>
    <row r="44" spans="1:7" ht="12" customHeight="1" x14ac:dyDescent="0.2">
      <c r="A44" s="987"/>
      <c r="B44" s="162"/>
      <c r="C44" s="1001"/>
      <c r="D44" s="1807" t="s">
        <v>474</v>
      </c>
      <c r="E44" s="1808">
        <f>E41</f>
        <v>117183</v>
      </c>
      <c r="F44" s="1807" t="s">
        <v>474</v>
      </c>
      <c r="G44" s="1808">
        <f>G41</f>
        <v>117183</v>
      </c>
    </row>
    <row r="45" spans="1:7" ht="12" customHeight="1" x14ac:dyDescent="0.2">
      <c r="A45" s="987"/>
      <c r="B45" s="162"/>
      <c r="C45" s="162"/>
      <c r="D45" s="1809" t="s">
        <v>1006</v>
      </c>
      <c r="E45" s="1810">
        <f>(E43/E44)</f>
        <v>4.2668305129583643E-3</v>
      </c>
      <c r="F45" s="1809" t="s">
        <v>1006</v>
      </c>
      <c r="G45" s="1810">
        <f>(G43/G44)</f>
        <v>4.2668305129583643E-3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25" activePane="bottomLeft" state="frozen"/>
      <selection activeCell="A47" sqref="A47"/>
      <selection pane="bottomLeft" activeCell="E52" sqref="E5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 xml:space="preserve">Central III Rural Region </v>
      </c>
      <c r="D6" s="2305"/>
      <c r="E6" s="2305"/>
      <c r="F6" s="1852"/>
    </row>
    <row r="7" spans="1:10" ht="11.25" customHeight="1" thickBot="1" x14ac:dyDescent="0.3">
      <c r="A7" s="1850"/>
      <c r="B7" s="1851"/>
      <c r="C7" s="2306">
        <f>COVER!A13</f>
        <v>40000000046</v>
      </c>
      <c r="D7" s="2306"/>
      <c r="E7" s="230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c r="F19" s="1867" t="s">
        <v>2078</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2064</v>
      </c>
      <c r="D25" s="1865" t="s">
        <v>2064</v>
      </c>
      <c r="E25" s="1868"/>
      <c r="F25" s="1867" t="s">
        <v>2078</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2064</v>
      </c>
      <c r="D28" s="1865" t="s">
        <v>2064</v>
      </c>
      <c r="E28" s="1868"/>
      <c r="F28" s="1867" t="s">
        <v>2078</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c r="F31" s="1867" t="s">
        <v>2079</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t="s">
        <v>2080</v>
      </c>
      <c r="B41" s="2299"/>
      <c r="C41" s="2299"/>
      <c r="D41" s="2299"/>
      <c r="E41" s="2299"/>
      <c r="F41" s="2300"/>
      <c r="H41" s="1879"/>
      <c r="I41" s="1879"/>
      <c r="J41" s="1879"/>
      <c r="K41" s="1879"/>
    </row>
    <row r="42" spans="1:11" s="1870" customFormat="1" ht="12" customHeight="1" x14ac:dyDescent="0.25">
      <c r="A42" s="2298" t="s">
        <v>2081</v>
      </c>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 xml:space="preserve">Central III Rural Region </v>
      </c>
      <c r="J6" s="2315"/>
      <c r="Q6" s="1664"/>
    </row>
    <row r="7" spans="1:17" x14ac:dyDescent="0.2">
      <c r="A7" s="2316" t="s">
        <v>869</v>
      </c>
      <c r="B7" s="2317"/>
      <c r="C7" s="2317"/>
      <c r="D7" s="2317"/>
      <c r="E7" s="2318"/>
      <c r="F7" s="1017"/>
      <c r="G7" s="1009"/>
      <c r="H7" s="1016" t="s">
        <v>372</v>
      </c>
      <c r="I7" s="2319">
        <f>COVER!A13</f>
        <v>40000000046</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0</v>
      </c>
      <c r="F19" s="1813">
        <f t="shared" si="2"/>
        <v>0</v>
      </c>
      <c r="G19" s="1813">
        <f t="shared" si="2"/>
        <v>0</v>
      </c>
      <c r="H19" s="1813">
        <f t="shared" si="2"/>
        <v>0</v>
      </c>
      <c r="I19" s="1813">
        <f t="shared" si="2"/>
        <v>0</v>
      </c>
      <c r="J19" s="1813">
        <f t="shared" si="2"/>
        <v>0</v>
      </c>
    </row>
    <row r="20" spans="1:10" ht="13.5" thickTop="1" x14ac:dyDescent="0.2">
      <c r="A20" s="1035">
        <v>9</v>
      </c>
      <c r="B20" s="2326" t="s">
        <v>1981</v>
      </c>
      <c r="C20" s="2326"/>
      <c r="D20" s="2327"/>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 xml:space="preserve">Central III Rural Region </v>
      </c>
    </row>
    <row r="65" spans="2:2" x14ac:dyDescent="0.2">
      <c r="B65" s="1070">
        <f>COVER!A13</f>
        <v>40000000046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autoPict="0" r:id="rId7">
            <anchor moveWithCells="1">
              <from>
                <xdr:col>1</xdr:col>
                <xdr:colOff>962025</xdr:colOff>
                <xdr:row>0</xdr:row>
                <xdr:rowOff>0</xdr:rowOff>
              </from>
              <to>
                <xdr:col>1</xdr:col>
                <xdr:colOff>1876425</xdr:colOff>
                <xdr:row>4</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4" r:id="rId8">
          <objectPr defaultSize="0" autoPict="0" r:id="rId9">
            <anchor moveWithCells="1">
              <from>
                <xdr:col>1</xdr:col>
                <xdr:colOff>1933575</xdr:colOff>
                <xdr:row>0</xdr:row>
                <xdr:rowOff>0</xdr:rowOff>
              </from>
              <to>
                <xdr:col>1</xdr:col>
                <xdr:colOff>2847975</xdr:colOff>
                <xdr:row>4</xdr:row>
                <xdr:rowOff>38100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autoPict="0" r:id="rId11">
            <anchor moveWithCells="1">
              <from>
                <xdr:col>1</xdr:col>
                <xdr:colOff>0</xdr:colOff>
                <xdr:row>4</xdr:row>
                <xdr:rowOff>85725</xdr:rowOff>
              </from>
              <to>
                <xdr:col>1</xdr:col>
                <xdr:colOff>914400</xdr:colOff>
                <xdr:row>8</xdr:row>
                <xdr:rowOff>123825</xdr:rowOff>
              </to>
            </anchor>
          </objectPr>
        </oleObject>
      </mc:Choice>
      <mc:Fallback>
        <oleObject progId="Acrobat Document" dvAspect="DVASPECT_ICON" shapeId="35845" r:id="rId10"/>
      </mc:Fallback>
    </mc:AlternateContent>
    <mc:AlternateContent xmlns:mc="http://schemas.openxmlformats.org/markup-compatibility/2006">
      <mc:Choice Requires="x14">
        <oleObject progId="Acrobat Document" dvAspect="DVASPECT_ICON" shapeId="35846" r:id="rId12">
          <objectPr defaultSize="0" autoPict="0" r:id="rId13">
            <anchor moveWithCells="1">
              <from>
                <xdr:col>1</xdr:col>
                <xdr:colOff>971550</xdr:colOff>
                <xdr:row>4</xdr:row>
                <xdr:rowOff>104775</xdr:rowOff>
              </from>
              <to>
                <xdr:col>1</xdr:col>
                <xdr:colOff>1885950</xdr:colOff>
                <xdr:row>8</xdr:row>
                <xdr:rowOff>142875</xdr:rowOff>
              </to>
            </anchor>
          </objectPr>
        </oleObject>
      </mc:Choice>
      <mc:Fallback>
        <oleObject progId="Acrobat Document" dvAspect="DVASPECT_ICON" shapeId="35846" r:id="rId12"/>
      </mc:Fallback>
    </mc:AlternateContent>
    <mc:AlternateContent xmlns:mc="http://schemas.openxmlformats.org/markup-compatibility/2006">
      <mc:Choice Requires="x14">
        <oleObject progId="Acrobat Document" dvAspect="DVASPECT_ICON" shapeId="35847" r:id="rId14">
          <objectPr defaultSize="0" autoPict="0" r:id="rId15">
            <anchor moveWithCells="1">
              <from>
                <xdr:col>1</xdr:col>
                <xdr:colOff>1924050</xdr:colOff>
                <xdr:row>4</xdr:row>
                <xdr:rowOff>104775</xdr:rowOff>
              </from>
              <to>
                <xdr:col>1</xdr:col>
                <xdr:colOff>2838450</xdr:colOff>
                <xdr:row>8</xdr:row>
                <xdr:rowOff>142875</xdr:rowOff>
              </to>
            </anchor>
          </objectPr>
        </oleObject>
      </mc:Choice>
      <mc:Fallback>
        <oleObject progId="Acrobat Document" dvAspect="DVASPECT_ICON" shapeId="35847"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509366</v>
      </c>
      <c r="C8" s="1815">
        <f>'Acct Summary 7-8'!D8</f>
        <v>0</v>
      </c>
      <c r="D8" s="1815">
        <f>'Acct Summary 7-8'!F8</f>
        <v>0</v>
      </c>
      <c r="E8" s="1815">
        <f>'Acct Summary 7-8'!I8</f>
        <v>0</v>
      </c>
      <c r="F8" s="1815">
        <f>SUM(B8:E8)</f>
        <v>509366</v>
      </c>
    </row>
    <row r="9" spans="1:8" s="1079" customFormat="1" ht="14.25" customHeight="1" thickBot="1" x14ac:dyDescent="0.25">
      <c r="A9" s="1078" t="s">
        <v>1369</v>
      </c>
      <c r="B9" s="1816">
        <f>'Acct Summary 7-8'!C17</f>
        <v>513357</v>
      </c>
      <c r="C9" s="1816">
        <f>'Acct Summary 7-8'!D17</f>
        <v>0</v>
      </c>
      <c r="D9" s="1816">
        <f>'Acct Summary 7-8'!F17</f>
        <v>0</v>
      </c>
      <c r="E9" s="1815"/>
      <c r="F9" s="1815">
        <f>SUM(B9:E9)</f>
        <v>513357</v>
      </c>
    </row>
    <row r="10" spans="1:8" s="1079" customFormat="1" ht="14.25" thickTop="1" thickBot="1" x14ac:dyDescent="0.25">
      <c r="A10" s="1080" t="s">
        <v>1370</v>
      </c>
      <c r="B10" s="1817">
        <f>(B8-B9)</f>
        <v>-3991</v>
      </c>
      <c r="C10" s="1817">
        <f>(C8-C9)</f>
        <v>0</v>
      </c>
      <c r="D10" s="1817">
        <f>(D8-D9)</f>
        <v>0</v>
      </c>
      <c r="E10" s="1816">
        <f>(E8-E9)</f>
        <v>0</v>
      </c>
      <c r="F10" s="1818">
        <f>SUM(F8-F9)</f>
        <v>-3991</v>
      </c>
    </row>
    <row r="11" spans="1:8" s="1079" customFormat="1" ht="14.25" thickTop="1" thickBot="1" x14ac:dyDescent="0.25">
      <c r="A11" s="1081" t="s">
        <v>1985</v>
      </c>
      <c r="B11" s="1819">
        <f>'Acct Summary 7-8'!C81</f>
        <v>1460</v>
      </c>
      <c r="C11" s="1819">
        <f>'Acct Summary 7-8'!D81</f>
        <v>0</v>
      </c>
      <c r="D11" s="1819">
        <f>'Acct Summary 7-8'!F81</f>
        <v>0</v>
      </c>
      <c r="E11" s="1819">
        <f>'Acct Summary 7-8'!I81</f>
        <v>0</v>
      </c>
      <c r="F11" s="1820">
        <f>SUM(B11:E11)</f>
        <v>1460</v>
      </c>
    </row>
    <row r="12" spans="1:8" ht="16.5" customHeight="1" thickTop="1" x14ac:dyDescent="0.2">
      <c r="A12" s="1082"/>
      <c r="B12" s="1083"/>
      <c r="C12" s="2338"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40000000046</v>
      </c>
    </row>
    <row r="3" spans="1:2" x14ac:dyDescent="0.2">
      <c r="A3" t="s">
        <v>956</v>
      </c>
      <c r="B3" s="138" t="str">
        <f>COVER!A15</f>
        <v>Calhoun/Greene/Jersey/Macoupin</v>
      </c>
    </row>
    <row r="4" spans="1:2" x14ac:dyDescent="0.2">
      <c r="A4" t="s">
        <v>1007</v>
      </c>
      <c r="B4" s="138" t="str">
        <f>COVER!A17</f>
        <v xml:space="preserve">Central III Rural Region </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066-00-4377</v>
      </c>
    </row>
    <row r="16" spans="1:2" x14ac:dyDescent="0.2">
      <c r="A16" t="s">
        <v>422</v>
      </c>
      <c r="B16" s="138" t="str">
        <f>COVER!T13</f>
        <v>Franklin &amp; Vaughn, LLC</v>
      </c>
    </row>
    <row r="17" spans="1:2" x14ac:dyDescent="0.2">
      <c r="A17" t="s">
        <v>884</v>
      </c>
      <c r="B17" s="138" t="str">
        <f>COVER!T15</f>
        <v>Mark E. Vaughn, CPA</v>
      </c>
    </row>
    <row r="18" spans="1:2" x14ac:dyDescent="0.2">
      <c r="A18" t="s">
        <v>1150</v>
      </c>
      <c r="B18" s="138" t="str">
        <f>COVER!T17</f>
        <v>2852 Homer Adams Parkway</v>
      </c>
    </row>
    <row r="19" spans="1:2" x14ac:dyDescent="0.2">
      <c r="A19" t="s">
        <v>886</v>
      </c>
      <c r="B19" s="138" t="str">
        <f>COVER!T25</f>
        <v>mark@franklinvaughncpa.com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618-462-1162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1460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1460</v>
      </c>
      <c r="D92" s="2" t="str">
        <f t="shared" si="0"/>
        <v>Error?</v>
      </c>
    </row>
    <row r="93" spans="1:4" x14ac:dyDescent="0.2">
      <c r="A93" s="5">
        <v>32</v>
      </c>
      <c r="B93" s="138">
        <f>'Assets-Liab 5-6'!C41</f>
        <v>1460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81650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81650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81650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81650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5934</v>
      </c>
      <c r="D790" s="2" t="str">
        <f t="shared" si="11"/>
        <v>Error?</v>
      </c>
    </row>
    <row r="791" spans="1:4" x14ac:dyDescent="0.2">
      <c r="A791" s="5">
        <v>730</v>
      </c>
      <c r="B791" s="138">
        <f>'Expenditures 15-22'!D50</f>
        <v>0</v>
      </c>
      <c r="D791" s="2" t="str">
        <f t="shared" si="11"/>
        <v>Error?</v>
      </c>
    </row>
    <row r="792" spans="1:4" x14ac:dyDescent="0.2">
      <c r="A792" s="5">
        <v>731</v>
      </c>
      <c r="B792" s="138">
        <f>'Expenditures 15-22'!D53</f>
        <v>5934</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5934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5934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6434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6434</v>
      </c>
      <c r="C843" s="2" t="s">
        <v>573</v>
      </c>
      <c r="D843" s="2" t="str">
        <f t="shared" si="12"/>
        <v>Error?</v>
      </c>
    </row>
    <row r="844" spans="1:4" x14ac:dyDescent="0.2">
      <c r="A844" s="5">
        <v>783</v>
      </c>
      <c r="B844" s="138">
        <f>'Expenditures 15-22'!E44</f>
        <v>4735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198</v>
      </c>
      <c r="D846" s="2" t="str">
        <f t="shared" si="12"/>
        <v>Error?</v>
      </c>
    </row>
    <row r="847" spans="1:4" x14ac:dyDescent="0.2">
      <c r="A847" s="5">
        <v>786</v>
      </c>
      <c r="B847" s="138">
        <f>'Expenditures 15-22'!E47</f>
        <v>4933</v>
      </c>
      <c r="C847" s="2" t="s">
        <v>573</v>
      </c>
      <c r="D847" s="2" t="str">
        <f t="shared" si="12"/>
        <v>Error?</v>
      </c>
    </row>
    <row r="848" spans="1:4" x14ac:dyDescent="0.2">
      <c r="A848" s="5">
        <v>787</v>
      </c>
      <c r="B848" s="138">
        <f>'Expenditures 15-22'!E49</f>
        <v>13070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13070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24937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25588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3099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1229</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1229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834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834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2063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5162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395023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395023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3099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3099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7663</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7663</v>
      </c>
      <c r="C1115" s="2" t="s">
        <v>573</v>
      </c>
      <c r="D1115" s="2" t="str">
        <f t="shared" si="16"/>
        <v>Error?</v>
      </c>
    </row>
    <row r="1116" spans="1:4" x14ac:dyDescent="0.2">
      <c r="A1116" s="5">
        <v>1055</v>
      </c>
      <c r="B1116" s="138">
        <f>'Expenditures 15-22'!K44</f>
        <v>4735</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198</v>
      </c>
      <c r="C1118" s="2" t="s">
        <v>573</v>
      </c>
      <c r="D1118" s="2" t="str">
        <f t="shared" si="16"/>
        <v>Error?</v>
      </c>
    </row>
    <row r="1119" spans="1:4" x14ac:dyDescent="0.2">
      <c r="A1119" s="5">
        <v>1058</v>
      </c>
      <c r="B1119" s="138">
        <f>'Expenditures 15-22'!K47</f>
        <v>4933</v>
      </c>
      <c r="C1119" s="2" t="s">
        <v>573</v>
      </c>
      <c r="D1119" s="2" t="str">
        <f t="shared" si="16"/>
        <v>Error?</v>
      </c>
    </row>
    <row r="1120" spans="1:4" x14ac:dyDescent="0.2">
      <c r="A1120" s="5">
        <v>1059</v>
      </c>
      <c r="B1120" s="138">
        <f>'Expenditures 15-22'!K49</f>
        <v>101488</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101488</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500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114584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395674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513357</v>
      </c>
      <c r="C1152" s="2" t="s">
        <v>573</v>
      </c>
      <c r="D1152" s="2" t="str">
        <f t="shared" si="17"/>
        <v>Error?</v>
      </c>
    </row>
    <row r="1153" spans="1:4" x14ac:dyDescent="0.2">
      <c r="A1153" s="5">
        <v>1092</v>
      </c>
      <c r="B1153" s="138">
        <f>'Expenditures 15-22'!K115</f>
        <v>-3991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1460</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395023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395674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0</v>
      </c>
      <c r="C2551" s="2" t="s">
        <v>573</v>
      </c>
      <c r="D2551" s="2" t="str">
        <f t="shared" si="38"/>
        <v>Error?</v>
      </c>
    </row>
    <row r="2552" spans="1:4" x14ac:dyDescent="0.2">
      <c r="A2552" s="10">
        <v>2491</v>
      </c>
      <c r="D2552" s="2" t="str">
        <f t="shared" si="38"/>
        <v>OK</v>
      </c>
    </row>
    <row r="2553" spans="1:4" x14ac:dyDescent="0.2">
      <c r="A2553" s="5">
        <v>2492</v>
      </c>
      <c r="B2553" s="138">
        <f>'Acct Summary 7-8'!C6</f>
        <v>373251</v>
      </c>
      <c r="C2553" s="2" t="s">
        <v>573</v>
      </c>
      <c r="D2553" s="2" t="str">
        <f t="shared" si="38"/>
        <v>Error?</v>
      </c>
    </row>
    <row r="2554" spans="1:4" x14ac:dyDescent="0.2">
      <c r="A2554" s="5">
        <v>2493</v>
      </c>
      <c r="B2554" s="138">
        <f>'Acct Summary 7-8'!C7</f>
        <v>136115</v>
      </c>
      <c r="C2554" s="2" t="s">
        <v>573</v>
      </c>
      <c r="D2554" s="2" t="str">
        <f t="shared" si="38"/>
        <v>Error?</v>
      </c>
    </row>
    <row r="2555" spans="1:4" x14ac:dyDescent="0.2">
      <c r="A2555" s="5">
        <v>2494</v>
      </c>
      <c r="B2555" s="138">
        <f>'Acct Summary 7-8'!C8</f>
        <v>509366</v>
      </c>
      <c r="C2555" s="2" t="s">
        <v>573</v>
      </c>
      <c r="D2555" s="2" t="str">
        <f t="shared" si="38"/>
        <v>Error?</v>
      </c>
    </row>
    <row r="2556" spans="1:4" x14ac:dyDescent="0.2">
      <c r="A2556" s="5">
        <v>2495</v>
      </c>
      <c r="B2556" s="138">
        <f>'Acct Summary 7-8'!C12</f>
        <v>3099</v>
      </c>
      <c r="C2556" s="2" t="s">
        <v>573</v>
      </c>
      <c r="D2556" s="2" t="str">
        <f t="shared" si="38"/>
        <v>Error?</v>
      </c>
    </row>
    <row r="2557" spans="1:4" x14ac:dyDescent="0.2">
      <c r="A2557" s="5">
        <v>2496</v>
      </c>
      <c r="B2557" s="138">
        <f>'Acct Summary 7-8'!C13</f>
        <v>114584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395674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513357</v>
      </c>
      <c r="C2561" s="2" t="s">
        <v>573</v>
      </c>
      <c r="D2561" s="2" t="str">
        <f t="shared" si="39"/>
        <v>Error?</v>
      </c>
    </row>
    <row r="2562" spans="1:4" x14ac:dyDescent="0.2">
      <c r="A2562" s="5">
        <v>2501</v>
      </c>
      <c r="B2562" s="138">
        <f>'Acct Summary 7-8'!C20</f>
        <v>-3991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651</v>
      </c>
      <c r="C2789" s="2" t="s">
        <v>573</v>
      </c>
      <c r="D2789" s="2" t="str">
        <f t="shared" si="42"/>
        <v>Error?</v>
      </c>
    </row>
    <row r="2790" spans="1:4" x14ac:dyDescent="0.2">
      <c r="A2790" s="5">
        <v>2729</v>
      </c>
      <c r="B2790" s="138">
        <f>'Expenditures 15-22'!E102</f>
        <v>651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651</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395023</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395674</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-3991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509366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513357</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1460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373251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373251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373251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373251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136115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136115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136115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136115</v>
      </c>
      <c r="C5326" s="2" t="s">
        <v>573</v>
      </c>
      <c r="D5326" s="2" t="str">
        <f t="shared" si="82"/>
        <v>Error?</v>
      </c>
    </row>
    <row r="5327" spans="1:5" x14ac:dyDescent="0.2">
      <c r="A5327" s="5">
        <v>5266</v>
      </c>
      <c r="B5327" s="138">
        <f>'Revenues 9-14'!C268</f>
        <v>509366</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-3991</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-2.7335616438356163</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1989</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 xml:space="preserve">Central III Rural Region </v>
      </c>
      <c r="B7" s="2382"/>
      <c r="C7" s="2382"/>
      <c r="D7" s="2419"/>
      <c r="E7" s="2420">
        <f>COVER!A13</f>
        <v>40000000046</v>
      </c>
      <c r="F7" s="2421"/>
      <c r="G7" s="2388" t="str">
        <f>COVER!T23</f>
        <v>066-00-4377</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Franklin &amp; Vaughn, LLC</v>
      </c>
      <c r="H9" s="2395"/>
      <c r="I9" s="2395"/>
      <c r="J9" s="2395"/>
      <c r="K9" s="2395"/>
      <c r="L9" s="2396"/>
    </row>
    <row r="10" spans="1:29" ht="13.5" customHeight="1" x14ac:dyDescent="0.2">
      <c r="A10" s="2378">
        <f>COVER!A38</f>
        <v>0</v>
      </c>
      <c r="B10" s="2379"/>
      <c r="C10" s="2379"/>
      <c r="D10" s="2379"/>
      <c r="E10" s="2379"/>
      <c r="F10" s="2380"/>
      <c r="G10" s="2394" t="str">
        <f>COVER!T17</f>
        <v>2852 Homer Adams Parkway</v>
      </c>
      <c r="H10" s="2407"/>
      <c r="I10" s="2407"/>
      <c r="J10" s="2407"/>
      <c r="K10" s="2407"/>
      <c r="L10" s="2408"/>
    </row>
    <row r="11" spans="1:29" ht="13.5" customHeight="1" x14ac:dyDescent="0.2">
      <c r="A11" s="1184" t="s">
        <v>1519</v>
      </c>
      <c r="B11" s="1185"/>
      <c r="C11" s="1186"/>
      <c r="D11" s="1191"/>
      <c r="E11" s="1186"/>
      <c r="F11" s="1190"/>
      <c r="G11" s="2394" t="str">
        <f>COVER!T19</f>
        <v>Alton</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mark@franklinvaughncpa.com</v>
      </c>
      <c r="J13" s="2416"/>
      <c r="K13" s="2416"/>
      <c r="L13" s="2417"/>
    </row>
    <row r="14" spans="1:29" ht="13.5" customHeight="1" x14ac:dyDescent="0.2">
      <c r="A14" s="2394" t="str">
        <f>COVER!A19</f>
        <v>PO Box 409</v>
      </c>
      <c r="B14" s="2407"/>
      <c r="C14" s="2407"/>
      <c r="D14" s="2407"/>
      <c r="E14" s="2407"/>
      <c r="F14" s="2408"/>
      <c r="G14" s="1195" t="s">
        <v>1185</v>
      </c>
      <c r="H14" s="1193"/>
      <c r="I14" s="1193"/>
      <c r="J14" s="1193"/>
      <c r="K14" s="1193"/>
      <c r="L14" s="1194"/>
    </row>
    <row r="15" spans="1:29" ht="13.5" customHeight="1" x14ac:dyDescent="0.2">
      <c r="A15" s="2394" t="str">
        <f>COVER!A21</f>
        <v>Jerseyville</v>
      </c>
      <c r="B15" s="2407"/>
      <c r="C15" s="2407"/>
      <c r="D15" s="2407"/>
      <c r="E15" s="2407"/>
      <c r="F15" s="2408"/>
      <c r="G15" s="2404" t="str">
        <f>COVER!T15</f>
        <v>Mark E. Vaughn, CPA</v>
      </c>
      <c r="H15" s="2405"/>
      <c r="I15" s="2405"/>
      <c r="J15" s="2405"/>
      <c r="K15" s="2405"/>
      <c r="L15" s="2406"/>
    </row>
    <row r="16" spans="1:29" ht="12.2" customHeight="1" x14ac:dyDescent="0.2">
      <c r="A16" s="2384">
        <f>COVER!A25</f>
        <v>62052</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t="str">
        <f>COVER!T21</f>
        <v>618-462-1162</v>
      </c>
      <c r="H18" s="2382"/>
      <c r="I18" s="2382"/>
      <c r="J18" s="2382"/>
      <c r="K18" s="2381" t="str">
        <f>COVER!X21</f>
        <v>618-462-1168</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 xml:space="preserve">Central III Rural Region </v>
      </c>
      <c r="B1" s="2418"/>
      <c r="C1" s="2418"/>
      <c r="D1" s="2418"/>
    </row>
    <row r="2" spans="1:11" s="1212" customFormat="1" ht="12.75" x14ac:dyDescent="0.2">
      <c r="A2" s="2423">
        <f>'Single Audit Cover'!E7</f>
        <v>40000000046</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 xml:space="preserve">Central III Rural Region </v>
      </c>
      <c r="B1" s="2426"/>
      <c r="C1" s="2426"/>
      <c r="D1" s="2426"/>
      <c r="E1" s="2426"/>
    </row>
    <row r="2" spans="1:5" x14ac:dyDescent="0.2">
      <c r="A2" s="2427">
        <f>'Single Audit Cover'!E7</f>
        <v>40000000046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136115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136115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136115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136115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 xml:space="preserve">Central III Rural Region </v>
      </c>
      <c r="C1" s="2430"/>
      <c r="D1" s="2430"/>
      <c r="E1" s="2430"/>
      <c r="F1" s="2430"/>
      <c r="G1" s="2430"/>
      <c r="H1" s="2430"/>
      <c r="I1" s="2430"/>
      <c r="J1" s="2430"/>
      <c r="K1" s="2430"/>
      <c r="L1" s="2430"/>
      <c r="M1" s="2430"/>
    </row>
    <row r="2" spans="2:14" ht="15" x14ac:dyDescent="0.2">
      <c r="B2" s="2431">
        <f>'Single Audit Cover'!E7</f>
        <v>40000000046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 xml:space="preserve">Central III Rural Region </v>
      </c>
      <c r="B1" s="2435"/>
      <c r="C1" s="2435"/>
      <c r="D1" s="2435"/>
      <c r="E1" s="2435"/>
      <c r="F1" s="2435"/>
    </row>
    <row r="2" spans="1:7" ht="13.5" customHeight="1" x14ac:dyDescent="0.2">
      <c r="A2" s="2431">
        <f>'Single Audit Cover'!E7</f>
        <v>40000000046</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2065</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t="s">
        <v>2076</v>
      </c>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 xml:space="preserve">Central III Rural Region </v>
      </c>
      <c r="C1" s="2451"/>
      <c r="D1" s="2451"/>
      <c r="E1" s="2451"/>
      <c r="F1" s="2451"/>
      <c r="G1" s="2451"/>
      <c r="H1" s="2451"/>
      <c r="I1" s="2451"/>
      <c r="J1" s="1406"/>
    </row>
    <row r="2" spans="2:10" s="317" customFormat="1" ht="12.75" customHeight="1" x14ac:dyDescent="0.2">
      <c r="B2" s="2452">
        <f>'Single Audit Cover'!E7</f>
        <v>40000000046</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1841</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 xml:space="preserve">Central III Rural Region </v>
      </c>
      <c r="C1" s="2450"/>
      <c r="D1" s="2450"/>
      <c r="E1" s="2450"/>
      <c r="F1" s="2450"/>
      <c r="G1" s="2450"/>
      <c r="H1" s="2450"/>
      <c r="I1" s="2450"/>
      <c r="J1" s="2450"/>
      <c r="K1" s="2450"/>
      <c r="L1" s="1371"/>
      <c r="M1" s="1371"/>
    </row>
    <row r="2" spans="1:13" ht="12" customHeight="1" x14ac:dyDescent="0.2">
      <c r="B2" s="2452">
        <f>'Single Audit Cover'!E7</f>
        <v>40000000046</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 xml:space="preserve">Central III Rural Region </v>
      </c>
      <c r="C1" s="2477"/>
      <c r="D1" s="2477"/>
      <c r="E1" s="2477"/>
      <c r="F1" s="2477"/>
      <c r="G1" s="2477"/>
      <c r="H1" s="2477"/>
      <c r="I1" s="2477"/>
      <c r="J1" s="2477"/>
      <c r="K1" s="2477"/>
      <c r="L1" s="1449"/>
    </row>
    <row r="2" spans="1:12" ht="12.75" customHeight="1" x14ac:dyDescent="0.2">
      <c r="B2" s="2478">
        <f>'Single Audit Cover'!E7</f>
        <v>40000000046</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 xml:space="preserve">Central III Rural Region </v>
      </c>
      <c r="C1" s="2450"/>
      <c r="D1" s="2450"/>
      <c r="E1" s="1469"/>
    </row>
    <row r="2" spans="2:5" s="1279" customFormat="1" ht="12.75" customHeight="1" x14ac:dyDescent="0.2">
      <c r="B2" s="2452">
        <f>'Single Audit Cover'!E7</f>
        <v>40000000046</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509366</v>
      </c>
      <c r="E16" s="356"/>
      <c r="F16" s="1733">
        <f>SUM('Acct Summary 7-8'!C17,'Acct Summary 7-8'!D17,'Acct Summary 7-8'!F17)</f>
        <v>513357</v>
      </c>
      <c r="G16" s="356"/>
      <c r="H16" s="1733">
        <f>SUM(D16-F16)</f>
        <v>-3991</v>
      </c>
      <c r="I16" s="222"/>
      <c r="J16" s="1733">
        <f>SUM('Acct Summary 7-8'!C81,'Acct Summary 7-8'!D81,'Acct Summary 7-8'!F81,'Acct Summary 7-8'!I81)</f>
        <v>1460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Central III Rural Region </v>
      </c>
      <c r="E7" s="391"/>
      <c r="G7" s="252"/>
      <c r="H7" s="387"/>
      <c r="I7" s="387"/>
      <c r="J7" s="387"/>
      <c r="K7" s="387"/>
      <c r="L7" s="329"/>
      <c r="M7" s="329"/>
      <c r="N7" s="329"/>
      <c r="O7" s="329"/>
      <c r="P7" s="329"/>
    </row>
    <row r="8" spans="1:18" ht="12.75" x14ac:dyDescent="0.2">
      <c r="A8" s="329"/>
      <c r="B8" s="329"/>
      <c r="C8" s="389" t="s">
        <v>1125</v>
      </c>
      <c r="D8" s="392">
        <f>COVER!A13</f>
        <v>40000000046</v>
      </c>
      <c r="E8" s="393"/>
      <c r="G8" s="329"/>
      <c r="H8" s="329"/>
      <c r="I8" s="329"/>
      <c r="J8" s="329"/>
      <c r="K8" s="329"/>
      <c r="L8" s="329"/>
      <c r="M8" s="329"/>
      <c r="N8" s="329"/>
      <c r="O8" s="329"/>
      <c r="P8" s="329"/>
    </row>
    <row r="9" spans="1:18" ht="12.75" x14ac:dyDescent="0.2">
      <c r="A9" s="329"/>
      <c r="B9" s="329"/>
      <c r="C9" s="389" t="s">
        <v>713</v>
      </c>
      <c r="D9" s="394" t="str">
        <f>COVER!A15</f>
        <v>Calhoun/Greene/Jersey/Macoupin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1460</v>
      </c>
      <c r="I12" s="404"/>
      <c r="J12" s="404"/>
      <c r="K12" s="405">
        <f>TRUNC((H12/H13*100000),5)/100000</f>
        <v>2.8663083000000002E-3</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509366</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513357</v>
      </c>
      <c r="I17" s="404"/>
      <c r="J17" s="416"/>
      <c r="K17" s="405">
        <f>TRUNC((H17/H18*100000),5)/100000</f>
        <v>1.0078352304</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509366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-12.397043399999999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1460</v>
      </c>
      <c r="I24" s="422"/>
      <c r="J24" s="422"/>
      <c r="K24" s="423">
        <f>TRUNC(((H24/H25*100000)/100000),2)</f>
        <v>1.02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1425.9916700000001</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1460</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1460</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0</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1460</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6" t="s">
        <v>655</v>
      </c>
      <c r="B41" s="1706"/>
      <c r="C41" s="1688">
        <f>(SUM(C34,C37,C38,C39))</f>
        <v>1460</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0</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373251</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136115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509366</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509366</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3099</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114584</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395674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513357</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513357</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3" t="s">
        <v>1655</v>
      </c>
      <c r="B20" s="2124"/>
      <c r="C20" s="1746">
        <f>C8-C17</f>
        <v>-3991</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-3991</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1949</v>
      </c>
      <c r="B79" s="534"/>
      <c r="C79" s="478">
        <v>5451</v>
      </c>
      <c r="D79" s="535"/>
      <c r="E79" s="535"/>
      <c r="F79" s="535"/>
      <c r="G79" s="535"/>
      <c r="H79" s="535"/>
      <c r="I79" s="535"/>
      <c r="J79" s="535"/>
      <c r="K79" s="535"/>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1460</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-3991</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-2.7335616438356163</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7" activePane="bottomLeft" state="frozen"/>
      <selection pane="bottomLeft" activeCell="C135" sqref="C13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0</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373251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373251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373251</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373251</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136115</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136115</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136115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136115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509366</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4" activePane="bottomLeft" state="frozen"/>
      <selection pane="bottomLeft" activeCell="L82" sqref="L8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v>3099</v>
      </c>
      <c r="G5" s="466"/>
      <c r="H5" s="466"/>
      <c r="I5" s="467"/>
      <c r="J5" s="467"/>
      <c r="K5" s="1671">
        <f>SUM(C5:J5)</f>
        <v>3099</v>
      </c>
      <c r="L5" s="466">
        <v>5740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0</v>
      </c>
      <c r="D33" s="1670">
        <f t="shared" ref="D33:L33" si="1">SUM(D5:D32)</f>
        <v>0</v>
      </c>
      <c r="E33" s="1670">
        <f t="shared" si="1"/>
        <v>0</v>
      </c>
      <c r="F33" s="1670">
        <f t="shared" si="1"/>
        <v>3099</v>
      </c>
      <c r="G33" s="1670">
        <f t="shared" si="1"/>
        <v>0</v>
      </c>
      <c r="H33" s="1670">
        <f t="shared" si="1"/>
        <v>0</v>
      </c>
      <c r="I33" s="1670">
        <f t="shared" si="1"/>
        <v>0</v>
      </c>
      <c r="J33" s="1670">
        <f t="shared" si="1"/>
        <v>0</v>
      </c>
      <c r="K33" s="1670">
        <f t="shared" si="1"/>
        <v>3099</v>
      </c>
      <c r="L33" s="1670">
        <f t="shared" si="1"/>
        <v>5740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v>6434</v>
      </c>
      <c r="F37" s="466">
        <v>1229</v>
      </c>
      <c r="G37" s="466"/>
      <c r="H37" s="466"/>
      <c r="I37" s="467"/>
      <c r="J37" s="467"/>
      <c r="K37" s="1671">
        <f t="shared" si="2"/>
        <v>7663</v>
      </c>
      <c r="L37" s="466">
        <v>6624</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6434</v>
      </c>
      <c r="F42" s="1670">
        <f t="shared" si="3"/>
        <v>1229</v>
      </c>
      <c r="G42" s="1670">
        <f t="shared" si="3"/>
        <v>0</v>
      </c>
      <c r="H42" s="1670">
        <f t="shared" si="3"/>
        <v>0</v>
      </c>
      <c r="I42" s="1670">
        <f t="shared" si="3"/>
        <v>0</v>
      </c>
      <c r="J42" s="1670">
        <f t="shared" si="3"/>
        <v>0</v>
      </c>
      <c r="K42" s="1670">
        <f t="shared" si="3"/>
        <v>7663</v>
      </c>
      <c r="L42" s="1670">
        <f t="shared" si="3"/>
        <v>6624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4735</v>
      </c>
      <c r="F44" s="481"/>
      <c r="G44" s="481"/>
      <c r="H44" s="481"/>
      <c r="I44" s="467"/>
      <c r="J44" s="467"/>
      <c r="K44" s="1672">
        <f>SUM(C44:J44)</f>
        <v>4735</v>
      </c>
      <c r="L44" s="481">
        <v>4045</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v>198</v>
      </c>
      <c r="F46" s="466"/>
      <c r="G46" s="466"/>
      <c r="H46" s="466"/>
      <c r="I46" s="467"/>
      <c r="J46" s="467"/>
      <c r="K46" s="1672">
        <f>SUM(C46:J46)</f>
        <v>198</v>
      </c>
      <c r="L46" s="466">
        <v>198</v>
      </c>
    </row>
    <row r="47" spans="1:14" ht="12.75" customHeight="1" thickBot="1" x14ac:dyDescent="0.25">
      <c r="A47" s="1668" t="s">
        <v>561</v>
      </c>
      <c r="B47" s="1669" t="s">
        <v>32</v>
      </c>
      <c r="C47" s="1670">
        <f>SUM(C44:C46)</f>
        <v>0</v>
      </c>
      <c r="D47" s="1670">
        <f t="shared" ref="D47:K47" si="4">SUM(D44:D46)</f>
        <v>0</v>
      </c>
      <c r="E47" s="1670">
        <f t="shared" si="4"/>
        <v>4933</v>
      </c>
      <c r="F47" s="1670">
        <f t="shared" si="4"/>
        <v>0</v>
      </c>
      <c r="G47" s="1670">
        <f t="shared" si="4"/>
        <v>0</v>
      </c>
      <c r="H47" s="1670">
        <f t="shared" si="4"/>
        <v>0</v>
      </c>
      <c r="I47" s="1670">
        <f t="shared" si="4"/>
        <v>0</v>
      </c>
      <c r="J47" s="1670">
        <f t="shared" si="4"/>
        <v>0</v>
      </c>
      <c r="K47" s="1670">
        <f t="shared" si="4"/>
        <v>4933</v>
      </c>
      <c r="L47" s="1670">
        <f>SUM(L44:L46)</f>
        <v>4243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81650</v>
      </c>
      <c r="D49" s="481">
        <v>5934</v>
      </c>
      <c r="E49" s="481">
        <v>13070</v>
      </c>
      <c r="F49" s="481">
        <v>834</v>
      </c>
      <c r="G49" s="481"/>
      <c r="H49" s="481"/>
      <c r="I49" s="467"/>
      <c r="J49" s="467"/>
      <c r="K49" s="1672">
        <f>SUM(C49:J49)</f>
        <v>101488</v>
      </c>
      <c r="L49" s="481">
        <v>99995</v>
      </c>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81650</v>
      </c>
      <c r="D53" s="1670">
        <f t="shared" ref="D53:L53" si="5">SUM(D49:D52)</f>
        <v>5934</v>
      </c>
      <c r="E53" s="1670">
        <f t="shared" si="5"/>
        <v>13070</v>
      </c>
      <c r="F53" s="1670">
        <f t="shared" si="5"/>
        <v>834</v>
      </c>
      <c r="G53" s="1670">
        <f t="shared" si="5"/>
        <v>0</v>
      </c>
      <c r="H53" s="1670">
        <f t="shared" si="5"/>
        <v>0</v>
      </c>
      <c r="I53" s="1670">
        <f t="shared" si="5"/>
        <v>0</v>
      </c>
      <c r="J53" s="1670">
        <f t="shared" si="5"/>
        <v>0</v>
      </c>
      <c r="K53" s="1670">
        <f t="shared" si="5"/>
        <v>101488</v>
      </c>
      <c r="L53" s="1670">
        <f t="shared" si="5"/>
        <v>99995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v>500</v>
      </c>
      <c r="F60" s="466"/>
      <c r="G60" s="466"/>
      <c r="H60" s="466"/>
      <c r="I60" s="467"/>
      <c r="J60" s="467"/>
      <c r="K60" s="1672">
        <f t="shared" si="7"/>
        <v>500</v>
      </c>
      <c r="L60" s="466">
        <v>500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500</v>
      </c>
      <c r="F65" s="1670">
        <f t="shared" si="8"/>
        <v>0</v>
      </c>
      <c r="G65" s="1670">
        <f t="shared" si="8"/>
        <v>0</v>
      </c>
      <c r="H65" s="1670">
        <f t="shared" si="8"/>
        <v>0</v>
      </c>
      <c r="I65" s="1670">
        <f t="shared" si="8"/>
        <v>0</v>
      </c>
      <c r="J65" s="1670">
        <f t="shared" si="8"/>
        <v>0</v>
      </c>
      <c r="K65" s="1670">
        <f t="shared" si="8"/>
        <v>500</v>
      </c>
      <c r="L65" s="1670">
        <f t="shared" si="8"/>
        <v>500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81650</v>
      </c>
      <c r="D74" s="1677">
        <f t="shared" ref="D74:K74" si="10">SUM(D42,D47,D53,D57,D65,D72,D73)</f>
        <v>5934</v>
      </c>
      <c r="E74" s="1677">
        <f t="shared" si="10"/>
        <v>24937</v>
      </c>
      <c r="F74" s="1677">
        <f t="shared" si="10"/>
        <v>2063</v>
      </c>
      <c r="G74" s="1677">
        <f t="shared" si="10"/>
        <v>0</v>
      </c>
      <c r="H74" s="1677">
        <f t="shared" si="10"/>
        <v>0</v>
      </c>
      <c r="I74" s="1677">
        <f t="shared" si="10"/>
        <v>0</v>
      </c>
      <c r="J74" s="1677">
        <f t="shared" si="10"/>
        <v>0</v>
      </c>
      <c r="K74" s="1677">
        <f t="shared" si="10"/>
        <v>114584</v>
      </c>
      <c r="L74" s="1677">
        <f>SUM(L42,L47,L53,L57,L65,L72,L73)</f>
        <v>111362</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651</v>
      </c>
      <c r="F81" s="616"/>
      <c r="G81" s="616"/>
      <c r="H81" s="466">
        <v>395023</v>
      </c>
      <c r="I81" s="477"/>
      <c r="J81" s="477"/>
      <c r="K81" s="1671">
        <f t="shared" si="11"/>
        <v>395674</v>
      </c>
      <c r="L81" s="466">
        <v>368619</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651</v>
      </c>
      <c r="F84" s="616"/>
      <c r="G84" s="616"/>
      <c r="H84" s="1670">
        <f>SUM(H78:H83)</f>
        <v>395023</v>
      </c>
      <c r="I84" s="477"/>
      <c r="J84" s="477"/>
      <c r="K84" s="1670">
        <f>SUM(K78:K83)</f>
        <v>395674</v>
      </c>
      <c r="L84" s="1670">
        <f>SUM(L78:L83)</f>
        <v>368619</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651</v>
      </c>
      <c r="F102" s="616"/>
      <c r="G102" s="616"/>
      <c r="H102" s="1677">
        <f>SUM(H84,H92,H100,H101)</f>
        <v>395023</v>
      </c>
      <c r="I102" s="477"/>
      <c r="J102" s="477"/>
      <c r="K102" s="1677">
        <f>SUM(K84,K92,K100,K101)</f>
        <v>395674</v>
      </c>
      <c r="L102" s="1677">
        <f>SUM(L84,L92,L100,L101)</f>
        <v>368619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81650</v>
      </c>
      <c r="D114" s="1670">
        <f t="shared" ref="D114:K114" si="13">SUM(D33,D74,D75,D102,D112,D113)</f>
        <v>5934</v>
      </c>
      <c r="E114" s="1670">
        <f t="shared" si="13"/>
        <v>25588</v>
      </c>
      <c r="F114" s="1670">
        <f t="shared" si="13"/>
        <v>5162</v>
      </c>
      <c r="G114" s="1670">
        <f t="shared" si="13"/>
        <v>0</v>
      </c>
      <c r="H114" s="1670">
        <f>SUM(H33,H74,H75,H102,H112,H113)</f>
        <v>395023</v>
      </c>
      <c r="I114" s="1670">
        <f t="shared" si="13"/>
        <v>0</v>
      </c>
      <c r="J114" s="1670">
        <f t="shared" si="13"/>
        <v>0</v>
      </c>
      <c r="K114" s="1670">
        <f t="shared" si="13"/>
        <v>513357</v>
      </c>
      <c r="L114" s="1670">
        <f>SUM(L33,L74,L75,L102,L112,L113)</f>
        <v>485721</v>
      </c>
    </row>
    <row r="115" spans="1:14" ht="13.5" thickTop="1" x14ac:dyDescent="0.2">
      <c r="A115" s="2153" t="s">
        <v>996</v>
      </c>
      <c r="B115" s="2154"/>
      <c r="C115" s="618"/>
      <c r="D115" s="618"/>
      <c r="E115" s="618"/>
      <c r="F115" s="618"/>
      <c r="G115" s="618"/>
      <c r="H115" s="618"/>
      <c r="I115" s="618"/>
      <c r="J115" s="618"/>
      <c r="K115" s="1684">
        <f>'Revenues 9-14'!C268-'Expenditures 15-22'!K114</f>
        <v>-3991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3" t="s">
        <v>1178</v>
      </c>
      <c r="B152" s="2174"/>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3" t="s">
        <v>996</v>
      </c>
      <c r="B175" s="2154"/>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3" t="s">
        <v>996</v>
      </c>
      <c r="B211" s="2154"/>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3" t="s">
        <v>996</v>
      </c>
      <c r="B296" s="2154"/>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6" t="s">
        <v>996</v>
      </c>
      <c r="B343" s="216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3" t="s">
        <v>996</v>
      </c>
      <c r="B368" s="2154"/>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d21dc803-237d-4c68-8692-8d731fd29118"/>
    <ds:schemaRef ds:uri="http://www.w3.org/XML/1998/namespace"/>
    <ds:schemaRef ds:uri="6ce3111e-7420-4802-b50a-75d4e9a0b980"/>
    <ds:schemaRef ds:uri="http://schemas.microsoft.com/office/2006/metadata/properties"/>
    <ds:schemaRef ds:uri="http://purl.org/dc/terms/"/>
    <ds:schemaRef ds:uri="http://purl.org/dc/elements/1.1/"/>
    <ds:schemaRef ds:uri="http://schemas.microsoft.com/office/infopath/2007/PartnerControls"/>
    <ds:schemaRef ds:uri="http://schemas.openxmlformats.org/package/2006/metadata/core-properties"/>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HEMBERGER MICHELLE</cp:lastModifiedBy>
  <cp:lastPrinted>2019-10-23T16:44:42Z</cp:lastPrinted>
  <dcterms:created xsi:type="dcterms:W3CDTF">2003-10-29T19:06:34Z</dcterms:created>
  <dcterms:modified xsi:type="dcterms:W3CDTF">2019-11-25T17:24:55Z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