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6E6A89B6-926B-4B9F-A6E9-6C0B097A43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L367" i="29"/>
  <c r="K184" i="29"/>
  <c r="F13" i="4" s="1"/>
  <c r="B2596" i="106" s="1"/>
  <c r="D2596" i="106" s="1"/>
  <c r="G210" i="29"/>
  <c r="G15" i="145"/>
  <c r="D54" i="3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L114" i="29" s="1"/>
  <c r="K33" i="29"/>
  <c r="B720" i="106"/>
  <c r="D720"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1" i="108" l="1"/>
  <c r="E43" i="108" s="1"/>
  <c r="B1365" i="106"/>
  <c r="D1365" i="106" s="1"/>
  <c r="F65" i="34"/>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<sst xmlns="http://schemas.openxmlformats.org/spreadsheetml/2006/main" count="5053" uniqueCount="2089">
  <si>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</si>
  <si>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</si>
  <si>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</si>
  <si>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</si>
  <si>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</si>
  <si>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</si>
  <si>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</si>
  <si>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</si>
  <si>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</si>
  <si>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</si>
  <si>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</si>
  <si>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</si>
  <si>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</si>
  <si>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</si>
  <si>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</si>
  <si>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</si>
  <si>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</si>
  <si>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</si>
  <si>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</si>
  <si>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</si>
  <si>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</si>
  <si>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</si>
  <si>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</si>
  <si>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</si>
  <si>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</si>
  <si>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</si>
  <si>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</si>
  <si>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</si>
  <si>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</si>
  <si>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</si>
  <si>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</si>
  <si>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</si>
  <si>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</si>
  <si>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</si>
  <si>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</si>
  <si>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</si>
  <si>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</si>
  <si>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</si>
  <si>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</si>
  <si>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</si>
  <si>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</si>
  <si>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</si>
  <si>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</si>
  <si>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</si>
  <si>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</si>
  <si>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</si>
  <si>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</si>
  <si>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</si>
  <si>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</si>
  <si>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</si>
  <si>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</si>
  <si>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</si>
  <si>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</si>
  <si>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</si>
  <si>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</si>
  <si>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</si>
  <si>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</si>
  <si>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</si>
  <si>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</si>
  <si>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</si>
  <si>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</si>
  <si>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</si>
  <si>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</si>
  <si>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</si>
  <si>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</si>
  <si>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</si>
  <si>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</si>
  <si>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</si>
  <si>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</si>
  <si>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</si>
  <si>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</si>
  <si>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</si>
  <si>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</si>
  <si>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</si>
  <si>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</si>
  <si>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</si>
  <si>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</si>
  <si>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</si>
  <si>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</si>
  <si>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</si>
  <si>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</si>
  <si>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</si>
  <si>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</si>
  <si>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</si>
  <si>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</si>
  <si>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</si>
  <si>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</si>
  <si>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</si>
  <si>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</si>
  <si>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</si>
  <si>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</si>
  <si>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</si>
  <si>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</si>
  <si>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</si>
  <si>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</si>
  <si>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</si>
  <si>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</si>
  <si>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</si>
  <si>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</si>
  <si>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</si>
  <si>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</si>
  <si>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</si>
  <si>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</si>
  <si>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</si>
  <si>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</si>
  <si>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</si>
  <si>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</si>
  <si>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</si>
  <si>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</si>
  <si>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</si>
  <si>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</si>
  <si>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</si>
  <si>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</si>
  <si>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</si>
  <si>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</si>
  <si>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</si>
  <si>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</si>
  <si>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</si>
  <si>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</si>
  <si>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</si>
  <si>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</si>
  <si>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</si>
  <si>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</si>
  <si>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</si>
  <si>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</si>
  <si>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</si>
  <si>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</si>
  <si>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</si>
  <si>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</si>
  <si>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</si>
  <si>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</si>
  <si>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</si>
  <si>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</si>
  <si>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</si>
  <si>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</si>
  <si>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</si>
  <si>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</si>
  <si>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</si>
  <si>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</si>
  <si>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</si>
  <si>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</si>
  <si>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</si>
  <si>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</si>
  <si>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</si>
  <si>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</si>
  <si>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</si>
  <si>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</si>
  <si>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</si>
  <si>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</si>
  <si>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</si>
  <si>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</si>
  <si>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</si>
  <si>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</si>
  <si>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</si>
  <si>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</si>
  <si>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</si>
  <si>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</si>
  <si>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</si>
  <si>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</si>
  <si>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</si>
  <si>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</si>
  <si>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</si>
  <si>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</si>
  <si>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</si>
  <si>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</si>
  <si>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</si>
  <si>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</si>
  <si>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</si>
  <si>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</si>
  <si>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</si>
  <si>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</si>
  <si>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</si>
  <si>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</si>
  <si>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</si>
  <si>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</si>
  <si>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</si>
  <si>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</si>
  <si>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</si>
  <si>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</si>
  <si>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</si>
  <si>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</si>
  <si>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</si>
  <si>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</si>
  <si>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</si>
  <si>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</si>
  <si>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</si>
  <si>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</si>
  <si>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</si>
  <si>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</si>
  <si>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</si>
  <si>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</si>
  <si>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</si>
  <si>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</si>
  <si>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</si>
  <si>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</si>
  <si>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</si>
  <si>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</si>
  <si>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</si>
  <si>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</si>
  <si>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</si>
  <si>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</si>
  <si>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</si>
  <si>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</si>
  <si>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</si>
  <si>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</si>
  <si>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</si>
  <si>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</si>
  <si>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</si>
  <si>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</si>
  <si>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</si>
  <si>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</si>
  <si>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</si>
  <si>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</si>
  <si>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</si>
  <si>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</si>
  <si>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</si>
  <si>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</si>
  <si>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</si>
  <si>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</si>
  <si>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</si>
  <si>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</si>
  <si>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</si>
  <si>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</si>
  <si>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</si>
  <si>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</si>
  <si>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</si>
  <si>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</si>
  <si>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</si>
  <si>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</si>
  <si>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</si>
  <si>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</si>
  <si>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</si>
  <si>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</si>
  <si>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</si>
  <si>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</si>
  <si>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</si>
  <si>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</si>
  <si>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</si>
  <si>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</si>
  <si>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</si>
  <si>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</si>
  <si>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</si>
  <si>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</si>
  <si>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</si>
  <si>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</si>
  <si>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</si>
  <si>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</si>
  <si>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</si>
  <si>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</si>
  <si>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</si>
  <si>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</si>
  <si>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</si>
  <si>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</si>
  <si>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</si>
  <si>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</si>
  <si>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</si>
  <si>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</si>
  <si>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</si>
  <si>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</si>
  <si>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</si>
  <si>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</si>
  <si>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</si>
  <si>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</si>
  <si>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</si>
  <si>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</si>
  <si>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</si>
  <si>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</si>
  <si>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</si>
  <si>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</si>
  <si>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</si>
  <si>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</si>
  <si>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</si>
  <si>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</si>
  <si>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</si>
  <si>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</si>
  <si>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</si>
  <si>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</si>
  <si>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</si>
  <si>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</si>
  <si>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</si>
  <si>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</si>
  <si>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</si>
  <si>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</si>
  <si>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</si>
  <si>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</si>
  <si>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</si>
  <si>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</si>
  <si>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</si>
  <si>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</si>
  <si>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</si>
  <si>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</si>
  <si>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</si>
  <si>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</si>
  <si>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</si>
  <si>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</si>
  <si>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</si>
  <si>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</si>
  <si>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</si>
  <si>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</si>
  <si>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</si>
  <si>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</si>
  <si>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</si>
  <si>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</si>
  <si>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</si>
  <si>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</si>
  <si>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</si>
  <si>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</si>
  <si>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</si>
  <si>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</si>
  <si>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</si>
  <si>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</si>
  <si>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</si>
  <si>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</si>
  <si>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</si>
  <si>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</si>
  <si>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</si>
  <si>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</si>
  <si>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</si>
  <si>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</si>
  <si>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</si>
  <si>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</si>
  <si>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</si>
  <si>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</si>
  <si>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</si>
  <si>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</si>
  <si>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</si>
  <si>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</si>
  <si>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</si>
  <si>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</si>
  <si>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</si>
  <si>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</si>
  <si>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</si>
  <si>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</si>
  <si>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</si>
  <si>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</si>
  <si>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</si>
  <si>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</si>
  <si>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</si>
  <si>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</si>
  <si>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</si>
  <si>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</si>
  <si>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</si>
  <si>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</si>
  <si>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</si>
  <si>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</si>
  <si>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</si>
  <si>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</si>
  <si>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</si>
  <si>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</si>
  <si>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</si>
  <si>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</si>
  <si>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</si>
  <si>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</si>
  <si>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</si>
  <si>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</si>
  <si>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</si>
  <si>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</si>
  <si>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</si>
  <si>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</si>
  <si>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</si>
  <si>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</si>
  <si>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</si>
  <si>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</si>
  <si>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</si>
  <si>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</si>
  <si>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</si>
  <si>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</si>
  <si>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</si>
  <si>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</si>
  <si>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</si>
  <si>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</si>
  <si>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</si>
  <si>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</si>
  <si>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</si>
  <si>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</si>
  <si>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</si>
  <si>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</si>
  <si>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</si>
  <si>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</si>
  <si>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</si>
  <si>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</si>
  <si>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</si>
  <si>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</si>
  <si>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</si>
  <si>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</si>
  <si>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</si>
  <si>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</si>
  <si>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</si>
  <si>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</si>
  <si>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</si>
  <si>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</si>
  <si>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</si>
  <si>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</si>
  <si>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</si>
  <si>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</si>
  <si>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</si>
  <si>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</si>
  <si>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</si>
  <si>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</si>
  <si>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</si>
  <si>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</si>
  <si>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</si>
  <si>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</si>
  <si>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</si>
  <si>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</si>
  <si>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</si>
  <si>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</si>
  <si>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</si>
  <si>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</si>
  <si>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</si>
  <si>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</si>
  <si>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</si>
  <si>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</si>
  <si>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</si>
  <si>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</si>
  <si>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</si>
  <si>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</si>
  <si>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</si>
  <si>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</si>
  <si>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</si>
  <si>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</si>
  <si>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</si>
  <si>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</si>
  <si>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</si>
  <si>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</si>
  <si>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</si>
  <si>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</si>
  <si>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</si>
  <si>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</si>
  <si>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</si>
  <si>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</si>
  <si>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</si>
  <si>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</si>
  <si>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</si>
  <si>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</si>
  <si>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</si>
  <si>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</si>
  <si>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</si>
  <si>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</si>
  <si>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</si>
  <si>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</si>
  <si>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</si>
  <si>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</si>
  <si>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</si>
  <si>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</si>
  <si>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</si>
  <si>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</si>
  <si>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</si>
  <si>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</si>
  <si>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</si>
  <si>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</si>
  <si>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</si>
  <si>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</si>
  <si>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</si>
  <si>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</si>
  <si>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</si>
  <si>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</si>
  <si>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</si>
  <si>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</si>
  <si>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</si>
  <si>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</si>
  <si>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</si>
  <si>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</si>
  <si>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</si>
  <si>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</si>
  <si>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</si>
  <si>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</si>
  <si>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</si>
  <si>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</si>
  <si>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</si>
  <si>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</si>
  <si>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</si>
  <si>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</si>
  <si>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</si>
  <si>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</si>
  <si>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</si>
  <si>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</si>
  <si>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</si>
  <si>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</si>
  <si>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</si>
  <si>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</si>
  <si>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</si>
  <si>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</si>
  <si>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</si>
  <si>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</si>
  <si>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</si>
  <si>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</si>
  <si>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</si>
  <si>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</si>
  <si>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</si>
  <si>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</si>
  <si>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</si>
  <si>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</si>
  <si>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</si>
  <si>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</si>
  <si>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</si>
  <si>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</si>
  <si>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</si>
  <si>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</si>
  <si>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</si>
  <si>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</si>
  <si>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</si>
  <si>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</si>
  <si>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</si>
  <si>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</si>
  <si>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</si>
  <si>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</si>
  <si>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</si>
  <si>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</si>
  <si>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</si>
  <si>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</si>
  <si>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</si>
  <si>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</si>
  <si>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</si>
  <si>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</si>
  <si>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</si>
  <si>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</si>
  <si>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</si>
  <si>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</si>
  <si>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</si>
  <si>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</si>
  <si>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</si>
  <si>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</si>
  <si>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</si>
  <si>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</si>
  <si>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</si>
  <si>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</si>
  <si>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</si>
  <si>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</si>
  <si>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</si>
  <si>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</si>
  <si>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</si>
  <si>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</si>
  <si>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</si>
  <si>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</si>
  <si>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</si>
  <si>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</si>
  <si>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</si>
  <si>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</si>
  <si>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</si>
  <si>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</si>
  <si>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</si>
  <si>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</si>
  <si>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</si>
  <si>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</si>
  <si>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</si>
  <si>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</si>
  <si>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</si>
  <si>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</si>
  <si>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</si>
  <si>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</si>
  <si>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</si>
  <si>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</si>
  <si>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</si>
  <si>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</si>
  <si>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</si>
  <si>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</si>
  <si>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</si>
  <si>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</si>
  <si>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</si>
  <si>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</si>
  <si>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</si>
  <si>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</si>
  <si>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</si>
  <si>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</si>
  <si>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</si>
  <si>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</si>
  <si>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</si>
  <si>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</si>
  <si>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</si>
  <si>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</si>
  <si>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</si>
  <si>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</si>
  <si>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</si>
  <si>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</si>
  <si>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</si>
  <si>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</si>
  <si>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</si>
  <si>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</si>
  <si>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</si>
  <si>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</si>
  <si>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</si>
  <si>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</si>
  <si>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</si>
  <si>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</si>
  <si>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</si>
  <si>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</si>
  <si>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</si>
  <si>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</si>
  <si>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</si>
  <si>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</si>
  <si>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</si>
  <si>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</si>
  <si>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</si>
  <si>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</si>
  <si>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</si>
  <si>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</si>
  <si>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</si>
  <si>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</si>
  <si>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</si>
  <si>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</si>
  <si>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</si>
  <si>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</si>
  <si>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</si>
  <si>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</si>
  <si>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</si>
  <si>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</si>
  <si>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</si>
  <si>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</si>
  <si>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</si>
  <si>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</si>
  <si>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</si>
  <si>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</si>
  <si>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</si>
  <si>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</si>
  <si>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</si>
  <si>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</si>
  <si>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</si>
  <si>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</si>
  <si>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</si>
  <si>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</si>
  <si>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</si>
  <si>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</si>
  <si>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</si>
  <si>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</si>
  <si>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</si>
  <si>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</si>
  <si>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</si>
  <si>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</si>
  <si>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</si>
  <si>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</si>
  <si>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</si>
  <si>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</si>
  <si>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</si>
  <si>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</si>
  <si>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</si>
  <si>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</si>
  <si>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</si>
  <si>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</si>
  <si>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</si>
  <si>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</si>
  <si>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</si>
  <si>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</si>
  <si>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</si>
  <si>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</si>
  <si>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</si>
  <si>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</si>
  <si>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</si>
  <si>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</si>
  <si>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</si>
  <si>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</si>
  <si>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</si>
  <si>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</si>
  <si>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</si>
  <si>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</si>
  <si>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</si>
  <si>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</si>
  <si>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</si>
  <si>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</si>
  <si>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</si>
  <si>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</si>
  <si>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</si>
  <si>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</si>
  <si>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</si>
  <si>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</si>
  <si>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</si>
  <si>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</si>
  <si>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</si>
  <si>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</si>
  <si>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</si>
  <si>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</si>
  <si>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</si>
  <si>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</si>
  <si>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</si>
  <si>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</si>
  <si>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</si>
  <si>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</si>
  <si>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</si>
  <si>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</si>
  <si>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</si>
  <si>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</si>
  <si>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</si>
  <si>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</si>
  <si>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</si>
  <si>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</si>
  <si>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</si>
  <si>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</si>
  <si>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</si>
  <si>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</si>
  <si>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</si>
  <si>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</si>
  <si>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</si>
  <si>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</si>
  <si>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</si>
  <si>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</si>
  <si>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</si>
  <si>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</si>
  <si>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</si>
  <si>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</si>
  <si>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</si>
  <si>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</si>
  <si>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</si>
  <si>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</si>
  <si>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</si>
  <si>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</si>
  <si>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</si>
  <si>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</si>
  <si>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</si>
  <si>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</si>
  <si>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</si>
  <si>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</si>
  <si>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</si>
  <si>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</si>
  <si>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</si>
  <si>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</si>
  <si>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</si>
  <si>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</si>
  <si>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</si>
  <si>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</si>
  <si>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</si>
  <si>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</si>
  <si>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</si>
  <si>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</si>
  <si>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</si>
  <si>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</si>
  <si>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</si>
  <si>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</si>
  <si>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</si>
  <si>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</si>
  <si>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</si>
  <si>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</si>
  <si>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</si>
  <si>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</si>
  <si>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</si>
  <si>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</si>
  <si>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</si>
  <si>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</si>
  <si>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</si>
  <si>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</si>
  <si>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</si>
  <si>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</si>
  <si>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</si>
  <si>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</si>
  <si>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</si>
  <si>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</si>
  <si>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</si>
  <si>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</si>
  <si>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</si>
  <si>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</si>
  <si>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</si>
  <si>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</si>
  <si>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</si>
  <si>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</si>
  <si>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</si>
  <si>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</si>
  <si>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</si>
  <si>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</si>
  <si>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</si>
  <si>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</si>
  <si>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</si>
  <si>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</si>
  <si>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</si>
  <si>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</si>
  <si>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</si>
  <si>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</si>
  <si>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</si>
  <si>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</si>
  <si>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</si>
  <si>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</si>
  <si>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</si>
  <si>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</si>
  <si>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</si>
  <si>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</si>
  <si>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</si>
  <si>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</si>
  <si>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</si>
  <si>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</si>
  <si>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</si>
  <si>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</si>
  <si>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</si>
  <si>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</si>
  <si>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</si>
  <si>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</si>
  <si>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</si>
  <si>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</si>
  <si>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</si>
  <si>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</si>
  <si>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</si>
  <si>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</si>
  <si>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</si>
  <si>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</si>
  <si>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</si>
  <si>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</si>
  <si>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</si>
  <si>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</si>
  <si>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</si>
  <si>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</si>
  <si>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</si>
  <si>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</si>
  <si>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</si>
  <si>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</si>
  <si>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</si>
  <si>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</si>
  <si>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</si>
  <si>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</si>
  <si>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</si>
  <si>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</si>
  <si>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</si>
  <si>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</si>
  <si>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</si>
  <si>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</si>
  <si>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</si>
  <si>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</si>
  <si>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</si>
  <si>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</si>
  <si>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</si>
  <si>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</si>
  <si>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</si>
  <si>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</si>
  <si>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</si>
  <si>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</si>
  <si>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</si>
  <si>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</si>
  <si>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</si>
  <si>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</si>
  <si>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</si>
  <si>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</si>
  <si>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</si>
  <si>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</si>
  <si>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</si>
  <si>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</si>
  <si>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</si>
  <si>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</si>
  <si>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</si>
  <si>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</si>
  <si>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</si>
  <si>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</si>
  <si>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</si>
  <si>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</si>
  <si>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</si>
  <si>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</si>
  <si>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</si>
  <si>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</si>
  <si>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</si>
  <si>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</si>
  <si>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</si>
  <si>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</si>
  <si>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</si>
  <si>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</si>
  <si>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</si>
  <si>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</si>
  <si>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</si>
  <si>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</si>
  <si>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</si>
  <si>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</si>
  <si>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</si>
  <si>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</si>
  <si>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</si>
  <si>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</si>
  <si>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</si>
  <si>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</si>
  <si>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</si>
  <si>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</si>
  <si>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</si>
  <si>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</si>
  <si>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</si>
  <si>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</si>
  <si>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</si>
  <si>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</si>
  <si>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</si>
  <si>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</si>
  <si>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</si>
  <si>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</si>
  <si>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</si>
  <si>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</si>
  <si>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</si>
  <si>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</si>
  <si>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</si>
  <si>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</si>
  <si>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</si>
  <si>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</si>
  <si>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</si>
  <si>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</si>
  <si>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</si>
  <si>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</si>
  <si>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</si>
  <si>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</si>
  <si>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</si>
  <si>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</si>
  <si>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</si>
  <si>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</si>
  <si>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</si>
  <si>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</si>
  <si>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</si>
  <si>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</si>
  <si>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</si>
  <si>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</si>
  <si>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</si>
  <si>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</si>
  <si>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</si>
  <si>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</si>
  <si>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</si>
  <si>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</si>
  <si>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</si>
  <si>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</si>
  <si>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</si>
  <si>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</si>
  <si>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</si>
  <si>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</si>
  <si>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</si>
  <si>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</si>
  <si>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</si>
  <si>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</si>
  <si>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</si>
  <si>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</si>
  <si>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</si>
  <si>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</si>
  <si>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</si>
  <si>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</si>
  <si>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</si>
  <si>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</si>
  <si>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</si>
  <si>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</si>
  <si>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</si>
  <si>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</si>
  <si>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</si>
  <si>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</si>
  <si>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</si>
  <si>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</si>
  <si>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</si>
  <si>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</si>
  <si>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</si>
  <si>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</si>
  <si>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</si>
  <si>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</si>
  <si>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</si>
  <si>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</si>
  <si>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</si>
  <si>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</si>
  <si>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</si>
  <si>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</si>
  <si>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</si>
  <si>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</si>
  <si>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</si>
  <si>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</si>
  <si>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</si>
  <si>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</si>
  <si>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</si>
  <si>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</si>
  <si>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</si>
  <si>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</si>
  <si>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</si>
  <si>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</si>
  <si>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</si>
  <si>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</si>
  <si>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</si>
  <si>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</si>
  <si>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</si>
  <si>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</si>
  <si>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</si>
  <si>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</si>
  <si>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</si>
  <si>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</si>
  <si>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</si>
  <si>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</si>
  <si>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</si>
  <si>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</si>
  <si>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</si>
  <si>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</si>
  <si>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</si>
  <si>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</si>
  <si>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</si>
  <si>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</si>
  <si>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</si>
  <si>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</si>
  <si>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</si>
  <si>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</si>
  <si>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</si>
  <si>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</si>
  <si>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</si>
  <si>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</si>
  <si>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</si>
  <si>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</si>
  <si>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</si>
  <si>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</si>
  <si>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</si>
  <si>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</si>
  <si>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</si>
  <si>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</si>
  <si>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</si>
  <si>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</si>
  <si>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</si>
  <si>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</si>
  <si>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</si>
  <si>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</si>
  <si>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</si>
  <si>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</si>
  <si>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</si>
  <si>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</si>
  <si>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</si>
  <si>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</si>
  <si>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</si>
  <si>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</si>
  <si>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</si>
  <si>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</si>
  <si>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</si>
  <si>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</si>
  <si>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</si>
  <si>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</si>
  <si>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</si>
  <si>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</si>
  <si>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</si>
  <si>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</si>
  <si>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</si>
  <si>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</si>
  <si>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</si>
  <si>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</si>
  <si>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</si>
  <si>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</si>
  <si>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</si>
  <si>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</si>
  <si>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</si>
  <si>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</si>
  <si>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</si>
  <si>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</si>
  <si>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</si>
  <si>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</si>
  <si>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</si>
  <si>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</si>
  <si>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</si>
  <si>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</si>
  <si>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</si>
  <si>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</si>
  <si>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</si>
  <si>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</si>
  <si>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</si>
  <si>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</si>
  <si>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</si>
  <si>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</si>
  <si>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</si>
  <si>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</si>
  <si>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</si>
  <si>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</si>
  <si>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</si>
  <si>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</si>
  <si>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</si>
  <si>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</si>
  <si>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</si>
  <si>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</si>
  <si>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</si>
  <si>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</si>
  <si>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</si>
  <si>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</si>
  <si>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</si>
  <si>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</si>
  <si>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</si>
  <si>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</si>
  <si>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</si>
  <si>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</si>
  <si>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</si>
  <si>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</si>
  <si>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</si>
  <si>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</si>
  <si>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</si>
  <si>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</si>
  <si>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</si>
  <si>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</si>
  <si>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</si>
  <si>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</si>
  <si>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</si>
  <si>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</si>
  <si>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</si>
  <si>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</si>
  <si>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</si>
  <si>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</si>
  <si>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</si>
  <si>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</si>
  <si>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</si>
  <si>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</si>
  <si>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</si>
  <si>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</si>
  <si>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</si>
  <si>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</si>
  <si>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</si>
  <si>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</si>
  <si>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</si>
  <si>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</si>
  <si>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</si>
  <si>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</si>
  <si>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</si>
  <si>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</si>
  <si>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</si>
  <si>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</si>
  <si>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</si>
  <si>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</si>
  <si>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</si>
  <si>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</si>
  <si>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</si>
  <si>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</si>
  <si>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</si>
  <si>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</si>
  <si>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</si>
  <si>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</si>
  <si>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</si>
  <si>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</si>
  <si>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</si>
  <si>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</si>
  <si>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</si>
  <si>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</si>
  <si>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</si>
  <si>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</si>
  <si>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</si>
  <si>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</si>
  <si>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</si>
  <si>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</si>
  <si>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</si>
  <si>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</si>
  <si>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</si>
  <si>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</si>
  <si>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</si>
  <si>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</si>
  <si>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</si>
  <si>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</si>
  <si>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</si>
  <si>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</si>
  <si>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</si>
  <si>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</si>
  <si>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</si>
  <si>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</si>
  <si>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</si>
  <si>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</si>
  <si>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</si>
  <si>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</si>
  <si>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</si>
  <si>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</si>
  <si>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</si>
  <si>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</si>
  <si>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</si>
  <si>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</si>
  <si>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</si>
  <si>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</si>
  <si>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</si>
  <si>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</si>
  <si>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</si>
  <si>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</si>
  <si>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</si>
  <si>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</si>
  <si>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</si>
  <si>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</si>
  <si>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</si>
  <si>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</si>
  <si>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</si>
  <si>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</si>
  <si>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</si>
  <si>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</si>
  <si>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</si>
  <si>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</si>
  <si>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</si>
  <si>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</si>
  <si>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</si>
  <si>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</si>
  <si>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</si>
  <si>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</si>
  <si>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</si>
  <si>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</si>
  <si>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</si>
  <si>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</si>
  <si>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</si>
  <si>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</si>
  <si>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</si>
  <si>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</si>
  <si>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</si>
  <si>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</si>
  <si>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</si>
  <si>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</si>
  <si>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</si>
  <si>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</si>
  <si>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</si>
  <si>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</si>
  <si>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</si>
  <si>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</si>
  <si>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</si>
  <si>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</si>
  <si>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</si>
  <si>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</si>
  <si>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</si>
  <si>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</si>
  <si>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</si>
  <si>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</si>
  <si>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</si>
  <si>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</si>
  <si>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</si>
  <si>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</si>
  <si>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</si>
  <si>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</si>
  <si>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</si>
  <si>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</si>
  <si>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</si>
  <si>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</si>
  <si>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</si>
  <si>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</si>
  <si>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</si>
  <si>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</si>
  <si>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</si>
  <si>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</si>
  <si>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</si>
  <si>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</si>
  <si>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</si>
  <si>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</si>
  <si>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</si>
  <si>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</si>
  <si>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</si>
  <si>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</si>
  <si>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</si>
  <si>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</si>
  <si>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</si>
  <si>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</si>
  <si>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</si>
  <si>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</si>
  <si>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</si>
  <si>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</si>
  <si>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</si>
  <si>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</si>
  <si>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</si>
  <si>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</si>
  <si>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</si>
  <si>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</si>
  <si>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</si>
  <si>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</si>
  <si>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</si>
  <si>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</si>
  <si>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</si>
  <si>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</si>
  <si>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</si>
  <si>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</si>
  <si>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</si>
  <si>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</si>
  <si>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</si>
  <si>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</si>
  <si>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</si>
  <si>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</si>
  <si>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</si>
  <si>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</si>
  <si>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</si>
  <si>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</si>
  <si>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</si>
  <si>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</si>
  <si>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</si>
  <si>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</si>
  <si>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</si>
  <si>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</si>
  <si>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</si>
  <si>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</si>
  <si>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</si>
  <si>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</si>
  <si>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</si>
  <si>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</si>
  <si>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</si>
  <si>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</si>
  <si>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</si>
  <si>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</si>
  <si>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</si>
  <si>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</si>
  <si>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</si>
  <si>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</si>
  <si>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</si>
  <si>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</si>
  <si>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</si>
  <si>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</si>
  <si>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</si>
  <si>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</si>
  <si>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</si>
  <si>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</si>
  <si>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</si>
  <si>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</si>
  <si>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</si>
  <si>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</si>
  <si>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</si>
  <si>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</si>
  <si>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</si>
  <si>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</si>
  <si>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</si>
  <si>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</si>
  <si>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</si>
  <si>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</si>
  <si>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</si>
  <si>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</si>
  <si>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</si>
  <si>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</si>
  <si>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</si>
  <si>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</si>
  <si>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</si>
  <si>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</si>
  <si>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</si>
  <si>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</si>
  <si>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</si>
  <si>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</si>
  <si>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</si>
  <si>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</si>
  <si>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</si>
  <si>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</si>
  <si>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</si>
  <si>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</si>
  <si>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</si>
  <si>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</si>
  <si>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</si>
  <si>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</si>
  <si>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</si>
  <si>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</si>
  <si>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</si>
  <si>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</si>
  <si>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</si>
  <si>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</si>
  <si>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</si>
  <si>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</si>
  <si>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</si>
  <si>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</si>
  <si>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</si>
  <si>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</si>
  <si>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</si>
  <si>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</si>
  <si>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</si>
  <si>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</si>
  <si>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</si>
  <si>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</si>
  <si>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</si>
  <si>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</si>
  <si>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</si>
  <si>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</si>
  <si>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</si>
  <si>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</si>
  <si>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</si>
  <si>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</si>
  <si>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</si>
  <si>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</si>
  <si>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</si>
  <si>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</si>
  <si>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</si>
  <si>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</si>
  <si>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</si>
  <si>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</si>
  <si>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</si>
  <si>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</si>
  <si>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</si>
  <si>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</si>
  <si>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</si>
  <si>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</si>
  <si>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</si>
  <si>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</si>
  <si>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</si>
  <si>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</si>
  <si>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</si>
  <si>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</si>
  <si>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</si>
  <si>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</si>
  <si>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</si>
  <si>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</si>
  <si>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</si>
  <si>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</si>
  <si>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</si>
  <si>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</si>
  <si>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</si>
  <si>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</si>
  <si>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</si>
  <si>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</si>
  <si>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</si>
  <si>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</si>
  <si>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</si>
  <si>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</si>
  <si>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</si>
  <si>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</si>
  <si>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</si>
  <si>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</si>
  <si>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</si>
  <si>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</si>
  <si>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</si>
  <si>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</si>
  <si>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</si>
  <si>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</si>
  <si>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</si>
  <si>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</si>
  <si>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</si>
  <si>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</si>
  <si>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</si>
  <si>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</si>
  <si>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</si>
  <si>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</si>
  <si>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</si>
  <si>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</si>
  <si>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</si>
  <si>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</si>
  <si>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</si>
  <si>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</si>
  <si>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</si>
  <si>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</si>
  <si>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</si>
  <si>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</si>
  <si>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</si>
  <si>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</si>
  <si>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</si>
  <si>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</si>
  <si>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</si>
  <si>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</si>
  <si>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</si>
  <si>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</si>
  <si>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</si>
  <si>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</si>
  <si>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</si>
  <si>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</si>
  <si>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</si>
  <si>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</si>
  <si>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</si>
  <si>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</si>
  <si>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</si>
  <si>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</si>
  <si>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</si>
  <si>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</si>
  <si>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</si>
  <si>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</si>
  <si>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</si>
  <si>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</si>
  <si>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</si>
  <si>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</si>
  <si>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</si>
  <si>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</si>
  <si>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</si>
  <si>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</si>
  <si>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</si>
  <si>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</si>
  <si>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</si>
  <si>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</si>
  <si>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</si>
  <si>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</si>
  <si>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</si>
  <si>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</si>
  <si>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</si>
  <si>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</si>
  <si>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</si>
  <si>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</si>
  <si>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</si>
  <si>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</si>
  <si>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</si>
  <si>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</si>
  <si>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</si>
  <si>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</si>
  <si>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</si>
  <si>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</si>
  <si>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</si>
  <si>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</si>
  <si>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</si>
  <si>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</si>
  <si>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</si>
  <si>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</si>
  <si>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</si>
  <si>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</si>
  <si>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</si>
  <si>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</si>
  <si>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</si>
  <si>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</si>
  <si>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</si>
  <si>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</si>
  <si>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</si>
  <si>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</si>
  <si>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</si>
  <si>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</si>
  <si>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</si>
  <si>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</si>
  <si>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</si>
  <si>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</si>
  <si>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</si>
  <si>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</si>
  <si>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</si>
  <si>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</si>
  <si>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</si>
  <si>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</si>
  <si>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</si>
  <si>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</si>
  <si>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</si>
  <si>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</si>
  <si>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</si>
  <si>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</si>
  <si>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</si>
  <si>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</si>
  <si>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</si>
  <si>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</si>
  <si>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</si>
  <si>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</si>
  <si>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</si>
  <si>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</si>
  <si>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</si>
  <si>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</si>
  <si>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</si>
  <si>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</si>
  <si>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</si>
  <si>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</si>
  <si>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</si>
  <si>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</si>
  <si>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</si>
  <si>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</si>
  <si>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</si>
  <si>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</si>
  <si>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</si>
  <si>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</si>
  <si>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</si>
  <si>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</si>
  <si>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</si>
  <si>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</si>
  <si>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</si>
  <si>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</si>
  <si>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</si>
  <si>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</si>
  <si>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</si>
  <si>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</si>
  <si>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</si>
  <si>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</si>
  <si>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</si>
  <si>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</si>
  <si>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</si>
  <si>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</si>
  <si>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</si>
  <si>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</si>
  <si>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</si>
  <si>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</si>
  <si>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</si>
  <si>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</si>
  <si>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</si>
  <si>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</si>
  <si>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</si>
  <si>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</si>
  <si>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</si>
  <si>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</si>
  <si>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</si>
  <si>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</si>
  <si>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</si>
  <si>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</si>
  <si>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</si>
  <si>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</si>
  <si>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</si>
  <si>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</si>
  <si>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</si>
  <si>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</si>
  <si>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</si>
  <si>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</si>
  <si>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</si>
  <si>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</si>
  <si>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</si>
  <si>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</si>
  <si>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</si>
  <si>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</si>
  <si>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</si>
  <si>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</si>
  <si>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</si>
  <si>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</si>
  <si>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</si>
  <si>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</si>
  <si>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</si>
  <si>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</si>
  <si>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</si>
  <si>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</si>
  <si>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</si>
  <si>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</si>
  <si>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</si>
  <si>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</si>
  <si>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</si>
  <si>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</si>
  <si>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</si>
  <si>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</si>
  <si>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</si>
  <si>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</si>
  <si>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</si>
  <si>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</si>
  <si>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</si>
  <si>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</si>
  <si>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</si>
  <si>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</si>
  <si>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</si>
  <si>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</si>
  <si>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</si>
  <si>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</si>
  <si>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</si>
  <si>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</si>
  <si>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</si>
  <si>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</si>
  <si>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</si>
  <si>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</si>
  <si>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</si>
  <si>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</si>
  <si>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</si>
  <si>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</si>
  <si>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</si>
  <si>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</si>
  <si>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</si>
  <si>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</si>
  <si>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</si>
  <si>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</si>
  <si>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</si>
  <si>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</si>
  <si>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</si>
  <si>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</si>
  <si>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</si>
  <si>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</si>
  <si>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</si>
  <si>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</si>
  <si>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</si>
  <si>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</si>
  <si>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</si>
  <si>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</si>
  <si>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</si>
  <si>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</si>
  <si>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</si>
  <si>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</si>
  <si>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</si>
  <si>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</si>
  <si>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</si>
  <si>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</si>
  <si>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</si>
  <si>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</si>
  <si>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</si>
  <si>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</si>
  <si>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</si>
  <si>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</si>
  <si>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</si>
  <si>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</si>
  <si>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</si>
  <si>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</si>
  <si>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</si>
  <si>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</si>
  <si>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</si>
  <si>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</si>
  <si>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</si>
  <si>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</si>
  <si>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</si>
  <si>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</si>
  <si>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</si>
  <si>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</si>
  <si>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</si>
  <si>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</si>
  <si>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</si>
  <si>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</si>
  <si>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</si>
  <si>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</si>
  <si>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</si>
  <si>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</si>
  <si>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</si>
  <si>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</si>
  <si>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</si>
  <si>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</si>
  <si>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</si>
  <si>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</si>
  <si>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</si>
  <si>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</si>
  <si>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</si>
  <si>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</si>
  <si>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</si>
  <si>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</si>
  <si>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</si>
  <si>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</si>
  <si>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</si>
  <si>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</si>
  <si>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</si>
  <si>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</si>
  <si>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</si>
  <si>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</si>
  <si>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</si>
  <si>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</si>
  <si>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</si>
  <si>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</si>
  <si>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</si>
  <si>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</si>
  <si>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</si>
  <si>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</si>
  <si>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</si>
  <si>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</si>
  <si>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</si>
  <si>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</si>
  <si>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</si>
  <si>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</si>
  <si>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</si>
  <si>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</si>
  <si>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</si>
  <si>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</si>
  <si>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</si>
  <si>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</si>
  <si>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</si>
  <si>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</si>
  <si>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</si>
  <si>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</si>
  <si>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</si>
  <si>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</si>
  <si>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</si>
  <si>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</si>
  <si>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</si>
  <si>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</si>
  <si>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</si>
  <si>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</si>
  <si>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</si>
  <si>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</si>
  <si>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</si>
  <si>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</si>
  <si>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</si>
  <si>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</si>
  <si>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</si>
  <si>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</si>
  <si>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</si>
  <si>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</si>
  <si>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</si>
  <si>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</si>
  <si>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</si>
  <si>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</si>
  <si>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</si>
  <si>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</si>
  <si>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</si>
  <si>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</si>
  <si>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</si>
  <si>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</si>
  <si>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</si>
  <si>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</si>
  <si>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</si>
  <si>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</si>
  <si>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</si>
  <si>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</si>
  <si>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</si>
  <si>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</si>
  <si>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</si>
  <si>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</si>
  <si>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</si>
  <si>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</si>
  <si>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</si>
  <si>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</si>
  <si>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</si>
  <si>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</si>
  <si>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</si>
  <si>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</si>
  <si>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</si>
  <si>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</si>
  <si>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</si>
  <si>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</si>
  <si>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</si>
  <si>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</si>
  <si>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</si>
  <si>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</si>
  <si>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</si>
  <si>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</si>
  <si>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</si>
  <si>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</si>
  <si>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</si>
  <si>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</si>
  <si>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</si>
  <si>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</si>
  <si>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</si>
  <si>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</si>
  <si>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</si>
  <si>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</si>
  <si>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</si>
  <si>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</si>
  <si>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</si>
  <si>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</si>
  <si>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</si>
  <si>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</si>
  <si>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</si>
  <si>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</si>
  <si>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</si>
  <si>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</si>
  <si>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</si>
  <si>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</si>
  <si>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</si>
  <si>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</si>
  <si>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</si>
  <si>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</si>
  <si>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</si>
  <si>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</si>
  <si>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</si>
  <si>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</si>
  <si>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</si>
  <si>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</si>
  <si>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</si>
  <si>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</si>
  <si>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</si>
  <si>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</si>
  <si>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</si>
  <si>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</si>
  <si>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</si>
  <si>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</si>
  <si>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</si>
  <si>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</si>
  <si>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</si>
  <si>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</si>
  <si>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</si>
  <si>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</si>
  <si>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</si>
  <si>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</si>
  <si>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</si>
  <si>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</si>
  <si>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</si>
  <si>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</si>
  <si>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</si>
  <si>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</si>
  <si>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</si>
  <si>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</si>
  <si>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</si>
  <si>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</si>
  <si>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</si>
  <si>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</si>
  <si>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</si>
  <si>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</si>
  <si>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</si>
  <si>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</si>
  <si>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</si>
  <si>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</si>
  <si>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</si>
  <si>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</si>
  <si>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</si>
  <si>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</si>
  <si>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</si>
  <si>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</si>
  <si>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</si>
  <si>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</si>
  <si>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</si>
  <si>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</si>
  <si>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</si>
  <si>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</si>
  <si>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</si>
  <si>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</si>
  <si>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</si>
  <si>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</si>
  <si>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</si>
  <si>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</si>
  <si>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</si>
  <si>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</si>
  <si>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</si>
  <si>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</si>
  <si>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</si>
  <si>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</si>
  <si>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</si>
  <si>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</si>
  <si>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</si>
  <si>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</si>
  <si>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</si>
  <si>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</si>
  <si>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</si>
  <si>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</si>
  <si>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</si>
  <si>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</si>
  <si>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</si>
  <si>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</si>
  <si>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</si>
  <si>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</si>
  <si>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</si>
  <si>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</si>
  <si>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</si>
  <si>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</si>
  <si>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</si>
  <si>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</si>
  <si>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</si>
  <si>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</si>
  <si>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</si>
  <si>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</si>
  <si>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</si>
  <si>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</si>
  <si>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</si>
  <si>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</si>
  <si>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</si>
  <si>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</si>
  <si>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</si>
  <si>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</si>
  <si>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</si>
  <si>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</si>
  <si>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</si>
  <si>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</si>
  <si>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</si>
  <si>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</si>
  <si>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</si>
  <si>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</si>
  <si>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</si>
  <si>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</si>
  <si>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</si>
  <si>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</si>
  <si>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</si>
  <si>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</si>
  <si>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</si>
  <si>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</si>
  <si>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</si>
  <si>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</si>
  <si>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</si>
  <si>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</si>
  <si>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</si>
  <si>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</si>
  <si>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</si>
  <si>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</si>
  <si>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</si>
  <si>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</si>
  <si>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</si>
  <si>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</si>
  <si>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</si>
  <si>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</si>
  <si>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</si>
  <si>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</si>
  <si>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</si>
  <si>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</si>
  <si>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</si>
  <si>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</si>
  <si>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</si>
  <si>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</si>
  <si>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</si>
  <si>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</si>
  <si>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</si>
  <si>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</si>
  <si>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</si>
  <si>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</si>
  <si>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</si>
  <si>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</si>
  <si>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</si>
  <si>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</si>
  <si>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</si>
  <si>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</si>
  <si>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</si>
  <si>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</si>
  <si>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</si>
  <si>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</si>
  <si>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</si>
  <si>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</si>
  <si>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</si>
  <si>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</si>
  <si>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</si>
  <si>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</si>
  <si>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</si>
  <si>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</si>
  <si>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</si>
  <si>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</si>
  <si>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</si>
  <si>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</si>
  <si>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</si>
  <si>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</si>
  <si>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</si>
  <si>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</si>
  <si>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</si>
  <si>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</si>
  <si>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</si>
  <si>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</si>
  <si>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</si>
  <si>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</si>
  <si>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</si>
  <si>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</si>
  <si>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</si>
  <si>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</si>
  <si>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</si>
  <si>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</si>
  <si>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</si>
  <si>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</si>
  <si>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</si>
  <si>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</si>
  <si>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</si>
  <si>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</si>
  <si>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</si>
  <si>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</si>
  <si>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</si>
  <si>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</si>
  <si>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</si>
  <si>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</si>
  <si>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</si>
  <si>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</si>
  <si>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</si>
  <si>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</si>
  <si>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</si>
  <si>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</si>
  <si>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</si>
  <si>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</si>
  <si>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</si>
  <si>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</si>
  <si>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</si>
  <si>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</si>
  <si>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</si>
  <si>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</si>
  <si>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</si>
  <si>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</si>
  <si>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</si>
  <si>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</si>
  <si>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</si>
  <si>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</si>
  <si>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</si>
  <si>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</si>
  <si>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</si>
  <si>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</si>
  <si>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</si>
  <si>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</si>
  <si>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</si>
  <si>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</si>
  <si>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</si>
  <si>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</si>
  <si>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</si>
  <si>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</si>
  <si>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</si>
  <si>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</si>
  <si>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</si>
  <si>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</si>
  <si>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</si>
  <si>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</si>
  <si>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</si>
  <si>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</si>
  <si>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</si>
  <si>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</si>
  <si>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</si>
  <si>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</si>
  <si>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</si>
  <si>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</si>
  <si>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</si>
  <si>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</si>
  <si>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</si>
  <si>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</si>
  <si>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</si>
  <si>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</si>
  <si>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</si>
  <si>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</si>
  <si>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</si>
  <si>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</si>
  <si>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</si>
  <si>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</si>
  <si>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</si>
  <si>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</si>
  <si>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</si>
  <si>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</si>
  <si>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</si>
  <si>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</si>
  <si>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</si>
  <si>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</si>
  <si>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</si>
  <si>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</si>
  <si>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</si>
  <si>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</si>
  <si>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</si>
  <si>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</si>
  <si>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</si>
  <si>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</si>
  <si>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</si>
  <si>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</si>
  <si>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</si>
  <si>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</si>
  <si>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</si>
  <si>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</si>
  <si>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</si>
  <si>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</si>
  <si>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</si>
  <si>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</si>
  <si>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</si>
  <si>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</si>
  <si>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</si>
  <si>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</si>
  <si>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</si>
  <si>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</si>
  <si>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</si>
  <si>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</si>
  <si>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</si>
  <si>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</si>
  <si>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</si>
  <si>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</si>
  <si>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</si>
  <si>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</si>
  <si>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</si>
  <si>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</si>
  <si>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</si>
  <si>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</si>
  <si>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</si>
  <si>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</si>
  <si>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</si>
  <si>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</si>
  <si>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MACON</t>
  </si>
  <si>
    <t>ONE COLLEGE PARK</t>
  </si>
  <si>
    <t>DECATUR</t>
  </si>
  <si>
    <t>Mrogers@roe39.k12.il.us</t>
  </si>
  <si>
    <t>FLOYD &amp; ASSOCIATES, CPAs</t>
  </si>
  <si>
    <t>JULIE M. FLOYD, CPA</t>
  </si>
  <si>
    <t>910 STATE HIGHWAY 54 EAST</t>
  </si>
  <si>
    <t>CLINTON</t>
  </si>
  <si>
    <t>IL</t>
  </si>
  <si>
    <t>217-935-8871</t>
  </si>
  <si>
    <t>217-935-5711</t>
  </si>
  <si>
    <t>66-004385</t>
  </si>
  <si>
    <t>julie.floyd@frontier.com</t>
  </si>
  <si>
    <t>x</t>
  </si>
  <si>
    <t xml:space="preserve">   Education Fund</t>
  </si>
  <si>
    <t>TRS Employer Share of Net Pension Liability</t>
  </si>
  <si>
    <t>Pension Obligation</t>
  </si>
  <si>
    <t>IMRF Net Pension Liability</t>
  </si>
  <si>
    <t xml:space="preserve">   CTE Other - V.E. Perkins</t>
  </si>
  <si>
    <t xml:space="preserve">   Page 13, Line 220</t>
  </si>
  <si>
    <t>The error on the audit checklist is due to the recording of TRS &amp; IMRF Net Pension Liabilities.</t>
  </si>
  <si>
    <t>TRS Employer Share of Net Pension Liability $88,881</t>
  </si>
  <si>
    <t>IMRF Net Pension Liability                                     $66,548</t>
  </si>
  <si>
    <t>Heartland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</si>
</sst>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 fontId="55"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424296</xdr:colOff>
          <xdr:row>3</xdr:row>
          <xdr:rowOff>77932</xdr:rowOff>
        </xdr:from>
        <xdr:to>
          <xdr:col>1</xdr:col>
          <xdr:colOff>1338696</xdr:colOff>
          <xdr:row>7</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t="s">
        <v>2064</v>
      </c>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6">
        <v>39000000046</v>
      </c>
      <c r="B13" s="2017"/>
      <c r="C13" s="2017"/>
      <c r="D13" s="2017"/>
      <c r="E13" s="2017"/>
      <c r="F13" s="2017"/>
      <c r="G13" s="2017"/>
      <c r="H13" s="2018"/>
      <c r="I13" s="31"/>
      <c r="J13" s="30"/>
      <c r="K13" s="28"/>
      <c r="L13" s="30"/>
      <c r="M13" s="30"/>
      <c r="N13" s="30"/>
      <c r="O13" s="30"/>
      <c r="P13" s="30"/>
      <c r="Q13" s="30"/>
      <c r="R13" s="30"/>
      <c r="S13" s="30"/>
      <c r="T13" s="2021" t="s">
        <v>2069</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2070</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2088</v>
      </c>
      <c r="B17" s="1976"/>
      <c r="C17" s="1976"/>
      <c r="D17" s="1976"/>
      <c r="E17" s="1976"/>
      <c r="F17" s="1976"/>
      <c r="G17" s="1976"/>
      <c r="H17" s="2001"/>
      <c r="T17" s="2032" t="s">
        <v>2071</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2072</v>
      </c>
      <c r="U19" s="1940"/>
      <c r="V19" s="1940"/>
      <c r="W19" s="1941"/>
      <c r="X19" s="2030" t="s">
        <v>2073</v>
      </c>
      <c r="Y19" s="2031"/>
      <c r="Z19" s="2028">
        <v>61727</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2074</v>
      </c>
      <c r="U21" s="2040"/>
      <c r="V21" s="2040"/>
      <c r="W21" s="2040"/>
      <c r="X21" s="2045" t="s">
        <v>2075</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2068</v>
      </c>
      <c r="B23" s="1993"/>
      <c r="C23" s="1993"/>
      <c r="D23" s="1993"/>
      <c r="E23" s="1993"/>
      <c r="F23" s="1993"/>
      <c r="G23" s="1993"/>
      <c r="H23" s="1994"/>
      <c r="T23" s="1975" t="s">
        <v>2076</v>
      </c>
      <c r="U23" s="2038"/>
      <c r="V23" s="2038"/>
      <c r="W23" s="2038"/>
      <c r="X23" s="2042">
        <v>44530</v>
      </c>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62521</v>
      </c>
      <c r="B25" s="1940"/>
      <c r="C25" s="1940"/>
      <c r="D25" s="1940"/>
      <c r="E25" s="1940"/>
      <c r="F25" s="1940"/>
      <c r="G25" s="1940"/>
      <c r="H25" s="1941"/>
      <c r="I25" s="113"/>
      <c r="J25" s="1964"/>
      <c r="K25" s="1964"/>
      <c r="L25" s="1964"/>
      <c r="M25" s="1964"/>
      <c r="N25" s="1964"/>
      <c r="O25" s="1964"/>
      <c r="P25" s="1964"/>
      <c r="Q25" s="1964"/>
      <c r="R25" s="1964"/>
      <c r="S25" s="1965"/>
      <c r="T25" s="2035" t="s">
        <v>2077</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1949</v>
      </c>
      <c r="C2" s="714" t="s">
        <v>1950</v>
      </c>
      <c r="D2" s="714" t="s">
        <v>1951</v>
      </c>
      <c r="E2" s="714" t="s">
        <v>1952</v>
      </c>
      <c r="F2" s="714" t="s">
        <v>1953</v>
      </c>
    </row>
    <row r="3" spans="1:6" ht="12" customHeight="1" x14ac:dyDescent="0.2">
      <c r="A3" s="218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G33" sqref="G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1954</v>
      </c>
      <c r="D2" s="723" t="s">
        <v>1955</v>
      </c>
      <c r="E2" s="723" t="s">
        <v>1956</v>
      </c>
      <c r="F2" s="1884" t="s">
        <v>1957</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c r="C31" s="734"/>
      <c r="D31" s="735">
        <v>7</v>
      </c>
      <c r="E31" s="734"/>
      <c r="F31" s="734"/>
      <c r="G31" s="734">
        <v>88881</v>
      </c>
      <c r="H31" s="734"/>
      <c r="I31" s="1756">
        <f>((E31+F31)-H31)+G31</f>
        <v>88881</v>
      </c>
      <c r="J31" s="734"/>
      <c r="K31" s="736"/>
    </row>
    <row r="32" spans="1:11" ht="12" customHeight="1" x14ac:dyDescent="0.2">
      <c r="A32" s="732" t="s">
        <v>2082</v>
      </c>
      <c r="B32" s="733"/>
      <c r="C32" s="734"/>
      <c r="D32" s="735">
        <v>7</v>
      </c>
      <c r="E32" s="734"/>
      <c r="F32" s="734"/>
      <c r="G32" s="734">
        <v>66548</v>
      </c>
      <c r="H32" s="734"/>
      <c r="I32" s="1756">
        <f>((E32+F32)-H32)+G32</f>
        <v>66548</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155429</v>
      </c>
      <c r="H49" s="1756">
        <f t="shared" si="2"/>
        <v>0</v>
      </c>
      <c r="I49" s="1756">
        <f t="shared" si="2"/>
        <v>155429</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2081</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1962</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0</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0</v>
      </c>
      <c r="I23" s="1758">
        <f>SUM(I14:I16,I21,I22)</f>
        <v>0</v>
      </c>
      <c r="J23" s="1758">
        <f>SUM(J14:J16,J21,J22)</f>
        <v>0</v>
      </c>
      <c r="K23" s="1758">
        <f>SUM(K14:K16,K21,K22)</f>
        <v>0</v>
      </c>
    </row>
    <row r="24" spans="1:11" ht="14.25" thickTop="1" thickBot="1" x14ac:dyDescent="0.25">
      <c r="A24" s="2246" t="s">
        <v>1963</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2" sqref="H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332857</v>
      </c>
      <c r="D12" s="844">
        <v>10058</v>
      </c>
      <c r="E12" s="844"/>
      <c r="F12" s="1760">
        <f>(C12+D12)-E12</f>
        <v>342915</v>
      </c>
      <c r="G12" s="843">
        <v>10</v>
      </c>
      <c r="H12" s="765"/>
      <c r="I12" s="765"/>
      <c r="J12" s="765"/>
      <c r="K12" s="1769">
        <f>(H12+I12)-J12</f>
        <v>0</v>
      </c>
      <c r="L12" s="1769">
        <f>F12-K12</f>
        <v>342915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332857</v>
      </c>
      <c r="D16" s="1760">
        <f>SUM(D3,D5:D6,D8:D10,D12:D15)</f>
        <v>10058</v>
      </c>
      <c r="E16" s="1760">
        <f>SUM(E3,E5:E6,E8:E10,E12:E15)</f>
        <v>0</v>
      </c>
      <c r="F16" s="1760">
        <f>SUM(F3,F5:F6,F8:F10,F12:F15)</f>
        <v>342915</v>
      </c>
      <c r="G16" s="843"/>
      <c r="H16" s="1760">
        <f>SUM(H3,H6,H8:H10,H12:H14,)</f>
        <v>0</v>
      </c>
      <c r="I16" s="1760">
        <f>SUM(I3,I6,I8:I10,I12:I14,)</f>
        <v>0</v>
      </c>
      <c r="J16" s="1760">
        <f>SUM(J3,J6,J8:J10,J12:J14,)</f>
        <v>0</v>
      </c>
      <c r="K16" s="1760">
        <f>(H16+I16)-J16</f>
        <v>0</v>
      </c>
      <c r="L16" s="1760">
        <f>F16-K16</f>
        <v>342915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1973</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1650802</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1650802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140919</v>
      </c>
      <c r="G53" s="865"/>
    </row>
    <row r="54" spans="1:7" x14ac:dyDescent="0.2">
      <c r="A54" s="869" t="s">
        <v>459</v>
      </c>
      <c r="B54" s="869" t="s">
        <v>1476</v>
      </c>
      <c r="C54" s="889" t="s">
        <v>982</v>
      </c>
      <c r="D54" s="885" t="s">
        <v>1095</v>
      </c>
      <c r="E54" s="868"/>
      <c r="F54" s="1913">
        <f>'Expenditures 15-22'!G114</f>
        <v>10058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150977</v>
      </c>
      <c r="G76" s="865"/>
    </row>
    <row r="77" spans="1:8" s="893" customFormat="1" ht="12" customHeight="1" thickTop="1" thickBot="1" x14ac:dyDescent="0.25">
      <c r="A77" s="1779"/>
      <c r="B77" s="1776"/>
      <c r="C77" s="1772"/>
      <c r="D77" s="1777" t="s">
        <v>1899</v>
      </c>
      <c r="E77" s="1774"/>
      <c r="F77" s="1780">
        <f>(F14-F76)</f>
        <v>1499825</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666659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18504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255128</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940291</v>
      </c>
    </row>
    <row r="175" spans="1:7" ht="12" customHeight="1" x14ac:dyDescent="0.2">
      <c r="A175" s="1770"/>
      <c r="B175" s="1784"/>
      <c r="C175" s="1785"/>
      <c r="D175" s="1786" t="s">
        <v>2055</v>
      </c>
      <c r="E175" s="1787"/>
      <c r="F175" s="1789">
        <f>'PCTC-OEPP 27-28'!F77-F174</f>
        <v>559534</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2056</v>
      </c>
      <c r="E177" s="1787"/>
      <c r="F177" s="1789">
        <f>F175+F176</f>
        <v>559534</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2063</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1974</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5" t="s">
        <v>1975</v>
      </c>
      <c r="B11" s="2286"/>
      <c r="C11" s="2286"/>
      <c r="D11" s="228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968609</v>
      </c>
      <c r="F19" s="1799"/>
      <c r="G19" s="1801">
        <f>'Expenditures 15-22'!K33-SUM('Expenditures 15-22'!G33,'Expenditures 15-22'!I33)+'Expenditures 15-22'!D229</f>
        <v>968609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185905</v>
      </c>
      <c r="F21" s="1802"/>
      <c r="G21" s="1805">
        <f>'Expenditures 15-22'!K42-SUM('Expenditures 15-22'!G42,'Expenditures 15-22'!I42)+'Expenditures 15-22'!K120-SUM('Expenditures 15-22'!G120,'Expenditures 15-22'!I120)+'Expenditures 15-22'!K180-SUM('Expenditures 15-22'!G180,'Expenditures 15-22'!I180)+'Expenditures 15-22'!D238</f>
        <v>185905</v>
      </c>
      <c r="H21" s="987"/>
      <c r="I21" s="162"/>
    </row>
    <row r="22" spans="1:9" s="668" customFormat="1" ht="12" customHeight="1" x14ac:dyDescent="0.2">
      <c r="A22" s="994" t="s">
        <v>564</v>
      </c>
      <c r="B22" s="995"/>
      <c r="C22" s="993">
        <v>2200</v>
      </c>
      <c r="D22" s="1802"/>
      <c r="E22" s="1804">
        <f>'Expenditures 15-22'!K47-SUM('Expenditures 15-22'!G47,'Expenditures 15-22'!I47)+'Expenditures 15-22'!D243</f>
        <v>68950</v>
      </c>
      <c r="F22" s="1802"/>
      <c r="G22" s="1805">
        <f>'Expenditures 15-22'!K47-SUM('Expenditures 15-22'!G47,'Expenditures 15-22'!I47)+'Expenditures 15-22'!D243</f>
        <v>68950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64013</v>
      </c>
      <c r="F23" s="1802"/>
      <c r="G23" s="1804">
        <f>'Expenditures 15-22'!K53-SUM('Expenditures 15-22'!G53,'Expenditures 15-22'!I53)+'Expenditures 15-22'!D257+'Expenditures 15-22'!K330-SUM('Expenditures 15-22'!G330,'Expenditures 15-22'!I330)</f>
        <v>64013</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5350</v>
      </c>
      <c r="E27" s="1804">
        <f>E8</f>
        <v>0</v>
      </c>
      <c r="F27" s="1804">
        <f>'Expenditures 15-22'!K60-SUM('Expenditures 15-22'!G60,'Expenditures 15-22'!I60)+'Expenditures 15-22'!D264-E8</f>
        <v>5350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180239</v>
      </c>
      <c r="F28" s="1806">
        <f>'Expenditures 15-22'!K61-SUM('Expenditures 15-22'!G61,'Expenditures 15-22'!I61)+'Expenditures 15-22'!K124-SUM('Expenditures 15-22'!G124,'Expenditures 15-22'!I124)+'Expenditures 15-22'!D266-E9</f>
        <v>180239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26759</v>
      </c>
      <c r="F29" s="1802"/>
      <c r="G29" s="1805">
        <f>'Expenditures 15-22'!K62-SUM('Expenditures 15-22'!G62,'Expenditures 15-22'!I62)+'Expenditures 15-22'!K125-SUM('Expenditures 15-22'!G125,'Expenditures 15-22'!I125)+'Expenditures 15-22'!K182-SUM('Expenditures 15-22'!G182,'Expenditures 15-22'!I182)+'Expenditures 15-22'!D267</f>
        <v>26759</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5350</v>
      </c>
      <c r="E41" s="1806">
        <f>SUM(E19:E40)</f>
        <v>1494475</v>
      </c>
      <c r="F41" s="1806">
        <f>SUM(F19:F39)</f>
        <v>185589</v>
      </c>
      <c r="G41" s="1806">
        <f>SUM(G19:G40)</f>
        <v>1314236</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5350</v>
      </c>
      <c r="F43" s="1807" t="s">
        <v>473</v>
      </c>
      <c r="G43" s="1808">
        <f>F41</f>
        <v>185589</v>
      </c>
    </row>
    <row r="44" spans="1:7" ht="12" customHeight="1" x14ac:dyDescent="0.2">
      <c r="A44" s="987"/>
      <c r="B44" s="162"/>
      <c r="C44" s="1001"/>
      <c r="D44" s="1807" t="s">
        <v>474</v>
      </c>
      <c r="E44" s="1808">
        <f>E41</f>
        <v>1494475</v>
      </c>
      <c r="F44" s="1807" t="s">
        <v>474</v>
      </c>
      <c r="G44" s="1808">
        <f>G41</f>
        <v>1314236</v>
      </c>
    </row>
    <row r="45" spans="1:7" ht="12" customHeight="1" x14ac:dyDescent="0.2">
      <c r="A45" s="987"/>
      <c r="B45" s="162"/>
      <c r="C45" s="162"/>
      <c r="D45" s="1809" t="s">
        <v>1006</v>
      </c>
      <c r="E45" s="1810">
        <f>(E43/E44)</f>
        <v>3.5798524565482863E-3</v>
      </c>
      <c r="F45" s="1809" t="s">
        <v>1006</v>
      </c>
      <c r="G45" s="1810">
        <f>(G43/G44)</f>
        <v>0.14121436332591711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D13" sqref="D1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Heartland Region</v>
      </c>
      <c r="D6" s="2306"/>
      <c r="E6" s="2306"/>
      <c r="F6" s="1852"/>
    </row>
    <row r="7" spans="1:10" ht="11.25" customHeight="1" thickBot="1" x14ac:dyDescent="0.3">
      <c r="A7" s="1850"/>
      <c r="B7" s="1851"/>
      <c r="C7" s="2307">
        <f>COVER!A13</f>
        <v>39000000046</v>
      </c>
      <c r="D7" s="2307"/>
      <c r="E7" s="230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2078</v>
      </c>
      <c r="D13" s="1865" t="s">
        <v>2078</v>
      </c>
      <c r="E13" s="1868"/>
      <c r="F13" s="1867"/>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Heartland Region</v>
      </c>
      <c r="J6" s="2316"/>
      <c r="Q6" s="1664"/>
    </row>
    <row r="7" spans="1:17" x14ac:dyDescent="0.2">
      <c r="A7" s="2317" t="s">
        <v>869</v>
      </c>
      <c r="B7" s="2318"/>
      <c r="C7" s="2318"/>
      <c r="D7" s="2318"/>
      <c r="E7" s="2319"/>
      <c r="F7" s="1017"/>
      <c r="G7" s="1009"/>
      <c r="H7" s="1016" t="s">
        <v>372</v>
      </c>
      <c r="I7" s="2320">
        <f>COVER!A13</f>
        <v>39000000046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46704</v>
      </c>
      <c r="F12" s="1039"/>
      <c r="G12" s="1811">
        <f t="shared" ref="G12:G18" si="0">SUM(E12:F12)</f>
        <v>46704</v>
      </c>
      <c r="H12" s="1040"/>
      <c r="I12" s="1039"/>
      <c r="J12" s="1811">
        <f t="shared" ref="J12:J18" si="1">SUM(H12:I12)</f>
        <v>0</v>
      </c>
    </row>
    <row r="13" spans="1:17" ht="15" customHeight="1" x14ac:dyDescent="0.2">
      <c r="A13" s="1035">
        <v>2</v>
      </c>
      <c r="B13" s="1036" t="s">
        <v>42</v>
      </c>
      <c r="C13" s="1037"/>
      <c r="D13" s="1038">
        <v>2330</v>
      </c>
      <c r="E13" s="1811">
        <f>'Expenditures 15-22'!K51</f>
        <v>17309</v>
      </c>
      <c r="F13" s="1039"/>
      <c r="G13" s="1811">
        <f t="shared" si="0"/>
        <v>17309</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64013</v>
      </c>
      <c r="F19" s="1813">
        <f t="shared" si="2"/>
        <v>0</v>
      </c>
      <c r="G19" s="1813">
        <f t="shared" si="2"/>
        <v>64013</v>
      </c>
      <c r="H19" s="1813">
        <f t="shared" si="2"/>
        <v>0</v>
      </c>
      <c r="I19" s="1813">
        <f t="shared" si="2"/>
        <v>0</v>
      </c>
      <c r="J19" s="1813">
        <f t="shared" si="2"/>
        <v>0</v>
      </c>
    </row>
    <row r="20" spans="1:10" ht="13.5" thickTop="1" x14ac:dyDescent="0.2">
      <c r="A20" s="1035">
        <v>9</v>
      </c>
      <c r="B20" s="2327" t="s">
        <v>1979</v>
      </c>
      <c r="C20" s="2327"/>
      <c r="D20" s="232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1981</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B17" sqref="B17"/>
    </sheetView>
  </sheetViews>
  <sheetFormatPr defaultRowHeight="12.75" x14ac:dyDescent="0.2"/>
  <cols>
    <col min="1" max="1" width="3" style="329" customWidth="1"/>
    <col min="2" max="2" width="48.425781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68">
        <v>1</v>
      </c>
      <c r="B5" s="329" t="s">
        <v>2084</v>
      </c>
    </row>
    <row r="6" spans="1:4" x14ac:dyDescent="0.2">
      <c r="A6" s="1068">
        <v>2</v>
      </c>
      <c r="B6" s="329" t="s">
        <v>2079</v>
      </c>
    </row>
    <row r="7" spans="1:4" x14ac:dyDescent="0.2">
      <c r="A7" s="1068">
        <v>3</v>
      </c>
      <c r="B7" s="329" t="s">
        <v>2083</v>
      </c>
      <c r="C7" s="329" t="s">
        <v>958</v>
      </c>
      <c r="D7" s="1938">
        <v>255128</v>
      </c>
    </row>
    <row r="8" spans="1:4" x14ac:dyDescent="0.2">
      <c r="A8" s="1068">
        <v>4</v>
      </c>
      <c r="B8" s="329" t="s">
        <v>2085</v>
      </c>
    </row>
    <row r="9" spans="1:4" x14ac:dyDescent="0.2">
      <c r="A9" s="1069"/>
      <c r="B9" s="329" t="s">
        <v>2086</v>
      </c>
    </row>
    <row r="10" spans="1:4" x14ac:dyDescent="0.2">
      <c r="A10" s="1069"/>
      <c r="B10" s="329" t="s">
        <v>2087</v>
      </c>
    </row>
    <row r="11" spans="1:4" x14ac:dyDescent="0.2">
      <c r="A11" s="1069"/>
    </row>
    <row r="12" spans="1:4" x14ac:dyDescent="0.2">
      <c r="A12" s="1069"/>
    </row>
    <row r="13" spans="1:4" x14ac:dyDescent="0.2">
      <c r="A13" s="1069"/>
    </row>
    <row r="14" spans="1:4" x14ac:dyDescent="0.2">
      <c r="A14" s="1069"/>
    </row>
    <row r="15" spans="1:4" x14ac:dyDescent="0.2">
      <c r="A15" s="1069"/>
    </row>
    <row r="16" spans="1:4"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Heartland Region</v>
      </c>
    </row>
    <row r="65" spans="2:2" x14ac:dyDescent="0.2">
      <c r="B65" s="1070">
        <f>COVER!A13</f>
        <v>39000000046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3</xdr:row>
                <xdr:rowOff>76200</xdr:rowOff>
              </from>
              <to>
                <xdr:col>1</xdr:col>
                <xdr:colOff>1343025</xdr:colOff>
                <xdr:row>7</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1985</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1986</v>
      </c>
      <c r="B4" s="2355"/>
      <c r="C4" s="2355"/>
      <c r="D4" s="2355"/>
      <c r="E4" s="2355"/>
      <c r="F4" s="2356"/>
      <c r="G4" s="1074"/>
      <c r="H4" s="1074"/>
    </row>
    <row r="5" spans="1:8" ht="14.25" customHeight="1" x14ac:dyDescent="0.2">
      <c r="A5" s="2357" t="s">
        <v>1982</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1707991</v>
      </c>
      <c r="C8" s="1815">
        <f>'Acct Summary 7-8'!D8</f>
        <v>0</v>
      </c>
      <c r="D8" s="1815">
        <f>'Acct Summary 7-8'!F8</f>
        <v>0</v>
      </c>
      <c r="E8" s="1815">
        <f>'Acct Summary 7-8'!I8</f>
        <v>0</v>
      </c>
      <c r="F8" s="1815">
        <f>SUM(B8:E8)</f>
        <v>1707991</v>
      </c>
    </row>
    <row r="9" spans="1:8" s="1079" customFormat="1" ht="14.25" customHeight="1" thickBot="1" x14ac:dyDescent="0.25">
      <c r="A9" s="1078" t="s">
        <v>1369</v>
      </c>
      <c r="B9" s="1816">
        <f>'Acct Summary 7-8'!C17</f>
        <v>1650802</v>
      </c>
      <c r="C9" s="1816">
        <f>'Acct Summary 7-8'!D17</f>
        <v>0</v>
      </c>
      <c r="D9" s="1816">
        <f>'Acct Summary 7-8'!F17</f>
        <v>0</v>
      </c>
      <c r="E9" s="1815"/>
      <c r="F9" s="1815">
        <f>SUM(B9:E9)</f>
        <v>1650802</v>
      </c>
    </row>
    <row r="10" spans="1:8" s="1079" customFormat="1" ht="14.25" thickTop="1" thickBot="1" x14ac:dyDescent="0.25">
      <c r="A10" s="1080" t="s">
        <v>1370</v>
      </c>
      <c r="B10" s="1817">
        <f>(B8-B9)</f>
        <v>57189</v>
      </c>
      <c r="C10" s="1817">
        <f>(C8-C9)</f>
        <v>0</v>
      </c>
      <c r="D10" s="1817">
        <f>(D8-D9)</f>
        <v>0</v>
      </c>
      <c r="E10" s="1816">
        <f>(E8-E9)</f>
        <v>0</v>
      </c>
      <c r="F10" s="1818">
        <f>SUM(F8-F9)</f>
        <v>57189</v>
      </c>
    </row>
    <row r="11" spans="1:8" s="1079" customFormat="1" ht="14.25" thickTop="1" thickBot="1" x14ac:dyDescent="0.25">
      <c r="A11" s="1081" t="s">
        <v>1983</v>
      </c>
      <c r="B11" s="1819">
        <f>'Acct Summary 7-8'!C81</f>
        <v>256217</v>
      </c>
      <c r="C11" s="1819">
        <f>'Acct Summary 7-8'!D81</f>
        <v>0</v>
      </c>
      <c r="D11" s="1819">
        <f>'Acct Summary 7-8'!F81</f>
        <v>0</v>
      </c>
      <c r="E11" s="1819">
        <f>'Acct Summary 7-8'!I81</f>
        <v>0</v>
      </c>
      <c r="F11" s="1820">
        <f>SUM(B11:E11)</f>
        <v>256217</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ERROR!</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39000000046</v>
      </c>
    </row>
    <row r="3" spans="1:2" x14ac:dyDescent="0.2">
      <c r="A3" t="s">
        <v>956</v>
      </c>
      <c r="B3" s="138" t="str">
        <f>COVER!A15</f>
        <v>MACON</v>
      </c>
    </row>
    <row r="4" spans="1:2" x14ac:dyDescent="0.2">
      <c r="A4" t="s">
        <v>1007</v>
      </c>
      <c r="B4" s="138" t="str">
        <f>COVER!A17</f>
        <v>Heartland Region</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66-004385</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353650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97433</v>
      </c>
      <c r="C91" s="2" t="s">
        <v>573</v>
      </c>
      <c r="D91" s="2" t="str">
        <f t="shared" si="0"/>
        <v>Error?</v>
      </c>
    </row>
    <row r="92" spans="1:4" x14ac:dyDescent="0.2">
      <c r="A92" s="5">
        <v>31</v>
      </c>
      <c r="B92" s="138">
        <f>'Assets-Liab 5-6'!C39</f>
        <v>256217</v>
      </c>
      <c r="D92" s="2" t="str">
        <f t="shared" si="0"/>
        <v>Error?</v>
      </c>
    </row>
    <row r="93" spans="1:4" x14ac:dyDescent="0.2">
      <c r="A93" s="5">
        <v>32</v>
      </c>
      <c r="B93" s="138">
        <f>'Assets-Liab 5-6'!C41</f>
        <v>353650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342915</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342915</v>
      </c>
      <c r="C279" s="2" t="s">
        <v>573</v>
      </c>
      <c r="D279" s="2" t="str">
        <f t="shared" si="3"/>
        <v>Error?</v>
      </c>
    </row>
    <row r="280" spans="1:4" x14ac:dyDescent="0.2">
      <c r="A280" s="5">
        <v>219</v>
      </c>
      <c r="B280" s="138">
        <f>'Assets-Liab 5-6'!M40</f>
        <v>342915</v>
      </c>
      <c r="D280" s="2" t="str">
        <f t="shared" si="3"/>
        <v>Error?</v>
      </c>
    </row>
    <row r="281" spans="1:4" x14ac:dyDescent="0.2">
      <c r="A281" s="5">
        <v>220</v>
      </c>
      <c r="B281" s="138">
        <f>'Assets-Liab 5-6'!M41</f>
        <v>342915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155429</v>
      </c>
      <c r="D285" s="2" t="str">
        <f t="shared" si="3"/>
        <v>Error?</v>
      </c>
    </row>
    <row r="286" spans="1:4" x14ac:dyDescent="0.2">
      <c r="A286" s="10">
        <v>225</v>
      </c>
      <c r="D286" s="2" t="str">
        <f t="shared" si="3"/>
        <v>OK</v>
      </c>
    </row>
    <row r="287" spans="1:4" x14ac:dyDescent="0.2">
      <c r="A287" s="5">
        <v>226</v>
      </c>
      <c r="B287" s="138">
        <f>'Assets-Liab 5-6'!N37</f>
        <v>155429</v>
      </c>
      <c r="C287" s="2" t="s">
        <v>573</v>
      </c>
      <c r="D287" s="2" t="str">
        <f t="shared" si="3"/>
        <v>Error?</v>
      </c>
    </row>
    <row r="288" spans="1:4" x14ac:dyDescent="0.2">
      <c r="A288" s="5">
        <v>227</v>
      </c>
      <c r="B288" s="138">
        <f>'Assets-Liab 5-6'!N41</f>
        <v>155429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704800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704800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129749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129749</v>
      </c>
      <c r="C727" s="2" t="s">
        <v>573</v>
      </c>
      <c r="D727" s="2" t="str">
        <f t="shared" si="10"/>
        <v>Error?</v>
      </c>
    </row>
    <row r="728" spans="1:4" x14ac:dyDescent="0.2">
      <c r="A728" s="5">
        <v>667</v>
      </c>
      <c r="B728" s="138">
        <f>'Expenditures 15-22'!C44</f>
        <v>40752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40752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36213</v>
      </c>
      <c r="D733" s="2" t="str">
        <f t="shared" si="10"/>
        <v>Error?</v>
      </c>
    </row>
    <row r="734" spans="1:4" x14ac:dyDescent="0.2">
      <c r="A734" s="5">
        <v>673</v>
      </c>
      <c r="B734" s="138">
        <f>'Expenditures 15-22'!C53</f>
        <v>36213</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206714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911514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131063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131063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33252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33252</v>
      </c>
      <c r="C785" s="2" t="s">
        <v>573</v>
      </c>
      <c r="D785" s="2" t="str">
        <f t="shared" si="11"/>
        <v>Error?</v>
      </c>
    </row>
    <row r="786" spans="1:4" x14ac:dyDescent="0.2">
      <c r="A786" s="5">
        <v>725</v>
      </c>
      <c r="B786" s="138">
        <f>'Expenditures 15-22'!D44</f>
        <v>14573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14573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10000</v>
      </c>
      <c r="D791" s="2" t="str">
        <f t="shared" si="11"/>
        <v>Error?</v>
      </c>
    </row>
    <row r="792" spans="1:4" x14ac:dyDescent="0.2">
      <c r="A792" s="5">
        <v>731</v>
      </c>
      <c r="B792" s="138">
        <f>'Expenditures 15-22'!D53</f>
        <v>10000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57825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188888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64514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64514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22416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22416</v>
      </c>
      <c r="C843" s="2" t="s">
        <v>573</v>
      </c>
      <c r="D843" s="2" t="str">
        <f t="shared" si="12"/>
        <v>Error?</v>
      </c>
    </row>
    <row r="844" spans="1:4" x14ac:dyDescent="0.2">
      <c r="A844" s="5">
        <v>783</v>
      </c>
      <c r="B844" s="138">
        <f>'Expenditures 15-22'!E44</f>
        <v>12118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12118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491</v>
      </c>
      <c r="D849" s="2" t="str">
        <f t="shared" si="12"/>
        <v>Error?</v>
      </c>
    </row>
    <row r="850" spans="1:4" x14ac:dyDescent="0.2">
      <c r="A850" s="5">
        <v>789</v>
      </c>
      <c r="B850" s="138">
        <f>'Expenditures 15-22'!E53</f>
        <v>17195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5350</v>
      </c>
      <c r="D855" s="2" t="str">
        <f t="shared" si="12"/>
        <v>Error?</v>
      </c>
    </row>
    <row r="856" spans="1:4" x14ac:dyDescent="0.2">
      <c r="A856" s="5">
        <v>795</v>
      </c>
      <c r="B856" s="138">
        <f>'Expenditures 15-22'!E61</f>
        <v>180239</v>
      </c>
      <c r="D856" s="2" t="str">
        <f t="shared" si="12"/>
        <v>Error?</v>
      </c>
    </row>
    <row r="857" spans="1:4" x14ac:dyDescent="0.2">
      <c r="A857" s="5">
        <v>796</v>
      </c>
      <c r="B857" s="138">
        <f>'Expenditures 15-22'!E62</f>
        <v>26759</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212348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264077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328591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68232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68232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488</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488</v>
      </c>
      <c r="C901" s="2" t="s">
        <v>573</v>
      </c>
      <c r="D901" s="2" t="str">
        <f t="shared" si="13"/>
        <v>Error?</v>
      </c>
    </row>
    <row r="902" spans="1:4" x14ac:dyDescent="0.2">
      <c r="A902" s="5">
        <v>841</v>
      </c>
      <c r="B902" s="138">
        <f>'Expenditures 15-22'!F44</f>
        <v>1507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1507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70227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10058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10058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10058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605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140919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141524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978667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978667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185905</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185905</v>
      </c>
      <c r="C1115" s="2" t="s">
        <v>573</v>
      </c>
      <c r="D1115" s="2" t="str">
        <f t="shared" si="16"/>
        <v>Error?</v>
      </c>
    </row>
    <row r="1116" spans="1:4" x14ac:dyDescent="0.2">
      <c r="A1116" s="5">
        <v>1055</v>
      </c>
      <c r="B1116" s="138">
        <f>'Expenditures 15-22'!K44</f>
        <v>68950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68950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46704</v>
      </c>
      <c r="C1121" s="2" t="s">
        <v>573</v>
      </c>
      <c r="D1121" s="2" t="str">
        <f t="shared" si="16"/>
        <v>Error?</v>
      </c>
    </row>
    <row r="1122" spans="1:4" x14ac:dyDescent="0.2">
      <c r="A1122" s="5">
        <v>1061</v>
      </c>
      <c r="B1122" s="138">
        <f>'Expenditures 15-22'!K53</f>
        <v>64013</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5350</v>
      </c>
      <c r="C1127" s="2" t="s">
        <v>573</v>
      </c>
      <c r="D1127" s="2" t="str">
        <f t="shared" si="16"/>
        <v>Error?</v>
      </c>
    </row>
    <row r="1128" spans="1:4" x14ac:dyDescent="0.2">
      <c r="A1128" s="5">
        <v>1067</v>
      </c>
      <c r="B1128" s="138">
        <f>'Expenditures 15-22'!K61</f>
        <v>180239</v>
      </c>
      <c r="C1128" s="2" t="s">
        <v>573</v>
      </c>
      <c r="D1128" s="2" t="str">
        <f t="shared" si="16"/>
        <v>Error?</v>
      </c>
    </row>
    <row r="1129" spans="1:4" x14ac:dyDescent="0.2">
      <c r="A1129" s="5">
        <v>1068</v>
      </c>
      <c r="B1129" s="138">
        <f>'Expenditures 15-22'!K62</f>
        <v>26759</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212348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531216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140919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1650802</v>
      </c>
      <c r="C1152" s="2" t="s">
        <v>573</v>
      </c>
      <c r="D1152" s="2" t="str">
        <f t="shared" si="17"/>
        <v>Error?</v>
      </c>
    </row>
    <row r="1153" spans="1:4" x14ac:dyDescent="0.2">
      <c r="A1153" s="5">
        <v>1092</v>
      </c>
      <c r="B1153" s="138">
        <f>'Expenditures 15-22'!K115</f>
        <v>57189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199028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256217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332857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332857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10058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10058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342915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342915</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342915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342915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140919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140919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767700</v>
      </c>
      <c r="C2551" s="2" t="s">
        <v>573</v>
      </c>
      <c r="D2551" s="2" t="str">
        <f t="shared" si="38"/>
        <v>Error?</v>
      </c>
    </row>
    <row r="2552" spans="1:4" x14ac:dyDescent="0.2">
      <c r="A2552" s="10">
        <v>2491</v>
      </c>
      <c r="D2552" s="2" t="str">
        <f t="shared" si="38"/>
        <v>OK</v>
      </c>
    </row>
    <row r="2553" spans="1:4" x14ac:dyDescent="0.2">
      <c r="A2553" s="5">
        <v>2492</v>
      </c>
      <c r="B2553" s="138">
        <f>'Acct Summary 7-8'!C6</f>
        <v>685163</v>
      </c>
      <c r="C2553" s="2" t="s">
        <v>573</v>
      </c>
      <c r="D2553" s="2" t="str">
        <f t="shared" si="38"/>
        <v>Error?</v>
      </c>
    </row>
    <row r="2554" spans="1:4" x14ac:dyDescent="0.2">
      <c r="A2554" s="5">
        <v>2493</v>
      </c>
      <c r="B2554" s="138">
        <f>'Acct Summary 7-8'!C7</f>
        <v>255128</v>
      </c>
      <c r="C2554" s="2" t="s">
        <v>573</v>
      </c>
      <c r="D2554" s="2" t="str">
        <f t="shared" si="38"/>
        <v>Error?</v>
      </c>
    </row>
    <row r="2555" spans="1:4" x14ac:dyDescent="0.2">
      <c r="A2555" s="5">
        <v>2494</v>
      </c>
      <c r="B2555" s="138">
        <f>'Acct Summary 7-8'!C8</f>
        <v>1707991</v>
      </c>
      <c r="C2555" s="2" t="s">
        <v>573</v>
      </c>
      <c r="D2555" s="2" t="str">
        <f t="shared" si="38"/>
        <v>Error?</v>
      </c>
    </row>
    <row r="2556" spans="1:4" x14ac:dyDescent="0.2">
      <c r="A2556" s="5">
        <v>2495</v>
      </c>
      <c r="B2556" s="138">
        <f>'Acct Summary 7-8'!C12</f>
        <v>978667</v>
      </c>
      <c r="C2556" s="2" t="s">
        <v>573</v>
      </c>
      <c r="D2556" s="2" t="str">
        <f t="shared" si="38"/>
        <v>Error?</v>
      </c>
    </row>
    <row r="2557" spans="1:4" x14ac:dyDescent="0.2">
      <c r="A2557" s="5">
        <v>2496</v>
      </c>
      <c r="B2557" s="138">
        <f>'Acct Summary 7-8'!C13</f>
        <v>531216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140919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1650802</v>
      </c>
      <c r="C2561" s="2" t="s">
        <v>573</v>
      </c>
      <c r="D2561" s="2" t="str">
        <f t="shared" si="39"/>
        <v>Error?</v>
      </c>
    </row>
    <row r="2562" spans="1:4" x14ac:dyDescent="0.2">
      <c r="A2562" s="5">
        <v>2501</v>
      </c>
      <c r="B2562" s="138">
        <f>'Acct Summary 7-8'!C20</f>
        <v>57189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16704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605</v>
      </c>
      <c r="D2723" s="2" t="str">
        <f t="shared" si="41"/>
        <v>Error?</v>
      </c>
    </row>
    <row r="2724" spans="1:4" x14ac:dyDescent="0.2">
      <c r="A2724" s="5">
        <v>2663</v>
      </c>
      <c r="B2724" s="138">
        <f>'Expenditures 15-22'!K51</f>
        <v>17309</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37530</v>
      </c>
      <c r="D2894" s="2" t="str">
        <f t="shared" si="44"/>
        <v>Error?</v>
      </c>
    </row>
    <row r="2895" spans="1:4" x14ac:dyDescent="0.2">
      <c r="A2895" s="5">
        <v>2834</v>
      </c>
      <c r="B2895" s="138">
        <f>'Assets-Liab 5-6'!L13</f>
        <v>37530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37530</v>
      </c>
      <c r="D2914" s="2" t="str">
        <f t="shared" si="44"/>
        <v>Error?</v>
      </c>
    </row>
    <row r="2915" spans="1:4" x14ac:dyDescent="0.2">
      <c r="A2915" s="10">
        <v>2854</v>
      </c>
      <c r="D2915" s="2" t="str">
        <f t="shared" si="44"/>
        <v>OK</v>
      </c>
    </row>
    <row r="2916" spans="1:4" x14ac:dyDescent="0.2">
      <c r="A2916" s="5">
        <v>2855</v>
      </c>
      <c r="B2916" s="138">
        <f>'Assets-Liab 5-6'!L34</f>
        <v>37530</v>
      </c>
      <c r="C2916" s="2" t="s">
        <v>573</v>
      </c>
      <c r="D2916" s="2" t="str">
        <f t="shared" si="44"/>
        <v>Error?</v>
      </c>
    </row>
    <row r="2917" spans="1:4" x14ac:dyDescent="0.2">
      <c r="A2917" s="5">
        <v>2856</v>
      </c>
      <c r="B2917" s="138">
        <f>'Assets-Liab 5-6'!L41</f>
        <v>37530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140919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140919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57189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335694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582015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2290006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582015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2232817</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155429</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155429</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256217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255128</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155429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767700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767700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767700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666659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666659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18504</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18504</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685163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685163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255128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255128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255128</v>
      </c>
      <c r="C5326" s="2" t="s">
        <v>573</v>
      </c>
      <c r="D5326" s="2" t="str">
        <f t="shared" si="82"/>
        <v>Error?</v>
      </c>
    </row>
    <row r="5327" spans="1:5" x14ac:dyDescent="0.2">
      <c r="A5327" s="5">
        <v>5266</v>
      </c>
      <c r="B5327" s="138">
        <f>'Revenues 9-14'!C268</f>
        <v>1707991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17956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25187</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2005</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70241</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57189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0.2232053298571133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1987</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Heartland Region</v>
      </c>
      <c r="B7" s="2383"/>
      <c r="C7" s="2383"/>
      <c r="D7" s="2420"/>
      <c r="E7" s="2421">
        <f>COVER!A13</f>
        <v>39000000046</v>
      </c>
      <c r="F7" s="2422"/>
      <c r="G7" s="2389" t="str">
        <f>COVER!T23</f>
        <v>66-004385</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FLOYD &amp; ASSOCIATES, CPAs</v>
      </c>
      <c r="H9" s="2396"/>
      <c r="I9" s="2396"/>
      <c r="J9" s="2396"/>
      <c r="K9" s="2396"/>
      <c r="L9" s="2397"/>
    </row>
    <row r="10" spans="1:29" ht="13.5" customHeight="1" x14ac:dyDescent="0.2">
      <c r="A10" s="2379">
        <f>COVER!A38</f>
        <v>0</v>
      </c>
      <c r="B10" s="2380"/>
      <c r="C10" s="2380"/>
      <c r="D10" s="2380"/>
      <c r="E10" s="2380"/>
      <c r="F10" s="2381"/>
      <c r="G10" s="2395" t="str">
        <f>COVER!T17</f>
        <v>910 STATE HIGHWAY 54 EAST</v>
      </c>
      <c r="H10" s="2408"/>
      <c r="I10" s="2408"/>
      <c r="J10" s="2408"/>
      <c r="K10" s="2408"/>
      <c r="L10" s="2409"/>
    </row>
    <row r="11" spans="1:29" ht="13.5" customHeight="1" x14ac:dyDescent="0.2">
      <c r="A11" s="1184" t="s">
        <v>1519</v>
      </c>
      <c r="B11" s="1185"/>
      <c r="C11" s="1186"/>
      <c r="D11" s="1191"/>
      <c r="E11" s="1186"/>
      <c r="F11" s="1190"/>
      <c r="G11" s="2395" t="str">
        <f>COVER!T19</f>
        <v>CLINTON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julie.floyd@frontier.com</v>
      </c>
      <c r="J13" s="2417"/>
      <c r="K13" s="2417"/>
      <c r="L13" s="2418"/>
    </row>
    <row r="14" spans="1:29" ht="13.5" customHeight="1" x14ac:dyDescent="0.2">
      <c r="A14" s="2395" t="str">
        <f>COVER!A19</f>
        <v>ONE COLLEGE PARK</v>
      </c>
      <c r="B14" s="2408"/>
      <c r="C14" s="2408"/>
      <c r="D14" s="2408"/>
      <c r="E14" s="2408"/>
      <c r="F14" s="2409"/>
      <c r="G14" s="1195" t="s">
        <v>1185</v>
      </c>
      <c r="H14" s="1193"/>
      <c r="I14" s="1193"/>
      <c r="J14" s="1193"/>
      <c r="K14" s="1193"/>
      <c r="L14" s="1194"/>
    </row>
    <row r="15" spans="1:29" ht="13.5" customHeight="1" x14ac:dyDescent="0.2">
      <c r="A15" s="2395" t="str">
        <f>COVER!A21</f>
        <v>DECATUR</v>
      </c>
      <c r="B15" s="2408"/>
      <c r="C15" s="2408"/>
      <c r="D15" s="2408"/>
      <c r="E15" s="2408"/>
      <c r="F15" s="2409"/>
      <c r="G15" s="2405" t="str">
        <f>COVER!T15</f>
        <v>JULIE M. FLOYD, CPA</v>
      </c>
      <c r="H15" s="2406"/>
      <c r="I15" s="2406"/>
      <c r="J15" s="2406"/>
      <c r="K15" s="2406"/>
      <c r="L15" s="2407"/>
    </row>
    <row r="16" spans="1:29" ht="12.2" customHeight="1" x14ac:dyDescent="0.2">
      <c r="A16" s="2385">
        <f>COVER!A25</f>
        <v>62521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217-935-8871</v>
      </c>
      <c r="H18" s="2383"/>
      <c r="I18" s="2383"/>
      <c r="J18" s="2383"/>
      <c r="K18" s="2382" t="str">
        <f>COVER!X21</f>
        <v>217-935-5711</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Heartland Region</v>
      </c>
      <c r="B1" s="2419"/>
      <c r="C1" s="2419"/>
      <c r="D1" s="2419"/>
    </row>
    <row r="2" spans="1:11" s="1212" customFormat="1" ht="12.75" x14ac:dyDescent="0.2">
      <c r="A2" s="2424">
        <f>'Single Audit Cover'!E7</f>
        <v>39000000046</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Heartland Region</v>
      </c>
      <c r="B1" s="2427"/>
      <c r="C1" s="2427"/>
      <c r="D1" s="2427"/>
      <c r="E1" s="2427"/>
    </row>
    <row r="2" spans="1:5" x14ac:dyDescent="0.2">
      <c r="A2" s="2428">
        <f>'Single Audit Cover'!E7</f>
        <v>39000000046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255128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255128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255128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255128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Heartland Region</v>
      </c>
      <c r="C1" s="2431"/>
      <c r="D1" s="2431"/>
      <c r="E1" s="2431"/>
      <c r="F1" s="2431"/>
      <c r="G1" s="2431"/>
      <c r="H1" s="2431"/>
      <c r="I1" s="2431"/>
      <c r="J1" s="2431"/>
      <c r="K1" s="2431"/>
      <c r="L1" s="2431"/>
      <c r="M1" s="2431"/>
    </row>
    <row r="2" spans="2:14" ht="15" x14ac:dyDescent="0.2">
      <c r="B2" s="2432">
        <f>'Single Audit Cover'!E7</f>
        <v>39000000046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Heartland Region</v>
      </c>
      <c r="B1" s="2436"/>
      <c r="C1" s="2436"/>
      <c r="D1" s="2436"/>
      <c r="E1" s="2436"/>
      <c r="F1" s="2436"/>
    </row>
    <row r="2" spans="1:7" ht="13.5" customHeight="1" x14ac:dyDescent="0.2">
      <c r="A2" s="2432">
        <f>'Single Audit Cover'!E7</f>
        <v>39000000046</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2069</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Heartland Region</v>
      </c>
      <c r="C1" s="2452"/>
      <c r="D1" s="2452"/>
      <c r="E1" s="2452"/>
      <c r="F1" s="2452"/>
      <c r="G1" s="2452"/>
      <c r="H1" s="2452"/>
      <c r="I1" s="2452"/>
      <c r="J1" s="1406"/>
    </row>
    <row r="2" spans="2:10" s="317" customFormat="1" ht="12.75" customHeight="1" x14ac:dyDescent="0.2">
      <c r="B2" s="2453">
        <f>'Single Audit Cover'!E7</f>
        <v>39000000046</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2062</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Heartland Region</v>
      </c>
      <c r="C1" s="2451"/>
      <c r="D1" s="2451"/>
      <c r="E1" s="2451"/>
      <c r="F1" s="2451"/>
      <c r="G1" s="2451"/>
      <c r="H1" s="2451"/>
      <c r="I1" s="2451"/>
      <c r="J1" s="2451"/>
      <c r="K1" s="2451"/>
      <c r="L1" s="1371"/>
      <c r="M1" s="1371"/>
    </row>
    <row r="2" spans="1:13" ht="12" customHeight="1" x14ac:dyDescent="0.2">
      <c r="B2" s="2453">
        <f>'Single Audit Cover'!E7</f>
        <v>39000000046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Heartland Region</v>
      </c>
      <c r="C1" s="2478"/>
      <c r="D1" s="2478"/>
      <c r="E1" s="2478"/>
      <c r="F1" s="2478"/>
      <c r="G1" s="2478"/>
      <c r="H1" s="2478"/>
      <c r="I1" s="2478"/>
      <c r="J1" s="2478"/>
      <c r="K1" s="2478"/>
      <c r="L1" s="1449"/>
    </row>
    <row r="2" spans="1:12" ht="12.75" customHeight="1" x14ac:dyDescent="0.2">
      <c r="B2" s="2479">
        <f>'Single Audit Cover'!E7</f>
        <v>39000000046</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Heartland Region</v>
      </c>
      <c r="C1" s="2451"/>
      <c r="D1" s="2451"/>
      <c r="E1" s="1469"/>
    </row>
    <row r="2" spans="2:5" s="1279" customFormat="1" ht="12.75" customHeight="1" x14ac:dyDescent="0.2">
      <c r="B2" s="2453">
        <f>'Single Audit Cover'!E7</f>
        <v>39000000046</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1707991</v>
      </c>
      <c r="E16" s="356"/>
      <c r="F16" s="1733">
        <f>SUM('Acct Summary 7-8'!C17,'Acct Summary 7-8'!D17,'Acct Summary 7-8'!F17)</f>
        <v>1650802</v>
      </c>
      <c r="G16" s="356"/>
      <c r="H16" s="1733">
        <f>SUM(D16-F16)</f>
        <v>57189</v>
      </c>
      <c r="I16" s="222"/>
      <c r="J16" s="1733">
        <f>SUM('Acct Summary 7-8'!C81,'Acct Summary 7-8'!D81,'Acct Summary 7-8'!F81,'Acct Summary 7-8'!I81)</f>
        <v>256217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155429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Heartland Region</v>
      </c>
      <c r="E7" s="391"/>
      <c r="G7" s="252"/>
      <c r="H7" s="387"/>
      <c r="I7" s="387"/>
      <c r="J7" s="387"/>
      <c r="K7" s="387"/>
      <c r="L7" s="329"/>
      <c r="M7" s="329"/>
      <c r="N7" s="329"/>
      <c r="O7" s="329"/>
      <c r="P7" s="329"/>
    </row>
    <row r="8" spans="1:18" ht="12.75" x14ac:dyDescent="0.2">
      <c r="A8" s="329"/>
      <c r="B8" s="329"/>
      <c r="C8" s="389" t="s">
        <v>1125</v>
      </c>
      <c r="D8" s="392">
        <f>COVER!A13</f>
        <v>39000000046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256217</v>
      </c>
      <c r="I12" s="404"/>
      <c r="J12" s="404"/>
      <c r="K12" s="405">
        <f>TRUNC((H12/H13*100000),5)/100000</f>
        <v>0.1500107436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1707991</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1650802</v>
      </c>
      <c r="I17" s="404"/>
      <c r="J17" s="416"/>
      <c r="K17" s="405">
        <f>TRUNC((H17/H18*100000),5)/100000</f>
        <v>0.96651680240000004</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1707991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335694</v>
      </c>
      <c r="I24" s="422"/>
      <c r="J24" s="422"/>
      <c r="K24" s="423">
        <f>TRUNC(((H24/H25*100000)/100000),2)</f>
        <v>73.2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4585.5611099999996</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155429</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335694</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17956</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v>37530</v>
      </c>
      <c r="M12" s="469"/>
      <c r="N12" s="469"/>
    </row>
    <row r="13" spans="1:14" ht="13.5" customHeight="1" thickBot="1" x14ac:dyDescent="0.25">
      <c r="A13" s="1736" t="s">
        <v>644</v>
      </c>
      <c r="B13" s="1709"/>
      <c r="C13" s="1737">
        <f>SUM(C4:C12)</f>
        <v>353650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37530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v>342915</v>
      </c>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342915</v>
      </c>
      <c r="N23" s="1688">
        <f>SUM(N21:N22)</f>
        <v>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25187</v>
      </c>
      <c r="D26" s="467"/>
      <c r="E26" s="467"/>
      <c r="F26" s="467"/>
      <c r="G26" s="467"/>
      <c r="H26" s="467"/>
      <c r="I26" s="467"/>
      <c r="J26" s="474"/>
      <c r="K26" s="467"/>
      <c r="L26" s="468"/>
      <c r="M26" s="468"/>
      <c r="N26" s="468"/>
    </row>
    <row r="27" spans="1:14" ht="13.5" customHeight="1" x14ac:dyDescent="0.2">
      <c r="A27" s="473" t="s">
        <v>647</v>
      </c>
      <c r="B27" s="470">
        <v>430</v>
      </c>
      <c r="C27" s="467">
        <v>2005</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70241</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37530</v>
      </c>
      <c r="M33" s="468"/>
      <c r="N33" s="469"/>
    </row>
    <row r="34" spans="1:14" ht="13.5" customHeight="1" thickBot="1" x14ac:dyDescent="0.25">
      <c r="A34" s="1738" t="s">
        <v>654</v>
      </c>
      <c r="B34" s="1739"/>
      <c r="C34" s="1740">
        <f>SUM(C25:C33)</f>
        <v>97433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37530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155429</v>
      </c>
    </row>
    <row r="37" spans="1:14" ht="13.5" thickBot="1" x14ac:dyDescent="0.25">
      <c r="A37" s="1736" t="s">
        <v>653</v>
      </c>
      <c r="B37" s="1741"/>
      <c r="C37" s="477"/>
      <c r="D37" s="477"/>
      <c r="E37" s="477"/>
      <c r="F37" s="477"/>
      <c r="G37" s="477"/>
      <c r="H37" s="477"/>
      <c r="I37" s="477"/>
      <c r="J37" s="477"/>
      <c r="K37" s="477"/>
      <c r="L37" s="480"/>
      <c r="M37" s="468"/>
      <c r="N37" s="1688">
        <f>SUM(N36:N36)</f>
        <v>155429</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256217</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342915</v>
      </c>
      <c r="N40" s="497"/>
    </row>
    <row r="41" spans="1:14" ht="13.5" customHeight="1" thickBot="1" x14ac:dyDescent="0.25">
      <c r="A41" s="1736" t="s">
        <v>655</v>
      </c>
      <c r="B41" s="1706"/>
      <c r="C41" s="1688">
        <f>(SUM(C34,C37,C38,C39))</f>
        <v>353650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37530</v>
      </c>
      <c r="M41" s="1688">
        <f>SUM(M40)</f>
        <v>342915</v>
      </c>
      <c r="N41" s="1688">
        <f>SUM(N37)</f>
        <v>155429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767700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685163</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255128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1707991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582015</v>
      </c>
      <c r="D9" s="516"/>
      <c r="E9" s="481"/>
      <c r="F9" s="481"/>
      <c r="G9" s="517"/>
      <c r="H9" s="481"/>
      <c r="I9" s="509" t="s">
        <v>1169</v>
      </c>
      <c r="J9" s="478"/>
      <c r="K9" s="481"/>
      <c r="L9" s="347"/>
    </row>
    <row r="10" spans="1:13" s="519" customFormat="1" ht="13.5" thickBot="1" x14ac:dyDescent="0.25">
      <c r="A10" s="1736" t="s">
        <v>1173</v>
      </c>
      <c r="B10" s="1709"/>
      <c r="C10" s="1688">
        <f>SUM(C8:C9)</f>
        <v>2290006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978667</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531216</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140919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1650802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582015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2232817</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4" t="s">
        <v>1655</v>
      </c>
      <c r="B20" s="2125"/>
      <c r="C20" s="1746">
        <f>C8-C17</f>
        <v>57189</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57189</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199028</v>
      </c>
      <c r="D79" s="535"/>
      <c r="E79" s="535"/>
      <c r="F79" s="535"/>
      <c r="G79" s="535"/>
      <c r="H79" s="535"/>
      <c r="I79" s="535"/>
      <c r="J79" s="535"/>
      <c r="K79" s="535"/>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1948</v>
      </c>
      <c r="B81" s="2119"/>
      <c r="C81" s="1688">
        <f>(SUM(C78:C80))</f>
        <v>256217</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57189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0.2232053298571133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29" sqref="C2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767700</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767700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767700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666659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666659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18504</v>
      </c>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18504</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685163</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685163</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255128</v>
      </c>
      <c r="D220" s="466"/>
      <c r="E220" s="468"/>
      <c r="F220" s="468"/>
      <c r="G220" s="466"/>
      <c r="H220" s="468"/>
      <c r="I220" s="468"/>
      <c r="J220" s="468"/>
      <c r="K220" s="468"/>
    </row>
    <row r="221" spans="1:11" ht="12.75" customHeight="1" thickBot="1" x14ac:dyDescent="0.25">
      <c r="A221" s="1723" t="s">
        <v>1085</v>
      </c>
      <c r="B221" s="1724"/>
      <c r="C221" s="1707">
        <f>SUM(C219:C220)</f>
        <v>255128</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255128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255128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1707991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2" activePane="bottomLeft" state="frozen"/>
      <selection pane="bottomLeft" activeCell="H82" sqref="H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704800</v>
      </c>
      <c r="D13" s="466">
        <v>131063</v>
      </c>
      <c r="E13" s="466">
        <v>64514</v>
      </c>
      <c r="F13" s="466">
        <v>68232</v>
      </c>
      <c r="G13" s="466">
        <v>10058</v>
      </c>
      <c r="H13" s="466"/>
      <c r="I13" s="467"/>
      <c r="J13" s="467"/>
      <c r="K13" s="1671">
        <f t="shared" si="0"/>
        <v>978667</v>
      </c>
      <c r="L13" s="466">
        <v>601089</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704800</v>
      </c>
      <c r="D33" s="1670">
        <f t="shared" ref="D33:L33" si="1">SUM(D5:D32)</f>
        <v>131063</v>
      </c>
      <c r="E33" s="1670">
        <f t="shared" si="1"/>
        <v>64514</v>
      </c>
      <c r="F33" s="1670">
        <f t="shared" si="1"/>
        <v>68232</v>
      </c>
      <c r="G33" s="1670">
        <f t="shared" si="1"/>
        <v>10058</v>
      </c>
      <c r="H33" s="1670">
        <f t="shared" si="1"/>
        <v>0</v>
      </c>
      <c r="I33" s="1670">
        <f t="shared" si="1"/>
        <v>0</v>
      </c>
      <c r="J33" s="1670">
        <f t="shared" si="1"/>
        <v>0</v>
      </c>
      <c r="K33" s="1670">
        <f t="shared" si="1"/>
        <v>978667</v>
      </c>
      <c r="L33" s="1670">
        <f t="shared" si="1"/>
        <v>601089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129749</v>
      </c>
      <c r="D37" s="466">
        <v>33252</v>
      </c>
      <c r="E37" s="466">
        <v>22416</v>
      </c>
      <c r="F37" s="466">
        <v>488</v>
      </c>
      <c r="G37" s="466"/>
      <c r="H37" s="466"/>
      <c r="I37" s="467"/>
      <c r="J37" s="467"/>
      <c r="K37" s="1671">
        <f t="shared" si="2"/>
        <v>185905</v>
      </c>
      <c r="L37" s="466">
        <v>134566</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129749</v>
      </c>
      <c r="D42" s="1670">
        <f t="shared" ref="D42:L42" si="3">SUM(D36:D41)</f>
        <v>33252</v>
      </c>
      <c r="E42" s="1670">
        <f t="shared" si="3"/>
        <v>22416</v>
      </c>
      <c r="F42" s="1670">
        <f t="shared" si="3"/>
        <v>488</v>
      </c>
      <c r="G42" s="1670">
        <f t="shared" si="3"/>
        <v>0</v>
      </c>
      <c r="H42" s="1670">
        <f t="shared" si="3"/>
        <v>0</v>
      </c>
      <c r="I42" s="1670">
        <f t="shared" si="3"/>
        <v>0</v>
      </c>
      <c r="J42" s="1670">
        <f t="shared" si="3"/>
        <v>0</v>
      </c>
      <c r="K42" s="1670">
        <f t="shared" si="3"/>
        <v>185905</v>
      </c>
      <c r="L42" s="1670">
        <f t="shared" si="3"/>
        <v>134566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40752</v>
      </c>
      <c r="D44" s="481">
        <v>14573</v>
      </c>
      <c r="E44" s="481">
        <v>12118</v>
      </c>
      <c r="F44" s="481">
        <v>1507</v>
      </c>
      <c r="G44" s="481"/>
      <c r="H44" s="481"/>
      <c r="I44" s="467"/>
      <c r="J44" s="467"/>
      <c r="K44" s="1672">
        <f>SUM(C44:J44)</f>
        <v>68950</v>
      </c>
      <c r="L44" s="481">
        <v>69112</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40752</v>
      </c>
      <c r="D47" s="1670">
        <f t="shared" ref="D47:K47" si="4">SUM(D44:D46)</f>
        <v>14573</v>
      </c>
      <c r="E47" s="1670">
        <f t="shared" si="4"/>
        <v>12118</v>
      </c>
      <c r="F47" s="1670">
        <f t="shared" si="4"/>
        <v>1507</v>
      </c>
      <c r="G47" s="1670">
        <f t="shared" si="4"/>
        <v>0</v>
      </c>
      <c r="H47" s="1670">
        <f t="shared" si="4"/>
        <v>0</v>
      </c>
      <c r="I47" s="1670">
        <f t="shared" si="4"/>
        <v>0</v>
      </c>
      <c r="J47" s="1670">
        <f t="shared" si="4"/>
        <v>0</v>
      </c>
      <c r="K47" s="1670">
        <f t="shared" si="4"/>
        <v>68950</v>
      </c>
      <c r="L47" s="1670">
        <f>SUM(L44:L46)</f>
        <v>69112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36213</v>
      </c>
      <c r="D50" s="466">
        <v>10000</v>
      </c>
      <c r="E50" s="466">
        <v>491</v>
      </c>
      <c r="F50" s="466"/>
      <c r="G50" s="466"/>
      <c r="H50" s="466"/>
      <c r="I50" s="467"/>
      <c r="J50" s="467"/>
      <c r="K50" s="1672">
        <f>SUM(C50:J50)</f>
        <v>46704</v>
      </c>
      <c r="L50" s="466">
        <v>47095</v>
      </c>
    </row>
    <row r="51" spans="1:14" x14ac:dyDescent="0.2">
      <c r="A51" s="1504" t="s">
        <v>42</v>
      </c>
      <c r="B51" s="614">
        <v>2330</v>
      </c>
      <c r="C51" s="466"/>
      <c r="D51" s="466"/>
      <c r="E51" s="466">
        <v>16704</v>
      </c>
      <c r="F51" s="466"/>
      <c r="G51" s="466"/>
      <c r="H51" s="466">
        <v>605</v>
      </c>
      <c r="I51" s="467"/>
      <c r="J51" s="467"/>
      <c r="K51" s="1672">
        <f>SUM(C51:J51)</f>
        <v>17309</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36213</v>
      </c>
      <c r="D53" s="1670">
        <f t="shared" ref="D53:L53" si="5">SUM(D49:D52)</f>
        <v>10000</v>
      </c>
      <c r="E53" s="1670">
        <f t="shared" si="5"/>
        <v>17195</v>
      </c>
      <c r="F53" s="1670">
        <f t="shared" si="5"/>
        <v>0</v>
      </c>
      <c r="G53" s="1670">
        <f t="shared" si="5"/>
        <v>0</v>
      </c>
      <c r="H53" s="1670">
        <f t="shared" si="5"/>
        <v>605</v>
      </c>
      <c r="I53" s="1670">
        <f t="shared" si="5"/>
        <v>0</v>
      </c>
      <c r="J53" s="1670">
        <f t="shared" si="5"/>
        <v>0</v>
      </c>
      <c r="K53" s="1670">
        <f t="shared" si="5"/>
        <v>64013</v>
      </c>
      <c r="L53" s="1670">
        <f t="shared" si="5"/>
        <v>47095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5350</v>
      </c>
      <c r="F60" s="466"/>
      <c r="G60" s="466"/>
      <c r="H60" s="466"/>
      <c r="I60" s="467"/>
      <c r="J60" s="467"/>
      <c r="K60" s="1672">
        <f t="shared" si="7"/>
        <v>5350</v>
      </c>
      <c r="L60" s="466">
        <v>50000</v>
      </c>
      <c r="M60" s="609"/>
      <c r="N60" s="609"/>
    </row>
    <row r="61" spans="1:14" s="343" customFormat="1" x14ac:dyDescent="0.2">
      <c r="A61" s="1504" t="s">
        <v>197</v>
      </c>
      <c r="B61" s="614">
        <v>2540</v>
      </c>
      <c r="C61" s="466"/>
      <c r="D61" s="466"/>
      <c r="E61" s="466">
        <v>180239</v>
      </c>
      <c r="F61" s="466"/>
      <c r="G61" s="466"/>
      <c r="H61" s="466"/>
      <c r="I61" s="467"/>
      <c r="J61" s="467"/>
      <c r="K61" s="1672">
        <f t="shared" si="7"/>
        <v>180239</v>
      </c>
      <c r="L61" s="466"/>
      <c r="M61" s="609"/>
      <c r="N61" s="609"/>
    </row>
    <row r="62" spans="1:14" s="343" customFormat="1" x14ac:dyDescent="0.2">
      <c r="A62" s="1504" t="s">
        <v>953</v>
      </c>
      <c r="B62" s="614">
        <v>2550</v>
      </c>
      <c r="C62" s="466"/>
      <c r="D62" s="466"/>
      <c r="E62" s="466">
        <v>26759</v>
      </c>
      <c r="F62" s="466"/>
      <c r="G62" s="466"/>
      <c r="H62" s="466"/>
      <c r="I62" s="467"/>
      <c r="J62" s="467"/>
      <c r="K62" s="1672">
        <f t="shared" si="7"/>
        <v>26759</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212348</v>
      </c>
      <c r="F65" s="1670">
        <f t="shared" si="8"/>
        <v>0</v>
      </c>
      <c r="G65" s="1670">
        <f t="shared" si="8"/>
        <v>0</v>
      </c>
      <c r="H65" s="1670">
        <f t="shared" si="8"/>
        <v>0</v>
      </c>
      <c r="I65" s="1670">
        <f t="shared" si="8"/>
        <v>0</v>
      </c>
      <c r="J65" s="1670">
        <f t="shared" si="8"/>
        <v>0</v>
      </c>
      <c r="K65" s="1670">
        <f t="shared" si="8"/>
        <v>212348</v>
      </c>
      <c r="L65" s="1670">
        <f t="shared" si="8"/>
        <v>50000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206714</v>
      </c>
      <c r="D74" s="1677">
        <f t="shared" ref="D74:K74" si="10">SUM(D42,D47,D53,D57,D65,D72,D73)</f>
        <v>57825</v>
      </c>
      <c r="E74" s="1677">
        <f t="shared" si="10"/>
        <v>264077</v>
      </c>
      <c r="F74" s="1677">
        <f t="shared" si="10"/>
        <v>1995</v>
      </c>
      <c r="G74" s="1677">
        <f t="shared" si="10"/>
        <v>0</v>
      </c>
      <c r="H74" s="1677">
        <f t="shared" si="10"/>
        <v>605</v>
      </c>
      <c r="I74" s="1677">
        <f t="shared" si="10"/>
        <v>0</v>
      </c>
      <c r="J74" s="1677">
        <f t="shared" si="10"/>
        <v>0</v>
      </c>
      <c r="K74" s="1677">
        <f t="shared" si="10"/>
        <v>531216</v>
      </c>
      <c r="L74" s="1677">
        <f>SUM(L42,L47,L53,L57,L65,L72,L73)</f>
        <v>300773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140919</v>
      </c>
      <c r="I81" s="477"/>
      <c r="J81" s="477"/>
      <c r="K81" s="1671">
        <f t="shared" si="11"/>
        <v>140919</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140919</v>
      </c>
      <c r="I84" s="477"/>
      <c r="J84" s="477"/>
      <c r="K84" s="1670">
        <f>SUM(K78:K83)</f>
        <v>140919</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140919</v>
      </c>
      <c r="I102" s="477"/>
      <c r="J102" s="477"/>
      <c r="K102" s="1677">
        <f>SUM(K84,K92,K100,K101)</f>
        <v>140919</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911514</v>
      </c>
      <c r="D114" s="1670">
        <f t="shared" ref="D114:K114" si="13">SUM(D33,D74,D75,D102,D112,D113)</f>
        <v>188888</v>
      </c>
      <c r="E114" s="1670">
        <f t="shared" si="13"/>
        <v>328591</v>
      </c>
      <c r="F114" s="1670">
        <f t="shared" si="13"/>
        <v>70227</v>
      </c>
      <c r="G114" s="1670">
        <f t="shared" si="13"/>
        <v>10058</v>
      </c>
      <c r="H114" s="1670">
        <f>SUM(H33,H74,H75,H102,H112,H113)</f>
        <v>141524</v>
      </c>
      <c r="I114" s="1670">
        <f t="shared" si="13"/>
        <v>0</v>
      </c>
      <c r="J114" s="1670">
        <f t="shared" si="13"/>
        <v>0</v>
      </c>
      <c r="K114" s="1670">
        <f t="shared" si="13"/>
        <v>1650802</v>
      </c>
      <c r="L114" s="1670">
        <f>SUM(L33,L74,L75,L102,L112,L113)</f>
        <v>901862</v>
      </c>
    </row>
    <row r="115" spans="1:14" ht="13.5" thickTop="1" x14ac:dyDescent="0.2">
      <c r="A115" s="2154" t="s">
        <v>996</v>
      </c>
      <c r="B115" s="2155"/>
      <c r="C115" s="618"/>
      <c r="D115" s="618"/>
      <c r="E115" s="618"/>
      <c r="F115" s="618"/>
      <c r="G115" s="618"/>
      <c r="H115" s="618"/>
      <c r="I115" s="618"/>
      <c r="J115" s="618"/>
      <c r="K115" s="1684">
        <f>'Revenues 9-14'!C268-'Expenditures 15-22'!K114</f>
        <v>57189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4" t="s">
        <v>996</v>
      </c>
      <c r="B175" s="215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4" t="s">
        <v>996</v>
      </c>
      <c r="B211" s="2155"/>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4" t="s">
        <v>996</v>
      </c>
      <c r="B296" s="2155"/>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4d435f69-8686-490b-bd6d-b153bf22ab50"/>
    <ds:schemaRef ds:uri="http://purl.org/dc/elements/1.1/"/>
    <ds:schemaRef ds:uri="http://purl.org/dc/terms/"/>
    <ds:schemaRef ds:uri="http://schemas.microsoft.com/office/2006/documentManagement/types"/>
    <ds:schemaRef ds:uri="http://schemas.microsoft.com/office/infopath/2007/PartnerControls"/>
    <ds:schemaRef ds:uri="http://purl.org/dc/dcmitype/"/>
    <ds:schemaRef ds:uri="d21dc803-237d-4c68-8692-8d731fd29118"/>
    <ds:schemaRef ds:uri="http://schemas.microsoft.com/office/2006/metadata/propertie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2019-10-02T20:36:57Z</cp:lastPrinted>
  <dcterms:created xsi:type="dcterms:W3CDTF">2003-10-29T19:06:34Z</dcterms:created>
  <dcterms:modified xsi:type="dcterms:W3CDTF">2020-01-09T21:55:47Z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