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13_ncr:1_{99ACBE5B-1704-49BD-8A5A-57C009AAAF61}" xr6:coauthVersionLast="36" xr6:coauthVersionMax="36" xr10:uidLastSave="{00000000-0000-0000-0000-000000000000}"/>
  <bookViews>
    <workbookView xWindow="-120" yWindow="-120" windowWidth="19440" windowHeight="151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3" sheetId="176" r:id="rId33"/>
    <sheet name="SSPAF" sheetId="177" r:id="rId34"/>
  </sheets>
  <definedNames>
    <definedName name="_xlnm.Print_Area" localSheetId="27">' SEFA'!$B$1:$M$46</definedName>
    <definedName name="_xlnm.Print_Area" localSheetId="28">'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7" i="179" l="1"/>
  <c r="I15" i="183" l="1"/>
  <c r="G15" i="183"/>
  <c r="L15" i="183" s="1"/>
  <c r="F15" i="183"/>
  <c r="E15" i="183"/>
  <c r="I25" i="179"/>
  <c r="G25" i="179"/>
  <c r="F25" i="179"/>
  <c r="E25" i="179"/>
  <c r="M17" i="179"/>
  <c r="M17" i="183" s="1"/>
  <c r="I17" i="179"/>
  <c r="G17" i="179"/>
  <c r="F17" i="179"/>
  <c r="E17" i="179"/>
  <c r="L27" i="183"/>
  <c r="L26" i="183"/>
  <c r="L25" i="183"/>
  <c r="L24" i="183"/>
  <c r="L23" i="183"/>
  <c r="L22" i="183"/>
  <c r="L21" i="183"/>
  <c r="L20" i="183"/>
  <c r="L19" i="183"/>
  <c r="L18" i="183"/>
  <c r="L16" i="183"/>
  <c r="L14" i="183"/>
  <c r="L13" i="183"/>
  <c r="L12" i="183"/>
  <c r="L11" i="183"/>
  <c r="B4" i="183"/>
  <c r="E17" i="183" l="1"/>
  <c r="F17" i="183"/>
  <c r="I17" i="183"/>
  <c r="G17" i="183"/>
  <c r="L17" i="183"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G40" i="181"/>
  <c r="E40" i="181"/>
  <c r="F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82" i="36"/>
  <c r="D78" i="36"/>
  <c r="K75" i="29"/>
  <c r="C14" i="4" s="1"/>
  <c r="B2558" i="106" s="1"/>
  <c r="D2558" i="106" s="1"/>
  <c r="K130" i="29"/>
  <c r="K185" i="29"/>
  <c r="F62" i="34"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B7003" i="106" s="1"/>
  <c r="D7003" i="106" s="1"/>
  <c r="K97" i="29"/>
  <c r="B7005" i="106" s="1"/>
  <c r="D7005" i="106" s="1"/>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B64" i="127"/>
  <c r="B65" i="127"/>
  <c r="D27" i="108"/>
  <c r="E27" i="108"/>
  <c r="F27" i="108"/>
  <c r="G27" i="108"/>
  <c r="F28" i="108"/>
  <c r="F36" i="108"/>
  <c r="G28" i="108"/>
  <c r="G29" i="108"/>
  <c r="G30" i="108"/>
  <c r="D31" i="108"/>
  <c r="D36" i="108"/>
  <c r="E31" i="108"/>
  <c r="G31" i="108"/>
  <c r="E33"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C67" i="34"/>
  <c r="D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33" i="118"/>
  <c r="J22" i="37"/>
  <c r="L22" i="37"/>
  <c r="D24" i="37"/>
  <c r="B4270" i="106" s="1"/>
  <c r="D4270" i="106" s="1"/>
  <c r="D22" i="37" l="1"/>
  <c r="G14" i="4"/>
  <c r="B2609" i="106" s="1"/>
  <c r="D2609" i="106" s="1"/>
  <c r="F68" i="34"/>
  <c r="E38" i="108"/>
  <c r="G26" i="108"/>
  <c r="D69" i="36"/>
  <c r="B1274" i="106"/>
  <c r="D1274" i="106" s="1"/>
  <c r="F42" i="34"/>
  <c r="H28" i="118"/>
  <c r="B6289" i="106"/>
  <c r="D6289" i="106" s="1"/>
  <c r="J129" i="29"/>
  <c r="B7038" i="106" s="1"/>
  <c r="D7038" i="106" s="1"/>
  <c r="F38" i="34"/>
  <c r="E35" i="108"/>
  <c r="F67" i="34"/>
  <c r="I129" i="29"/>
  <c r="B7037" i="106" s="1"/>
  <c r="D7037" i="106" s="1"/>
  <c r="H112" i="29"/>
  <c r="B7018" i="106" s="1"/>
  <c r="D7018" i="106" s="1"/>
  <c r="C342" i="29"/>
  <c r="B7216" i="106" s="1"/>
  <c r="D7216" i="106" s="1"/>
  <c r="F37" i="34"/>
  <c r="E34" i="108"/>
  <c r="H342" i="29"/>
  <c r="L13" i="11"/>
  <c r="B2060" i="106" s="1"/>
  <c r="D2060" i="106" s="1"/>
  <c r="H76" i="4"/>
  <c r="B3298" i="106" s="1"/>
  <c r="D3298" i="106" s="1"/>
  <c r="F19" i="7"/>
  <c r="B1807" i="106" s="1"/>
  <c r="D1807" i="106" s="1"/>
  <c r="E26" i="108"/>
  <c r="J210" i="29"/>
  <c r="B7072" i="106" s="1"/>
  <c r="D7072" i="106" s="1"/>
  <c r="J41" i="3"/>
  <c r="B6216" i="106" s="1"/>
  <c r="D6216" i="106" s="1"/>
  <c r="B3647" i="106"/>
  <c r="D3647" i="106" s="1"/>
  <c r="C352" i="29"/>
  <c r="B3621" i="106" s="1"/>
  <c r="D3621" i="106" s="1"/>
  <c r="K76" i="4"/>
  <c r="B3586" i="106" s="1"/>
  <c r="D3586" i="106" s="1"/>
  <c r="G15" i="145"/>
  <c r="F36" i="34"/>
  <c r="F77" i="4"/>
  <c r="B3255" i="106" s="1"/>
  <c r="D3255" i="106" s="1"/>
  <c r="B1124" i="106"/>
  <c r="D1124" i="106" s="1"/>
  <c r="G35" i="108"/>
  <c r="F50" i="34"/>
  <c r="I210" i="29"/>
  <c r="B7071" i="106" s="1"/>
  <c r="D7071" i="106" s="1"/>
  <c r="J77" i="4"/>
  <c r="B6262" i="106" s="1"/>
  <c r="D6262" i="106" s="1"/>
  <c r="K184" i="29"/>
  <c r="F13" i="4" s="1"/>
  <c r="B2596" i="106" s="1"/>
  <c r="D2596" i="106" s="1"/>
  <c r="G210" i="29"/>
  <c r="C129" i="29"/>
  <c r="B1225" i="106" s="1"/>
  <c r="D1225" i="106" s="1"/>
  <c r="L367" i="29"/>
  <c r="L5" i="11"/>
  <c r="B2056" i="106" s="1"/>
  <c r="D2056" i="106" s="1"/>
  <c r="F46" i="34"/>
  <c r="J352" i="29"/>
  <c r="J367" i="29" s="1"/>
  <c r="B7245" i="106" s="1"/>
  <c r="D7245" i="106" s="1"/>
  <c r="D6103" i="106"/>
  <c r="H365" i="29"/>
  <c r="B7242" i="106" s="1"/>
  <c r="D7242" i="106" s="1"/>
  <c r="E29" i="108"/>
  <c r="B1126" i="106"/>
  <c r="D112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B1328" i="106" l="1"/>
  <c r="D1328" i="106" s="1"/>
  <c r="B1381" i="106"/>
  <c r="D1381" i="106" s="1"/>
  <c r="N23" i="3"/>
  <c r="B284" i="106" s="1"/>
  <c r="D284" i="106" s="1"/>
  <c r="D44" i="36"/>
  <c r="B7235" i="106"/>
  <c r="D7235" i="106" s="1"/>
  <c r="D51" i="36"/>
  <c r="C367" i="29"/>
  <c r="B3622" i="106" s="1"/>
  <c r="D3622" i="106" s="1"/>
  <c r="B5527" i="106"/>
  <c r="D5527" i="106" s="1"/>
  <c r="B1266" i="106"/>
  <c r="D1266" i="106" s="1"/>
  <c r="I7" i="4"/>
  <c r="B4444" i="106" s="1"/>
  <c r="D4444" i="106" s="1"/>
  <c r="D41" i="108"/>
  <c r="E43" i="108" s="1"/>
  <c r="D7256" i="106"/>
  <c r="D7251" i="106"/>
  <c r="D7250" i="106"/>
  <c r="K77" i="4"/>
  <c r="B3587" i="106" s="1"/>
  <c r="D3587" i="106" s="1"/>
  <c r="D7254" i="106"/>
  <c r="F41" i="108"/>
  <c r="G43" i="108" s="1"/>
  <c r="L16" i="11"/>
  <c r="B2061" i="106" s="1"/>
  <c r="D2061" i="106" s="1"/>
  <c r="L114" i="29"/>
  <c r="C114" i="29"/>
  <c r="B757" i="106" s="1"/>
  <c r="D757" i="106" s="1"/>
  <c r="B5778" i="106"/>
  <c r="D5778" i="106" s="1"/>
  <c r="G6" i="4"/>
  <c r="B2604" i="106" s="1"/>
  <c r="D2604" i="106" s="1"/>
  <c r="K342" i="29"/>
  <c r="F13" i="34" s="1"/>
  <c r="B5770" i="106"/>
  <c r="D5770" i="106" s="1"/>
  <c r="B1365" i="106"/>
  <c r="D1365" i="106" s="1"/>
  <c r="F65" i="34"/>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J20" i="4" l="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<sst xmlns="http://schemas.openxmlformats.org/spreadsheetml/2006/main" count="5205" uniqueCount="2144">
  <si>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</si>
  <si>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</si>
  <si>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</si>
  <si>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</si>
  <si>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</si>
  <si>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</si>
  <si>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</si>
  <si>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</si>
  <si>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</si>
  <si>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</si>
  <si>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</si>
  <si>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</si>
  <si>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</si>
  <si>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</si>
  <si>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</si>
  <si>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</si>
  <si>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</si>
  <si>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</si>
  <si>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</si>
  <si>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</si>
  <si>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</si>
  <si>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</si>
  <si>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</si>
  <si>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</si>
  <si>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</si>
  <si>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</si>
  <si>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</si>
  <si>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</si>
  <si>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</si>
  <si>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</si>
  <si>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</si>
  <si>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</si>
  <si>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</si>
  <si>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</si>
  <si>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</si>
  <si>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</si>
  <si>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</si>
  <si>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</si>
  <si>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</si>
  <si>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</si>
  <si>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</si>
  <si>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</si>
  <si>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</si>
  <si>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</si>
  <si>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</si>
  <si>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</si>
  <si>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</si>
  <si>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</si>
  <si>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</si>
  <si>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</si>
  <si>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</si>
  <si>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</si>
  <si>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</si>
  <si>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</si>
  <si>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</si>
  <si>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</si>
  <si>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</si>
  <si>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</si>
  <si>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</si>
  <si>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</si>
  <si>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</si>
  <si>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</si>
  <si>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</si>
  <si>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</si>
  <si>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</si>
  <si>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</si>
  <si>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</si>
  <si>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</si>
  <si>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</si>
  <si>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</si>
  <si>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</si>
  <si>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</si>
  <si>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</si>
  <si>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</si>
  <si>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</si>
  <si>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</si>
  <si>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</si>
  <si>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</si>
  <si>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</si>
  <si>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</si>
  <si>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</si>
  <si>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</si>
  <si>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</si>
  <si>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</si>
  <si>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</si>
  <si>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</si>
  <si>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</si>
  <si>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</si>
  <si>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</si>
  <si>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</si>
  <si>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</si>
  <si>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</si>
  <si>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</si>
  <si>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</si>
  <si>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</si>
  <si>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</si>
  <si>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</si>
  <si>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</si>
  <si>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</si>
  <si>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</si>
  <si>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</si>
  <si>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</si>
  <si>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</si>
  <si>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</si>
  <si>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</si>
  <si>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</si>
  <si>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</si>
  <si>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</si>
  <si>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</si>
  <si>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</si>
  <si>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</si>
  <si>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</si>
  <si>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</si>
  <si>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</si>
  <si>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</si>
  <si>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</si>
  <si>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</si>
  <si>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</si>
  <si>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</si>
  <si>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</si>
  <si>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</si>
  <si>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</si>
  <si>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</si>
  <si>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</si>
  <si>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</si>
  <si>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</si>
  <si>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</si>
  <si>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</si>
  <si>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</si>
  <si>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</si>
  <si>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</si>
  <si>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</si>
  <si>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</si>
  <si>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</si>
  <si>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</si>
  <si>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</si>
  <si>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</si>
  <si>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</si>
  <si>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</si>
  <si>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</si>
  <si>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</si>
  <si>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</si>
  <si>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</si>
  <si>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</si>
  <si>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</si>
  <si>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</si>
  <si>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</si>
  <si>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</si>
  <si>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</si>
  <si>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</si>
  <si>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</si>
  <si>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</si>
  <si>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</si>
  <si>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</si>
  <si>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</si>
  <si>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</si>
  <si>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</si>
  <si>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</si>
  <si>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</si>
  <si>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</si>
  <si>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</si>
  <si>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</si>
  <si>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</si>
  <si>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</si>
  <si>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</si>
  <si>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</si>
  <si>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</si>
  <si>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</si>
  <si>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</si>
  <si>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</si>
  <si>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</si>
  <si>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</si>
  <si>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</si>
  <si>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</si>
  <si>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</si>
  <si>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</si>
  <si>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</si>
  <si>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</si>
  <si>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</si>
  <si>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</si>
  <si>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</si>
  <si>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</si>
  <si>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</si>
  <si>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</si>
  <si>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</si>
  <si>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</si>
  <si>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</si>
  <si>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</si>
  <si>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</si>
  <si>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</si>
  <si>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</si>
  <si>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</si>
  <si>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</si>
  <si>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</si>
  <si>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</si>
  <si>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</si>
  <si>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</si>
  <si>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</si>
  <si>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</si>
  <si>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</si>
  <si>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</si>
  <si>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</si>
  <si>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</si>
  <si>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</si>
  <si>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</si>
  <si>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</si>
  <si>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</si>
  <si>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</si>
  <si>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</si>
  <si>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</si>
  <si>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</si>
  <si>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</si>
  <si>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</si>
  <si>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</si>
  <si>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</si>
  <si>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</si>
  <si>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</si>
  <si>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</si>
  <si>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</si>
  <si>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</si>
  <si>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</si>
  <si>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</si>
  <si>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</si>
  <si>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</si>
  <si>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</si>
  <si>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</si>
  <si>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</si>
  <si>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</si>
  <si>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</si>
  <si>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</si>
  <si>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</si>
  <si>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</si>
  <si>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</si>
  <si>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</si>
  <si>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</si>
  <si>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</si>
  <si>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</si>
  <si>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</si>
  <si>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</si>
  <si>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</si>
  <si>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</si>
  <si>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</si>
  <si>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</si>
  <si>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</si>
  <si>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</si>
  <si>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</si>
  <si>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</si>
  <si>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</si>
  <si>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</si>
  <si>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</si>
  <si>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</si>
  <si>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</si>
  <si>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</si>
  <si>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</si>
  <si>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</si>
  <si>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</si>
  <si>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</si>
  <si>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</si>
  <si>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</si>
  <si>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</si>
  <si>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</si>
  <si>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</si>
  <si>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</si>
  <si>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</si>
  <si>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</si>
  <si>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</si>
  <si>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</si>
  <si>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</si>
  <si>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</si>
  <si>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</si>
  <si>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</si>
  <si>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</si>
  <si>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</si>
  <si>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</si>
  <si>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</si>
  <si>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</si>
  <si>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</si>
  <si>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</si>
  <si>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</si>
  <si>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</si>
  <si>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</si>
  <si>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</si>
  <si>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</si>
  <si>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</si>
  <si>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</si>
  <si>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</si>
  <si>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</si>
  <si>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</si>
  <si>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</si>
  <si>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</si>
  <si>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</si>
  <si>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</si>
  <si>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</si>
  <si>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</si>
  <si>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</si>
  <si>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</si>
  <si>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</si>
  <si>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</si>
  <si>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</si>
  <si>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</si>
  <si>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</si>
  <si>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</si>
  <si>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</si>
  <si>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</si>
  <si>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</si>
  <si>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</si>
  <si>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</si>
  <si>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</si>
  <si>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</si>
  <si>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</si>
  <si>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</si>
  <si>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</si>
  <si>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</si>
  <si>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</si>
  <si>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</si>
  <si>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</si>
  <si>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</si>
  <si>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</si>
  <si>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</si>
  <si>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</si>
  <si>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</si>
  <si>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</si>
  <si>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</si>
  <si>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</si>
  <si>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</si>
  <si>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</si>
  <si>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</si>
  <si>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</si>
  <si>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</si>
  <si>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</si>
  <si>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</si>
  <si>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</si>
  <si>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</si>
  <si>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</si>
  <si>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</si>
  <si>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</si>
  <si>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</si>
  <si>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</si>
  <si>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</si>
  <si>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</si>
  <si>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</si>
  <si>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</si>
  <si>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</si>
  <si>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</si>
  <si>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</si>
  <si>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</si>
  <si>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</si>
  <si>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</si>
  <si>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</si>
  <si>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</si>
  <si>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</si>
  <si>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</si>
  <si>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</si>
  <si>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</si>
  <si>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</si>
  <si>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</si>
  <si>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</si>
  <si>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</si>
  <si>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</si>
  <si>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</si>
  <si>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</si>
  <si>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</si>
  <si>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</si>
  <si>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</si>
  <si>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</si>
  <si>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</si>
  <si>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</si>
  <si>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</si>
  <si>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</si>
  <si>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</si>
  <si>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</si>
  <si>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</si>
  <si>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</si>
  <si>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</si>
  <si>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</si>
  <si>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</si>
  <si>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</si>
  <si>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</si>
  <si>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</si>
  <si>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</si>
  <si>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</si>
  <si>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</si>
  <si>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</si>
  <si>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</si>
  <si>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</si>
  <si>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</si>
  <si>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</si>
  <si>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</si>
  <si>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</si>
  <si>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</si>
  <si>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</si>
  <si>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</si>
  <si>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</si>
  <si>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</si>
  <si>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</si>
  <si>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</si>
  <si>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</si>
  <si>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</si>
  <si>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</si>
  <si>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</si>
  <si>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</si>
  <si>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</si>
  <si>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</si>
  <si>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</si>
  <si>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</si>
  <si>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</si>
  <si>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</si>
  <si>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</si>
  <si>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</si>
  <si>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</si>
  <si>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</si>
  <si>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</si>
  <si>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</si>
  <si>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</si>
  <si>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</si>
  <si>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</si>
  <si>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</si>
  <si>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</si>
  <si>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</si>
  <si>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</si>
  <si>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</si>
  <si>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</si>
  <si>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</si>
  <si>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</si>
  <si>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</si>
  <si>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</si>
  <si>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</si>
  <si>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</si>
  <si>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</si>
  <si>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</si>
  <si>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</si>
  <si>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</si>
  <si>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</si>
  <si>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</si>
  <si>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</si>
  <si>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</si>
  <si>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</si>
  <si>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</si>
  <si>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</si>
  <si>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</si>
  <si>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</si>
  <si>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</si>
  <si>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</si>
  <si>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</si>
  <si>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</si>
  <si>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</si>
  <si>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</si>
  <si>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</si>
  <si>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</si>
  <si>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</si>
  <si>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</si>
  <si>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</si>
  <si>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</si>
  <si>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</si>
  <si>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</si>
  <si>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</si>
  <si>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</si>
  <si>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</si>
  <si>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</si>
  <si>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</si>
  <si>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</si>
  <si>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</si>
  <si>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</si>
  <si>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</si>
  <si>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</si>
  <si>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</si>
  <si>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</si>
  <si>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</si>
  <si>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</si>
  <si>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</si>
  <si>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</si>
  <si>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</si>
  <si>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</si>
  <si>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</si>
  <si>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</si>
  <si>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</si>
  <si>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</si>
  <si>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</si>
  <si>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</si>
  <si>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</si>
  <si>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</si>
  <si>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</si>
  <si>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</si>
  <si>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</si>
  <si>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</si>
  <si>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</si>
  <si>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</si>
  <si>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</si>
  <si>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</si>
  <si>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</si>
  <si>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</si>
  <si>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</si>
  <si>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</si>
  <si>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</si>
  <si>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</si>
  <si>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</si>
  <si>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</si>
  <si>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</si>
  <si>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</si>
  <si>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</si>
  <si>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</si>
  <si>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</si>
  <si>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</si>
  <si>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</si>
  <si>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</si>
  <si>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</si>
  <si>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</si>
  <si>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</si>
  <si>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</si>
  <si>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</si>
  <si>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</si>
  <si>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</si>
  <si>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</si>
  <si>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</si>
  <si>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</si>
  <si>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</si>
  <si>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</si>
  <si>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</si>
  <si>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</si>
  <si>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</si>
  <si>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</si>
  <si>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</si>
  <si>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</si>
  <si>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</si>
  <si>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</si>
  <si>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</si>
  <si>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</si>
  <si>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</si>
  <si>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</si>
  <si>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</si>
  <si>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</si>
  <si>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</si>
  <si>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</si>
  <si>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</si>
  <si>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</si>
  <si>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</si>
  <si>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</si>
  <si>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</si>
  <si>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</si>
  <si>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</si>
  <si>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</si>
  <si>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</si>
  <si>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</si>
  <si>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</si>
  <si>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</si>
  <si>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</si>
  <si>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</si>
  <si>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</si>
  <si>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</si>
  <si>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</si>
  <si>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</si>
  <si>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</si>
  <si>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</si>
  <si>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</si>
  <si>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</si>
  <si>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</si>
  <si>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</si>
  <si>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</si>
  <si>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</si>
  <si>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</si>
  <si>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</si>
  <si>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</si>
  <si>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</si>
  <si>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</si>
  <si>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</si>
  <si>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</si>
  <si>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</si>
  <si>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</si>
  <si>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</si>
  <si>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</si>
  <si>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</si>
  <si>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</si>
  <si>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</si>
  <si>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</si>
  <si>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</si>
  <si>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</si>
  <si>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</si>
  <si>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</si>
  <si>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</si>
  <si>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</si>
  <si>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</si>
  <si>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</si>
  <si>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</si>
  <si>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</si>
  <si>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</si>
  <si>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</si>
  <si>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</si>
  <si>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</si>
  <si>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</si>
  <si>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</si>
  <si>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</si>
  <si>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</si>
  <si>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</si>
  <si>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</si>
  <si>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</si>
  <si>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</si>
  <si>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</si>
  <si>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</si>
  <si>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</si>
  <si>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</si>
  <si>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</si>
  <si>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</si>
  <si>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</si>
  <si>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</si>
  <si>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</si>
  <si>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</si>
  <si>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</si>
  <si>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</si>
  <si>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</si>
  <si>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</si>
  <si>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</si>
  <si>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</si>
  <si>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</si>
  <si>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</si>
  <si>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</si>
  <si>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</si>
  <si>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</si>
  <si>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</si>
  <si>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</si>
  <si>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</si>
  <si>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</si>
  <si>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</si>
  <si>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</si>
  <si>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</si>
  <si>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</si>
  <si>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</si>
  <si>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</si>
  <si>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</si>
  <si>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</si>
  <si>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</si>
  <si>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</si>
  <si>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</si>
  <si>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</si>
  <si>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</si>
  <si>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</si>
  <si>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</si>
  <si>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</si>
  <si>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</si>
  <si>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</si>
  <si>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</si>
  <si>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</si>
  <si>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</si>
  <si>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</si>
  <si>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</si>
  <si>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</si>
  <si>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</si>
  <si>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</si>
  <si>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</si>
  <si>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</si>
  <si>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</si>
  <si>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</si>
  <si>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</si>
  <si>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</si>
  <si>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</si>
  <si>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</si>
  <si>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</si>
  <si>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</si>
  <si>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</si>
  <si>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</si>
  <si>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</si>
  <si>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</si>
  <si>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</si>
  <si>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</si>
  <si>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</si>
  <si>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</si>
  <si>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</si>
  <si>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</si>
  <si>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</si>
  <si>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</si>
  <si>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</si>
  <si>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</si>
  <si>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</si>
  <si>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</si>
  <si>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</si>
  <si>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</si>
  <si>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</si>
  <si>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</si>
  <si>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</si>
  <si>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</si>
  <si>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</si>
  <si>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</si>
  <si>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</si>
  <si>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</si>
  <si>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</si>
  <si>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</si>
  <si>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</si>
  <si>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</si>
  <si>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</si>
  <si>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</si>
  <si>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</si>
  <si>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</si>
  <si>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</si>
  <si>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</si>
  <si>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</si>
  <si>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</si>
  <si>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</si>
  <si>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</si>
  <si>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</si>
  <si>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</si>
  <si>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</si>
  <si>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</si>
  <si>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</si>
  <si>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</si>
  <si>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</si>
  <si>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</si>
  <si>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</si>
  <si>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</si>
  <si>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</si>
  <si>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</si>
  <si>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</si>
  <si>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</si>
  <si>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</si>
  <si>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</si>
  <si>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</si>
  <si>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</si>
  <si>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</si>
  <si>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</si>
  <si>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</si>
  <si>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</si>
  <si>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</si>
  <si>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</si>
  <si>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</si>
  <si>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</si>
  <si>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</si>
  <si>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</si>
  <si>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</si>
  <si>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</si>
  <si>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</si>
  <si>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</si>
  <si>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</si>
  <si>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</si>
  <si>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</si>
  <si>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</si>
  <si>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</si>
  <si>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</si>
  <si>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</si>
  <si>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</si>
  <si>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</si>
  <si>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</si>
  <si>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</si>
  <si>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</si>
  <si>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</si>
  <si>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</si>
  <si>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</si>
  <si>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</si>
  <si>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</si>
  <si>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</si>
  <si>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</si>
  <si>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</si>
  <si>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</si>
  <si>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</si>
  <si>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</si>
  <si>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</si>
  <si>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</si>
  <si>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</si>
  <si>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</si>
  <si>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</si>
  <si>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</si>
  <si>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</si>
  <si>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</si>
  <si>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</si>
  <si>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</si>
  <si>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</si>
  <si>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</si>
  <si>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</si>
  <si>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</si>
  <si>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</si>
  <si>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</si>
  <si>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</si>
  <si>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</si>
  <si>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</si>
  <si>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</si>
  <si>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</si>
  <si>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</si>
  <si>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</si>
  <si>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</si>
  <si>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</si>
  <si>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</si>
  <si>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</si>
  <si>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</si>
  <si>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</si>
  <si>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</si>
  <si>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</si>
  <si>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</si>
  <si>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</si>
  <si>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</si>
  <si>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</si>
  <si>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</si>
  <si>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</si>
  <si>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</si>
  <si>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</si>
  <si>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</si>
  <si>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</si>
  <si>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</si>
  <si>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</si>
  <si>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</si>
  <si>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</si>
  <si>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</si>
  <si>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</si>
  <si>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</si>
  <si>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</si>
  <si>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</si>
  <si>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</si>
  <si>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</si>
  <si>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</si>
  <si>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</si>
  <si>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</si>
  <si>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</si>
  <si>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</si>
  <si>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</si>
  <si>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</si>
  <si>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</si>
  <si>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</si>
  <si>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</si>
  <si>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</si>
  <si>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</si>
  <si>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</si>
  <si>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</si>
  <si>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</si>
  <si>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</si>
  <si>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</si>
  <si>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</si>
  <si>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</si>
  <si>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</si>
  <si>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</si>
  <si>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</si>
  <si>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</si>
  <si>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</si>
  <si>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</si>
  <si>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</si>
  <si>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</si>
  <si>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</si>
  <si>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</si>
  <si>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</si>
  <si>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</si>
  <si>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</si>
  <si>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</si>
  <si>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</si>
  <si>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</si>
  <si>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</si>
  <si>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</si>
  <si>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</si>
  <si>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</si>
  <si>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</si>
  <si>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</si>
  <si>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</si>
  <si>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</si>
  <si>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</si>
  <si>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</si>
  <si>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</si>
  <si>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</si>
  <si>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</si>
  <si>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</si>
  <si>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</si>
  <si>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</si>
  <si>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</si>
  <si>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</si>
  <si>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</si>
  <si>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</si>
  <si>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</si>
  <si>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</si>
  <si>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</si>
  <si>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</si>
  <si>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</si>
  <si>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</si>
  <si>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</si>
  <si>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</si>
  <si>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</si>
  <si>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</si>
  <si>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</si>
  <si>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</si>
  <si>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</si>
  <si>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</si>
  <si>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</si>
  <si>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</si>
  <si>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</si>
  <si>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</si>
  <si>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</si>
  <si>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</si>
  <si>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</si>
  <si>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</si>
  <si>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</si>
  <si>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</si>
  <si>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</si>
  <si>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</si>
  <si>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</si>
  <si>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</si>
  <si>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</si>
  <si>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</si>
  <si>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</si>
  <si>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</si>
  <si>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</si>
  <si>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</si>
  <si>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</si>
  <si>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</si>
  <si>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</si>
  <si>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</si>
  <si>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</si>
  <si>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</si>
  <si>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</si>
  <si>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</si>
  <si>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</si>
  <si>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</si>
  <si>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</si>
  <si>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</si>
  <si>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</si>
  <si>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</si>
  <si>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</si>
  <si>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</si>
  <si>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</si>
  <si>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</si>
  <si>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</si>
  <si>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</si>
  <si>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</si>
  <si>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</si>
  <si>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</si>
  <si>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</si>
  <si>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</si>
  <si>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</si>
  <si>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</si>
  <si>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</si>
  <si>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</si>
  <si>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</si>
  <si>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</si>
  <si>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</si>
  <si>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</si>
  <si>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</si>
  <si>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</si>
  <si>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</si>
  <si>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</si>
  <si>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</si>
  <si>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</si>
  <si>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</si>
  <si>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</si>
  <si>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</si>
  <si>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</si>
  <si>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</si>
  <si>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</si>
  <si>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</si>
  <si>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</si>
  <si>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</si>
  <si>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</si>
  <si>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</si>
  <si>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</si>
  <si>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</si>
  <si>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</si>
  <si>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</si>
  <si>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</si>
  <si>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</si>
  <si>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</si>
  <si>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</si>
  <si>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</si>
  <si>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</si>
  <si>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</si>
  <si>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</si>
  <si>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</si>
  <si>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</si>
  <si>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</si>
  <si>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</si>
  <si>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</si>
  <si>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</si>
  <si>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</si>
  <si>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</si>
  <si>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</si>
  <si>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</si>
  <si>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</si>
  <si>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</si>
  <si>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</si>
  <si>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</si>
  <si>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</si>
  <si>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</si>
  <si>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</si>
  <si>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</si>
  <si>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</si>
  <si>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</si>
  <si>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</si>
  <si>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</si>
  <si>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</si>
  <si>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</si>
  <si>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</si>
  <si>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</si>
  <si>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</si>
  <si>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</si>
  <si>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</si>
  <si>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</si>
  <si>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</si>
  <si>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</si>
  <si>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</si>
  <si>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</si>
  <si>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</si>
  <si>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</si>
  <si>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</si>
  <si>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</si>
  <si>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</si>
  <si>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</si>
  <si>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</si>
  <si>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</si>
  <si>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</si>
  <si>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</si>
  <si>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</si>
  <si>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</si>
  <si>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</si>
  <si>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</si>
  <si>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</si>
  <si>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</si>
  <si>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</si>
  <si>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</si>
  <si>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</si>
  <si>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</si>
  <si>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</si>
  <si>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</si>
  <si>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</si>
  <si>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</si>
  <si>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</si>
  <si>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</si>
  <si>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</si>
  <si>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</si>
  <si>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</si>
  <si>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</si>
  <si>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</si>
  <si>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</si>
  <si>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</si>
  <si>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</si>
  <si>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</si>
  <si>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</si>
  <si>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</si>
  <si>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</si>
  <si>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</si>
  <si>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</si>
  <si>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</si>
  <si>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</si>
  <si>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</si>
  <si>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</si>
  <si>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</si>
  <si>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</si>
  <si>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</si>
  <si>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</si>
  <si>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</si>
  <si>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</si>
  <si>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</si>
  <si>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</si>
  <si>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</si>
  <si>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</si>
  <si>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</si>
  <si>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</si>
  <si>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</si>
  <si>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</si>
  <si>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</si>
  <si>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</si>
  <si>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</si>
  <si>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</si>
  <si>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</si>
  <si>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</si>
  <si>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</si>
  <si>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</si>
  <si>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</si>
  <si>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</si>
  <si>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</si>
  <si>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</si>
  <si>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</si>
  <si>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</si>
  <si>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</si>
  <si>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</si>
  <si>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</si>
  <si>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</si>
  <si>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</si>
  <si>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</si>
  <si>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</si>
  <si>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</si>
  <si>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</si>
  <si>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</si>
  <si>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</si>
  <si>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</si>
  <si>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</si>
  <si>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</si>
  <si>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</si>
  <si>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</si>
  <si>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</si>
  <si>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</si>
  <si>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</si>
  <si>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</si>
  <si>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</si>
  <si>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</si>
  <si>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</si>
  <si>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</si>
  <si>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</si>
  <si>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</si>
  <si>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</si>
  <si>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</si>
  <si>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</si>
  <si>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</si>
  <si>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</si>
  <si>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</si>
  <si>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</si>
  <si>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</si>
  <si>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</si>
  <si>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</si>
  <si>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</si>
  <si>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</si>
  <si>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</si>
  <si>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</si>
  <si>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</si>
  <si>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</si>
  <si>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</si>
  <si>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</si>
  <si>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</si>
  <si>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</si>
  <si>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</si>
  <si>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</si>
  <si>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</si>
  <si>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</si>
  <si>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</si>
  <si>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</si>
  <si>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</si>
  <si>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</si>
  <si>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</si>
  <si>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</si>
  <si>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</si>
  <si>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</si>
  <si>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</si>
  <si>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</si>
  <si>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</si>
  <si>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</si>
  <si>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</si>
  <si>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</si>
  <si>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</si>
  <si>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</si>
  <si>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</si>
  <si>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</si>
  <si>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</si>
  <si>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</si>
  <si>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</si>
  <si>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</si>
  <si>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</si>
  <si>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</si>
  <si>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</si>
  <si>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</si>
  <si>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</si>
  <si>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</si>
  <si>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</si>
  <si>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</si>
  <si>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</si>
  <si>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</si>
  <si>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</si>
  <si>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</si>
  <si>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</si>
  <si>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</si>
  <si>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</si>
  <si>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</si>
  <si>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</si>
  <si>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</si>
  <si>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</si>
  <si>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</si>
  <si>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</si>
  <si>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</si>
  <si>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</si>
  <si>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</si>
  <si>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</si>
  <si>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</si>
  <si>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</si>
  <si>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</si>
  <si>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</si>
  <si>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</si>
  <si>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</si>
  <si>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</si>
  <si>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</si>
  <si>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</si>
  <si>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</si>
  <si>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</si>
  <si>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</si>
  <si>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</si>
  <si>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</si>
  <si>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</si>
  <si>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</si>
  <si>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</si>
  <si>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</si>
  <si>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</si>
  <si>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</si>
  <si>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</si>
  <si>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</si>
  <si>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</si>
  <si>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</si>
  <si>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</si>
  <si>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</si>
  <si>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</si>
  <si>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</si>
  <si>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</si>
  <si>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</si>
  <si>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</si>
  <si>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</si>
  <si>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</si>
  <si>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</si>
  <si>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</si>
  <si>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</si>
  <si>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</si>
  <si>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</si>
  <si>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</si>
  <si>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</si>
  <si>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</si>
  <si>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</si>
  <si>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</si>
  <si>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</si>
  <si>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</si>
  <si>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</si>
  <si>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</si>
  <si>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</si>
  <si>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</si>
  <si>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</si>
  <si>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</si>
  <si>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</si>
  <si>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</si>
  <si>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</si>
  <si>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</si>
  <si>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</si>
  <si>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</si>
  <si>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</si>
  <si>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</si>
  <si>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</si>
  <si>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</si>
  <si>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</si>
  <si>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</si>
  <si>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</si>
  <si>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</si>
  <si>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</si>
  <si>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</si>
  <si>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</si>
  <si>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</si>
  <si>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</si>
  <si>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</si>
  <si>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</si>
  <si>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</si>
  <si>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</si>
  <si>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</si>
  <si>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</si>
  <si>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</si>
  <si>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</si>
  <si>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</si>
  <si>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</si>
  <si>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</si>
  <si>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</si>
  <si>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</si>
  <si>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</si>
  <si>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</si>
  <si>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</si>
  <si>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</si>
  <si>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</si>
  <si>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</si>
  <si>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</si>
  <si>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</si>
  <si>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</si>
  <si>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</si>
  <si>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</si>
  <si>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</si>
  <si>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</si>
  <si>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</si>
  <si>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</si>
  <si>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</si>
  <si>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</si>
  <si>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</si>
  <si>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</si>
  <si>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</si>
  <si>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</si>
  <si>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</si>
  <si>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</si>
  <si>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</si>
  <si>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</si>
  <si>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</si>
  <si>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</si>
  <si>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</si>
  <si>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</si>
  <si>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</si>
  <si>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</si>
  <si>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</si>
  <si>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</si>
  <si>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</si>
  <si>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</si>
  <si>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</si>
  <si>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</si>
  <si>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</si>
  <si>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</si>
  <si>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</si>
  <si>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</si>
  <si>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</si>
  <si>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</si>
  <si>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</si>
  <si>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</si>
  <si>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</si>
  <si>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</si>
  <si>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</si>
  <si>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</si>
  <si>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</si>
  <si>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</si>
  <si>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</si>
  <si>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</si>
  <si>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</si>
  <si>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</si>
  <si>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</si>
  <si>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</si>
  <si>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</si>
  <si>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</si>
  <si>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</si>
  <si>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</si>
  <si>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</si>
  <si>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</si>
  <si>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</si>
  <si>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</si>
  <si>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</si>
  <si>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</si>
  <si>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</si>
  <si>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</si>
  <si>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</si>
  <si>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</si>
  <si>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</si>
  <si>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</si>
  <si>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</si>
  <si>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</si>
  <si>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</si>
  <si>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</si>
  <si>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</si>
  <si>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</si>
  <si>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</si>
  <si>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</si>
  <si>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</si>
  <si>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</si>
  <si>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</si>
  <si>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</si>
  <si>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</si>
  <si>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</si>
  <si>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</si>
  <si>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</si>
  <si>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</si>
  <si>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</si>
  <si>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</si>
  <si>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</si>
  <si>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</si>
  <si>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</si>
  <si>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</si>
  <si>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</si>
  <si>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</si>
  <si>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</si>
  <si>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</si>
  <si>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</si>
  <si>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</si>
  <si>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</si>
  <si>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</si>
  <si>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</si>
  <si>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</si>
  <si>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</si>
  <si>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</si>
  <si>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</si>
  <si>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</si>
  <si>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</si>
  <si>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</si>
  <si>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</si>
  <si>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</si>
  <si>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</si>
  <si>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</si>
  <si>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</si>
  <si>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</si>
  <si>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</si>
  <si>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</si>
  <si>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</si>
  <si>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</si>
  <si>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</si>
  <si>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</si>
  <si>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</si>
  <si>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</si>
  <si>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</si>
  <si>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</si>
  <si>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</si>
  <si>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</si>
  <si>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</si>
  <si>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</si>
  <si>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</si>
  <si>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</si>
  <si>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</si>
  <si>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</si>
  <si>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</si>
  <si>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</si>
  <si>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</si>
  <si>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</si>
  <si>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</si>
  <si>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</si>
  <si>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</si>
  <si>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</si>
  <si>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</si>
  <si>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</si>
  <si>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</si>
  <si>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</si>
  <si>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</si>
  <si>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</si>
  <si>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</si>
  <si>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</si>
  <si>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</si>
  <si>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</si>
  <si>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</si>
  <si>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</si>
  <si>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</si>
  <si>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</si>
  <si>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</si>
  <si>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</si>
  <si>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</si>
  <si>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</si>
  <si>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</si>
  <si>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</si>
  <si>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</si>
  <si>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</si>
  <si>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</si>
  <si>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</si>
  <si>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</si>
  <si>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</si>
  <si>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</si>
  <si>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</si>
  <si>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</si>
  <si>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</si>
  <si>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</si>
  <si>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</si>
  <si>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</si>
  <si>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</si>
  <si>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</si>
  <si>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</si>
  <si>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</si>
  <si>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</si>
  <si>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</si>
  <si>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</si>
  <si>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</si>
  <si>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</si>
  <si>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</si>
  <si>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</si>
  <si>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</si>
  <si>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</si>
  <si>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</si>
  <si>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</si>
  <si>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</si>
  <si>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</si>
  <si>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</si>
  <si>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</si>
  <si>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</si>
  <si>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</si>
  <si>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</si>
  <si>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</si>
  <si>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</si>
  <si>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</si>
  <si>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</si>
  <si>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</si>
  <si>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</si>
  <si>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</si>
  <si>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</si>
  <si>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</si>
  <si>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</si>
  <si>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</si>
  <si>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</si>
  <si>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</si>
  <si>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</si>
  <si>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</si>
  <si>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</si>
  <si>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</si>
  <si>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</si>
  <si>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</si>
  <si>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</si>
  <si>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</si>
  <si>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</si>
  <si>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</si>
  <si>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</si>
  <si>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</si>
  <si>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</si>
  <si>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</si>
  <si>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</si>
  <si>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</si>
  <si>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</si>
  <si>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</si>
  <si>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</si>
  <si>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</si>
  <si>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</si>
  <si>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</si>
  <si>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</si>
  <si>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</si>
  <si>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</si>
  <si>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</si>
  <si>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</si>
  <si>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</si>
  <si>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</si>
  <si>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</si>
  <si>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</si>
  <si>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</si>
  <si>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</si>
  <si>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</si>
  <si>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</si>
  <si>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</si>
  <si>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</si>
  <si>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</si>
  <si>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</si>
  <si>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</si>
  <si>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</si>
  <si>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</si>
  <si>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</si>
  <si>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</si>
  <si>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</si>
  <si>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</si>
  <si>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</si>
  <si>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</si>
  <si>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</si>
  <si>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</si>
  <si>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</si>
  <si>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</si>
  <si>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</si>
  <si>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</si>
  <si>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</si>
  <si>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</si>
  <si>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</si>
  <si>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</si>
  <si>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</si>
  <si>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</si>
  <si>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</si>
  <si>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</si>
  <si>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</si>
  <si>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</si>
  <si>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</si>
  <si>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</si>
  <si>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</si>
  <si>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</si>
  <si>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</si>
  <si>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</si>
  <si>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</si>
  <si>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</si>
  <si>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</si>
  <si>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</si>
  <si>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</si>
  <si>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</si>
  <si>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</si>
  <si>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</si>
  <si>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</si>
  <si>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</si>
  <si>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</si>
  <si>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</si>
  <si>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</si>
  <si>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</si>
  <si>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</si>
  <si>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</si>
  <si>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</si>
  <si>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</si>
  <si>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</si>
  <si>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</si>
  <si>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</si>
  <si>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</si>
  <si>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</si>
  <si>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</si>
  <si>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</si>
  <si>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</si>
  <si>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</si>
  <si>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</si>
  <si>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</si>
  <si>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</si>
  <si>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</si>
  <si>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</si>
  <si>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</si>
  <si>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</si>
  <si>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</si>
  <si>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</si>
  <si>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</si>
  <si>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</si>
  <si>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</si>
  <si>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</si>
  <si>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</si>
  <si>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</si>
  <si>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</si>
  <si>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</si>
  <si>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</si>
  <si>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</si>
  <si>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</si>
  <si>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</si>
  <si>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</si>
  <si>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</si>
  <si>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</si>
  <si>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</si>
  <si>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</si>
  <si>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</si>
  <si>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</si>
  <si>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</si>
  <si>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</si>
  <si>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</si>
  <si>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</si>
  <si>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</si>
  <si>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</si>
  <si>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</si>
  <si>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</si>
  <si>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</si>
  <si>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</si>
  <si>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</si>
  <si>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</si>
  <si>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</si>
  <si>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</si>
  <si>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</si>
  <si>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</si>
  <si>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</si>
  <si>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</si>
  <si>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</si>
  <si>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</si>
  <si>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</si>
  <si>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</si>
  <si>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</si>
  <si>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</si>
  <si>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</si>
  <si>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</si>
  <si>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</si>
  <si>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</si>
  <si>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</si>
  <si>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</si>
  <si>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</si>
  <si>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</si>
  <si>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</si>
  <si>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</si>
  <si>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</si>
  <si>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</si>
  <si>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</si>
  <si>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</si>
  <si>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</si>
  <si>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</si>
  <si>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</si>
  <si>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</si>
  <si>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</si>
  <si>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</si>
  <si>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</si>
  <si>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</si>
  <si>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</si>
  <si>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</si>
  <si>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</si>
  <si>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</si>
  <si>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</si>
  <si>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</si>
  <si>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</si>
  <si>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</si>
  <si>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</si>
  <si>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</si>
  <si>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</si>
  <si>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</si>
  <si>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</si>
  <si>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</si>
  <si>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</si>
  <si>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</si>
  <si>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</si>
  <si>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</si>
  <si>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</si>
  <si>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</si>
  <si>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</si>
  <si>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</si>
  <si>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</si>
  <si>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</si>
  <si>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</si>
  <si>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</si>
  <si>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</si>
  <si>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</si>
  <si>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</si>
  <si>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</si>
  <si>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</si>
  <si>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</si>
  <si>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</si>
  <si>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</si>
  <si>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</si>
  <si>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</si>
  <si>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</si>
  <si>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</si>
  <si>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</si>
  <si>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</si>
  <si>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</si>
  <si>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</si>
  <si>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</si>
  <si>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</si>
  <si>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</si>
  <si>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</si>
  <si>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</si>
  <si>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</si>
  <si>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</si>
  <si>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</si>
  <si>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</si>
  <si>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</si>
  <si>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</si>
  <si>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</si>
  <si>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</si>
  <si>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</si>
  <si>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</si>
  <si>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</si>
  <si>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</si>
  <si>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</si>
  <si>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</si>
  <si>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</si>
  <si>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</si>
  <si>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</si>
  <si>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</si>
  <si>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</si>
  <si>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</si>
  <si>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</si>
  <si>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</si>
  <si>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</si>
  <si>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</si>
  <si>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</si>
  <si>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</si>
  <si>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</si>
  <si>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</si>
  <si>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</si>
  <si>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</si>
  <si>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</si>
  <si>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</si>
  <si>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</si>
  <si>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</si>
  <si>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</si>
  <si>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</si>
  <si>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</si>
  <si>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</si>
  <si>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</si>
  <si>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</si>
  <si>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</si>
  <si>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</si>
  <si>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</si>
  <si>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</si>
  <si>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</si>
  <si>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</si>
  <si>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</si>
  <si>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</si>
  <si>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</si>
  <si>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</si>
  <si>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</si>
  <si>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</si>
  <si>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</si>
  <si>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</si>
  <si>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</si>
  <si>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</si>
  <si>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</si>
  <si>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</si>
  <si>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</si>
  <si>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</si>
  <si>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</si>
  <si>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</si>
  <si>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</si>
  <si>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</si>
  <si>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</si>
  <si>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</si>
  <si>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</si>
  <si>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</si>
  <si>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</si>
  <si>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</si>
  <si>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</si>
  <si>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</si>
  <si>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</si>
  <si>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</si>
  <si>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</si>
  <si>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</si>
  <si>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</si>
  <si>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</si>
  <si>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</si>
  <si>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</si>
  <si>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</si>
  <si>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</si>
  <si>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</si>
  <si>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</si>
  <si>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</si>
  <si>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</si>
  <si>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</si>
  <si>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</si>
  <si>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</si>
  <si>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</si>
  <si>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</si>
  <si>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</si>
  <si>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</si>
  <si>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</si>
  <si>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</si>
  <si>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</si>
  <si>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</si>
  <si>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</si>
  <si>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</si>
  <si>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</si>
  <si>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</si>
  <si>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</si>
  <si>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</si>
  <si>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</si>
  <si>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</si>
  <si>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</si>
  <si>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</si>
  <si>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</si>
  <si>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</si>
  <si>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</si>
  <si>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</si>
  <si>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</si>
  <si>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</si>
  <si>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</si>
  <si>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</si>
  <si>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</si>
  <si>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</si>
  <si>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</si>
  <si>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</si>
  <si>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</si>
  <si>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</si>
  <si>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</si>
  <si>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</si>
  <si>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</si>
  <si>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</si>
  <si>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</si>
  <si>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</si>
  <si>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</si>
  <si>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</si>
  <si>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</si>
  <si>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</si>
  <si>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</si>
  <si>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</si>
  <si>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</si>
  <si>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</si>
  <si>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</si>
  <si>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</si>
  <si>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</si>
  <si>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</si>
  <si>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</si>
  <si>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</si>
  <si>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</si>
  <si>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</si>
  <si>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</si>
  <si>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</si>
  <si>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</si>
  <si>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</si>
  <si>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</si>
  <si>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</si>
  <si>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</si>
  <si>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</si>
  <si>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</si>
  <si>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</si>
  <si>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</si>
  <si>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</si>
  <si>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</si>
  <si>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</si>
  <si>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</si>
  <si>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</si>
  <si>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</si>
  <si>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</si>
  <si>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</si>
  <si>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</si>
  <si>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</si>
  <si>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</si>
  <si>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</si>
  <si>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</si>
  <si>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</si>
  <si>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</si>
  <si>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</si>
  <si>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</si>
  <si>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</si>
  <si>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</si>
  <si>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</si>
  <si>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</si>
  <si>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</si>
  <si>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</si>
  <si>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</si>
  <si>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</si>
  <si>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</si>
  <si>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</si>
  <si>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</si>
  <si>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</si>
  <si>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</si>
  <si>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</si>
  <si>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</si>
  <si>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</si>
  <si>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</si>
  <si>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</si>
  <si>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</si>
  <si>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</si>
  <si>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</si>
  <si>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</si>
  <si>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</si>
  <si>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</si>
  <si>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</si>
  <si>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</si>
  <si>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</si>
  <si>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</si>
  <si>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</si>
  <si>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</si>
  <si>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</si>
  <si>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</si>
  <si>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</si>
  <si>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</si>
  <si>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</si>
  <si>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</si>
  <si>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</si>
  <si>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</si>
  <si>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</si>
  <si>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</si>
  <si>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</si>
  <si>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</si>
  <si>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</si>
  <si>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</si>
  <si>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</si>
  <si>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</si>
  <si>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</si>
  <si>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</si>
  <si>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</si>
  <si>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</si>
  <si>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</si>
  <si>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</si>
  <si>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</si>
  <si>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</si>
  <si>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</si>
  <si>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</si>
  <si>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</si>
  <si>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</si>
  <si>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</si>
  <si>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</si>
  <si>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</si>
  <si>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</si>
  <si>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</si>
  <si>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</si>
  <si>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</si>
  <si>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</si>
  <si>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</si>
  <si>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</si>
  <si>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</si>
  <si>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</si>
  <si>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</si>
  <si>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</si>
  <si>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</si>
  <si>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</si>
  <si>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</si>
  <si>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</si>
  <si>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</si>
  <si>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</si>
  <si>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</si>
  <si>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</si>
  <si>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</si>
  <si>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</si>
  <si>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</si>
  <si>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</si>
  <si>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</si>
  <si>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</si>
  <si>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</si>
  <si>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</si>
  <si>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</si>
  <si>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</si>
  <si>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</si>
  <si>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</si>
  <si>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</si>
  <si>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</si>
  <si>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</si>
  <si>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</si>
  <si>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</si>
  <si>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</si>
  <si>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</si>
  <si>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</si>
  <si>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</si>
  <si>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</si>
  <si>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</si>
  <si>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</si>
  <si>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</si>
  <si>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</si>
  <si>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</si>
  <si>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</si>
  <si>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</si>
  <si>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</si>
  <si>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</si>
  <si>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</si>
  <si>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</si>
  <si>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</si>
  <si>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</si>
  <si>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</si>
  <si>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</si>
  <si>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</si>
  <si>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</si>
  <si>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</si>
  <si>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</si>
  <si>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</si>
  <si>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</si>
  <si>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</si>
  <si>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</si>
  <si>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</si>
  <si>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</si>
  <si>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</si>
  <si>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</si>
  <si>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</si>
  <si>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</si>
  <si>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</si>
  <si>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</si>
  <si>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</si>
  <si>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</si>
  <si>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</si>
  <si>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</si>
  <si>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</si>
  <si>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</si>
  <si>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</si>
  <si>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</si>
  <si>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</si>
  <si>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</si>
  <si>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</si>
  <si>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</si>
  <si>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</si>
  <si>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</si>
  <si>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</si>
  <si>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</si>
  <si>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</si>
  <si>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</si>
  <si>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</si>
  <si>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</si>
  <si>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</si>
  <si>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</si>
  <si>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</si>
  <si>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</si>
  <si>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</si>
  <si>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</si>
  <si>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</si>
  <si>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</si>
  <si>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</si>
  <si>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</si>
  <si>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</si>
  <si>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</si>
  <si>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</si>
  <si>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</si>
  <si>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</si>
  <si>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</si>
  <si>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</si>
  <si>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</si>
  <si>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</si>
  <si>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</si>
  <si>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</si>
  <si>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</si>
  <si>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</si>
  <si>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</si>
  <si>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</si>
  <si>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</si>
  <si>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</si>
  <si>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</si>
  <si>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</si>
  <si>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</si>
  <si>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</si>
  <si>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</si>
  <si>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</si>
  <si>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</si>
  <si>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</si>
  <si>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</si>
  <si>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</si>
  <si>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</si>
  <si>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</si>
  <si>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</si>
  <si>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</si>
  <si>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</si>
  <si>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</si>
  <si>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</si>
  <si>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</si>
  <si>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</si>
  <si>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</si>
  <si>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</si>
  <si>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</si>
  <si>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</si>
  <si>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</si>
  <si>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</si>
  <si>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</si>
  <si>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</si>
  <si>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</si>
  <si>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</si>
  <si>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</si>
  <si>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</si>
  <si>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</si>
  <si>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</si>
  <si>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</si>
  <si>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</si>
  <si>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</si>
  <si>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</si>
  <si>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</si>
  <si>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</si>
  <si>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Mack &amp; Associates, P.C.</t>
  </si>
  <si>
    <t>Tawnya Mack, CPA</t>
  </si>
  <si>
    <t>116 E. Washington St., Suite One</t>
  </si>
  <si>
    <t>Morris</t>
  </si>
  <si>
    <t>IL</t>
  </si>
  <si>
    <t>815-942-3306</t>
  </si>
  <si>
    <t>815-942-9430</t>
  </si>
  <si>
    <t>066-005100</t>
  </si>
  <si>
    <t>tmack@mackcpas.com</t>
  </si>
  <si>
    <t>x</t>
  </si>
  <si>
    <t>LaSalle</t>
  </si>
  <si>
    <t>1009 Boyce Memorial Dr</t>
  </si>
  <si>
    <t>Ottawa</t>
  </si>
  <si>
    <t>kparzgnat@lease-sped.org</t>
  </si>
  <si>
    <t>Mary Jane Chapman</t>
  </si>
  <si>
    <t>mchapman@lease-sped.org</t>
  </si>
  <si>
    <t>815-433-6433</t>
  </si>
  <si>
    <t>815-433-6164</t>
  </si>
  <si>
    <t>ED - FISCAL SERVICES - PURCHASED SERVICES</t>
  </si>
  <si>
    <t>10-2520-300</t>
  </si>
  <si>
    <t>POWER SCHOOL GROUP, LLC.</t>
  </si>
  <si>
    <t>SPECIALIZED DATA SYSTEMS INC.</t>
  </si>
  <si>
    <t>ED - DATA PROCESSING - PURCHASED SERVICES</t>
  </si>
  <si>
    <t>10-2660-300</t>
  </si>
  <si>
    <t>RELIABLE COMPUTER SERVICE</t>
  </si>
  <si>
    <t>BRECHT'S DATABASE SOLUTIONS, INC</t>
  </si>
  <si>
    <t>ED- CBS CNTRCTL WEBSITE IDEA- PURCHASED SERVICES</t>
  </si>
  <si>
    <t>10-2200-300</t>
  </si>
  <si>
    <t>SWIS UNIV OF OREGON</t>
  </si>
  <si>
    <t>PSIC</t>
  </si>
  <si>
    <t>LEASE is a Special Ed cooperative.  Participating districts include:</t>
  </si>
  <si>
    <t>Page 11, Line 107, Educational Fund - Miscellaneous receipts, Retiree insurance, CBS, Audio receipts</t>
  </si>
  <si>
    <t>Page 11, Line 131, Educational Fund - Illinois Department of Public Health Grant ($18,039), Early Intervention Grant ($1,146)</t>
  </si>
  <si>
    <t>X</t>
  </si>
  <si>
    <t>84.027A</t>
  </si>
  <si>
    <t>US DEPARTMENT OF EDUCATION:</t>
  </si>
  <si>
    <t xml:space="preserve">  PASSED THROUGH ISBE:</t>
  </si>
  <si>
    <t>84.137A</t>
  </si>
  <si>
    <t xml:space="preserve">    SPECIAL ED - PRESCHOOL FLOW-THRU 18 (M)</t>
  </si>
  <si>
    <t>2018-4600</t>
  </si>
  <si>
    <t xml:space="preserve">    IDEA - FLOW-THRU 18 (M)</t>
  </si>
  <si>
    <t>2018-4620</t>
  </si>
  <si>
    <t>TOTAL US DEPARTMENT OF EDUCATION</t>
  </si>
  <si>
    <t>US DEPARTMENT OF AGRICULTURE:</t>
  </si>
  <si>
    <t>N/A</t>
  </si>
  <si>
    <t xml:space="preserve">    NATIONAL SCHOOL LUNCH PROGRAM 18</t>
  </si>
  <si>
    <t>2018-4210</t>
  </si>
  <si>
    <t xml:space="preserve">    COMMODITY CREDIT</t>
  </si>
  <si>
    <t xml:space="preserve">    SCHOOL BREAKFAST PROGRAM 18</t>
  </si>
  <si>
    <t>TOTAL US DEPARTMENT OF AGRICULTURE</t>
  </si>
  <si>
    <t>2018-4220</t>
  </si>
  <si>
    <t>US DEPARTMENT OF HEALTH AND HUMAN SERVICES:</t>
  </si>
  <si>
    <t xml:space="preserve">  PASSED THROUGH IL DHCFS:</t>
  </si>
  <si>
    <t xml:space="preserve">    MEDICAL ASSISTANCE PROGRAM 18</t>
  </si>
  <si>
    <t>2018-4991</t>
  </si>
  <si>
    <t>TOTAL US DEPARTMENT OF HEALTH AND HUMAN SERVICES</t>
  </si>
  <si>
    <t>TOTAL FEDERAL AWARDS</t>
  </si>
  <si>
    <t xml:space="preserve">    SPECIAL ED - PRESCHOOL FLOW-THRU 19 (M)</t>
  </si>
  <si>
    <t xml:space="preserve">    IDEA - FLOW-THRU 19 (M)</t>
  </si>
  <si>
    <t xml:space="preserve">    NATIONAL SCHOOL LUNCH PROGRAM 19</t>
  </si>
  <si>
    <t xml:space="preserve">    SCHOOL BREAKFAST PROGRAM 19</t>
  </si>
  <si>
    <t>2019-4600</t>
  </si>
  <si>
    <t>2019-4620</t>
  </si>
  <si>
    <t>2019-4210</t>
  </si>
  <si>
    <t>2019-4250</t>
  </si>
  <si>
    <t>2019-4220</t>
  </si>
  <si>
    <t xml:space="preserve">    MEDICAL ASSISTANCE PROGRAM 19</t>
  </si>
  <si>
    <t>2019-4991</t>
  </si>
  <si>
    <t>Medicaid Fee for Service Flow-Through included in 2200 above:</t>
  </si>
  <si>
    <t>Rounding differences:</t>
  </si>
  <si>
    <r>
      <t xml:space="preserve">The accompanying Schedule of Expenditures of Federal Awards includes the federal grant activity of L.E.A.S.E. and is presented on the </t>
    </r>
    <r>
      <rPr>
        <b/>
        <sz val="9"/>
        <rFont val="Calibri"/>
        <family val="2"/>
        <scheme val="minor"/>
      </rPr>
      <t>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General-Purpose financial statements.</t>
    </r>
  </si>
  <si>
    <r>
      <t xml:space="preserve">The following amounts were expended in the form of non-cash assistance by L.E.A.S.E. and </t>
    </r>
    <r>
      <rPr>
        <b/>
        <sz val="9"/>
        <rFont val="Calibri"/>
        <family val="2"/>
        <scheme val="minor"/>
      </rPr>
      <t>should be</t>
    </r>
    <r>
      <rPr>
        <sz val="9"/>
        <rFont val="Calibri"/>
        <family val="2"/>
        <scheme val="minor"/>
      </rPr>
      <t xml:space="preserve"> included in the Schedule of Expenditures of Federal Awards:</t>
    </r>
  </si>
  <si>
    <t>Of the federal expenditures presented in the schedule, L.E.A.S.E. provided federal awards to subrecipients as follows:</t>
  </si>
  <si>
    <t>Unmodified</t>
  </si>
  <si>
    <t>84.173A</t>
  </si>
  <si>
    <t>Department of Education Special Education IDEA Cluster</t>
  </si>
  <si>
    <t>NONE</t>
  </si>
  <si>
    <t>See PDF in Opinion Page with signature</t>
  </si>
  <si>
    <t xml:space="preserve">Leland Comm unit #1L; LaSalle Co CU #2, Earlville CU #9; Streator ESD #44; Allen Twp D #65; Tonica CCSD #79; Deer Park CCSD #82; Grand Ridge CCSD #95; </t>
  </si>
  <si>
    <t>LP HSD #120; LaSalle ESD #122; Peru CCSD #124; Oglesby D #125; Ottawa HSD #140; Ottawa ESD #141; Marseilles ESD #150; Seneca HSD #160; Seneca CCSD #170; Dimmick CCSD #175;</t>
  </si>
  <si>
    <t>Waltham CCSD #185; Wallace CCSD #195; Miller Twp CCSD #210; Rutland CCSD #230; Mendota HSD #289; Mendota ESD #289; Lostant CCSD #425; Putnam Co CUSD #535</t>
  </si>
  <si>
    <t>See page 43 of attached audit</t>
  </si>
  <si>
    <t>LaSalle Putnam Alliance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</si>
</sst>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28">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cellStyleXfs>
  <cellXfs count="249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0" fontId="2" fillId="0" borderId="157" xfId="21" applyFont="1" applyBorder="1" applyAlignment="1" applyProtection="1">
      <alignment horizontal="left" vertical="top" wrapText="1"/>
      <protection locked="0"/>
    </xf>
    <xf numFmtId="49" fontId="2" fillId="0" borderId="157" xfId="21" applyNumberFormat="1" applyFont="1" applyBorder="1" applyAlignment="1" applyProtection="1">
      <alignment horizontal="center" vertical="top"/>
      <protection locked="0"/>
    </xf>
    <xf numFmtId="0" fontId="2" fillId="0" borderId="157" xfId="21" applyFont="1" applyBorder="1" applyAlignment="1" applyProtection="1">
      <alignment vertical="top"/>
      <protection locked="0"/>
    </xf>
    <xf numFmtId="38" fontId="2" fillId="0" borderId="157" xfId="21" applyNumberFormat="1" applyBorder="1" applyAlignment="1" applyProtection="1">
      <alignment horizontal="right" vertical="top"/>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133" fillId="0" borderId="105" xfId="22" applyNumberFormat="1" applyFont="1" applyBorder="1" applyAlignment="1" applyProtection="1">
      <alignment horizontal="center" vertical="center"/>
      <protection locked="0"/>
    </xf>
    <xf numFmtId="49" fontId="133" fillId="0" borderId="107" xfId="22" applyNumberFormat="1" applyFont="1" applyFill="1" applyBorder="1" applyAlignment="1" applyProtection="1">
      <alignment horizontal="center" vertical="center"/>
      <protection locked="0"/>
    </xf>
    <xf numFmtId="0" fontId="100" fillId="0" borderId="105" xfId="22" applyFont="1" applyBorder="1" applyProtection="1">
      <protection locked="0"/>
    </xf>
    <xf numFmtId="0" fontId="55" fillId="0" borderId="147" xfId="3" applyFont="1" applyBorder="1" applyProtection="1">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27" applyFont="1" applyBorder="1" applyAlignment="1" applyProtection="1">
      <alignment vertical="top" wrapText="1"/>
      <protection locked="0"/>
    </xf>
    <xf numFmtId="0" fontId="49" fillId="0" borderId="0" xfId="27" applyFont="1" applyBorder="1" applyAlignment="1" applyProtection="1">
      <alignment vertical="top" wrapText="1"/>
      <protection locked="0"/>
    </xf>
    <xf numFmtId="0" fontId="49" fillId="0" borderId="97" xfId="27" applyFont="1" applyBorder="1" applyAlignment="1" applyProtection="1">
      <alignment vertical="top" wrapText="1"/>
      <protection locked="0"/>
    </xf>
    <xf numFmtId="0" fontId="49" fillId="0" borderId="98" xfId="27" applyFont="1" applyBorder="1" applyAlignment="1" applyProtection="1">
      <alignment vertical="top" wrapText="1"/>
      <protection locked="0"/>
    </xf>
    <xf numFmtId="0" fontId="49" fillId="0" borderId="78" xfId="27" applyFont="1" applyBorder="1" applyAlignment="1" applyProtection="1">
      <alignment vertical="top" wrapText="1"/>
      <protection locked="0"/>
    </xf>
    <xf numFmtId="0" fontId="49" fillId="0" borderId="99" xfId="27"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65" fillId="0" borderId="0" xfId="3" quotePrefix="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8">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7" xr:uid="{00000000-0005-0000-0000-000008000000}"/>
    <cellStyle name="Normal 3 2 2_Shared Outsourced Services 31" xfId="22" xr:uid="{00000000-0005-0000-0000-000009000000}"/>
    <cellStyle name="Normal 3 2 3" xfId="24" xr:uid="{00000000-0005-0000-0000-00000A000000}"/>
    <cellStyle name="Normal 3 2_Contracts Paid in CY 29" xfId="20" xr:uid="{00000000-0005-0000-0000-00000B000000}"/>
    <cellStyle name="Normal 3 3" xfId="23" xr:uid="{00000000-0005-0000-0000-00000C000000}"/>
    <cellStyle name="Normal 3_Contracts Paid in CY 29" xfId="19" xr:uid="{00000000-0005-0000-0000-00000D000000}"/>
    <cellStyle name="Normal 4" xfId="16" xr:uid="{00000000-0005-0000-0000-00000E000000}"/>
    <cellStyle name="Normal 4 2" xfId="25" xr:uid="{00000000-0005-0000-0000-00000F000000}"/>
    <cellStyle name="Normal 5" xfId="17" xr:uid="{00000000-0005-0000-0000-000010000000}"/>
    <cellStyle name="Normal 5 2" xfId="26" xr:uid="{00000000-0005-0000-0000-000011000000}"/>
    <cellStyle name="Normal 5_Contracts Paid in CY 29" xfId="21" xr:uid="{00000000-0005-0000-0000-000012000000}"/>
    <cellStyle name="Normal_AFRPG3" xfId="5" xr:uid="{00000000-0005-0000-0000-000013000000}"/>
    <cellStyle name="Normal_AFRPG41" xfId="6" xr:uid="{00000000-0005-0000-0000-000014000000}"/>
    <cellStyle name="Normal_AFRPG47" xfId="7" xr:uid="{00000000-0005-0000-0000-000015000000}"/>
    <cellStyle name="Normal_AFRPG56" xfId="8" xr:uid="{00000000-0005-0000-0000-000016000000}"/>
    <cellStyle name="Normal_AFRPG59" xfId="9" xr:uid="{00000000-0005-0000-0000-000017000000}"/>
    <cellStyle name="Normal_AFRPG63" xfId="10" xr:uid="{00000000-0005-0000-0000-000018000000}"/>
    <cellStyle name="Normal_AFRPG64" xfId="11" xr:uid="{00000000-0005-0000-0000-000019000000}"/>
    <cellStyle name="Normal_COVER" xfId="12" xr:uid="{00000000-0005-0000-0000-00001A000000}"/>
    <cellStyle name="Normal_THRESHOLD CALCULATOR v3" xfId="13" xr:uid="{00000000-0005-0000-0000-00001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1</xdr:col>
          <xdr:colOff>914400</xdr:colOff>
          <xdr:row>15</xdr:row>
          <xdr:rowOff>38100</xdr:rowOff>
        </xdr:to>
        <xdr:sp macro="" textlink="">
          <xdr:nvSpPr>
            <xdr:cNvPr id="50179" name="Object 3" hidden="1">
              <a:extLst>
                <a:ext uri="{63B3BB69-23CF-44E3-9099-C40C66FF867C}">
                  <a14:compatExt spid="_x0000_s50179"/>
                </a:ext>
                <a:ext uri="{FF2B5EF4-FFF2-40B4-BE49-F238E27FC236}">
                  <a16:creationId xmlns:a16="http://schemas.microsoft.com/office/drawing/2014/main" id="{00000000-0008-0000-1400-000003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1</xdr:col>
          <xdr:colOff>914400</xdr:colOff>
          <xdr:row>20</xdr:row>
          <xdr:rowOff>38100</xdr:rowOff>
        </xdr:to>
        <xdr:sp macro="" textlink="">
          <xdr:nvSpPr>
            <xdr:cNvPr id="50180" name="Object 4" hidden="1">
              <a:extLst>
                <a:ext uri="{63B3BB69-23CF-44E3-9099-C40C66FF867C}">
                  <a14:compatExt spid="_x0000_s50180"/>
                </a:ext>
                <a:ext uri="{FF2B5EF4-FFF2-40B4-BE49-F238E27FC236}">
                  <a16:creationId xmlns:a16="http://schemas.microsoft.com/office/drawing/2014/main" id="{00000000-0008-0000-1400-000004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4.bin"/><Relationship Id="rId3" Type="http://schemas.openxmlformats.org/officeDocument/2006/relationships/vmlDrawing" Target="../drawings/vmlDrawing5.vml"/><Relationship Id="rId7" Type="http://schemas.openxmlformats.org/officeDocument/2006/relationships/oleObject" Target="../embeddings/oleObject3.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2.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80" zoomScaleNormal="8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1987</v>
      </c>
      <c r="B1" s="45"/>
      <c r="C1" s="45"/>
      <c r="D1" s="46"/>
      <c r="I1" s="2023" t="s">
        <v>405</v>
      </c>
      <c r="J1" s="2024"/>
      <c r="K1" s="2024"/>
      <c r="L1" s="2024"/>
      <c r="M1" s="2024"/>
      <c r="N1" s="2024"/>
      <c r="O1" s="2024"/>
      <c r="P1" s="2024"/>
      <c r="Q1" s="2024"/>
      <c r="R1" s="2024"/>
      <c r="S1" s="2024"/>
    </row>
    <row r="2" spans="1:28" ht="12" customHeight="1" x14ac:dyDescent="0.2">
      <c r="A2" s="47" t="s">
        <v>1988</v>
      </c>
      <c r="D2" s="48"/>
      <c r="I2" s="2025" t="s">
        <v>979</v>
      </c>
      <c r="J2" s="2024"/>
      <c r="K2" s="2024"/>
      <c r="L2" s="2024"/>
      <c r="M2" s="2024"/>
      <c r="N2" s="2024"/>
      <c r="O2" s="2024"/>
      <c r="P2" s="2024"/>
      <c r="Q2" s="2024"/>
      <c r="R2" s="2024"/>
      <c r="S2" s="2024"/>
    </row>
    <row r="3" spans="1:28" ht="12" customHeight="1" x14ac:dyDescent="0.2">
      <c r="A3" s="155" t="s">
        <v>1940</v>
      </c>
      <c r="B3" s="156"/>
      <c r="C3" s="156"/>
      <c r="D3" s="157"/>
      <c r="I3" s="2025" t="s">
        <v>52</v>
      </c>
      <c r="J3" s="2024"/>
      <c r="K3" s="2024"/>
      <c r="L3" s="2024"/>
      <c r="M3" s="2024"/>
      <c r="N3" s="2024"/>
      <c r="O3" s="2024"/>
      <c r="P3" s="2024"/>
      <c r="Q3" s="2024"/>
      <c r="R3" s="2024"/>
      <c r="S3" s="2024"/>
    </row>
    <row r="4" spans="1:28" ht="12" customHeight="1" x14ac:dyDescent="0.2">
      <c r="A4" s="37"/>
      <c r="I4" s="2025" t="s">
        <v>524</v>
      </c>
      <c r="J4" s="2024"/>
      <c r="K4" s="2024"/>
      <c r="L4" s="2024"/>
      <c r="M4" s="2024"/>
      <c r="N4" s="2024"/>
      <c r="O4" s="2024"/>
      <c r="P4" s="2024"/>
      <c r="Q4" s="2024"/>
      <c r="R4" s="2024"/>
      <c r="S4" s="2024"/>
    </row>
    <row r="5" spans="1:28" ht="14.1" customHeight="1" x14ac:dyDescent="0.2">
      <c r="B5" s="104"/>
      <c r="C5" s="26" t="s">
        <v>910</v>
      </c>
      <c r="D5" s="84"/>
      <c r="E5" s="84"/>
      <c r="H5" s="38"/>
      <c r="I5" s="2032" t="s">
        <v>680</v>
      </c>
      <c r="J5" s="1977"/>
      <c r="K5" s="1977"/>
      <c r="L5" s="1977"/>
      <c r="M5" s="1977"/>
      <c r="N5" s="1977"/>
      <c r="O5" s="1977"/>
      <c r="P5" s="1977"/>
      <c r="Q5" s="1977"/>
      <c r="R5" s="1977"/>
      <c r="S5" s="1977"/>
    </row>
    <row r="6" spans="1:28" ht="14.1" customHeight="1" x14ac:dyDescent="0.2">
      <c r="B6" s="104" t="s">
        <v>2070</v>
      </c>
      <c r="C6" s="26" t="s">
        <v>911</v>
      </c>
      <c r="D6" s="84"/>
      <c r="E6" s="84"/>
      <c r="I6" s="2031" t="s">
        <v>883</v>
      </c>
      <c r="J6" s="1977"/>
      <c r="K6" s="1977"/>
      <c r="L6" s="1977"/>
      <c r="M6" s="1977"/>
      <c r="N6" s="1977"/>
      <c r="O6" s="1977"/>
      <c r="P6" s="1977"/>
      <c r="Q6" s="1977"/>
      <c r="R6" s="1977"/>
      <c r="S6" s="1977"/>
    </row>
    <row r="7" spans="1:28" ht="12.2" customHeight="1" x14ac:dyDescent="0.2">
      <c r="I7" s="2026">
        <v>43646</v>
      </c>
      <c r="J7" s="2027"/>
      <c r="K7" s="2027"/>
      <c r="L7" s="2027"/>
      <c r="M7" s="2027"/>
      <c r="N7" s="2027"/>
      <c r="O7" s="2027"/>
      <c r="P7" s="2027"/>
      <c r="Q7" s="2027"/>
      <c r="R7" s="2027"/>
      <c r="S7" s="202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8" t="s">
        <v>674</v>
      </c>
      <c r="J9" s="2029"/>
      <c r="K9" s="2029"/>
      <c r="L9" s="2029"/>
      <c r="M9" s="2029"/>
      <c r="N9" s="2029"/>
      <c r="O9" s="2029"/>
      <c r="P9" s="2029"/>
      <c r="Q9" s="2029"/>
      <c r="R9" s="2029"/>
      <c r="S9" s="2030"/>
      <c r="T9" s="1973" t="s">
        <v>533</v>
      </c>
      <c r="U9" s="1974"/>
      <c r="V9" s="1974"/>
      <c r="W9" s="1974"/>
      <c r="X9" s="1974"/>
      <c r="Y9" s="1974"/>
      <c r="Z9" s="1974"/>
      <c r="AA9" s="1975"/>
    </row>
    <row r="10" spans="1:28" ht="13.5" customHeight="1" x14ac:dyDescent="0.2">
      <c r="A10" s="1982" t="s">
        <v>675</v>
      </c>
      <c r="B10" s="1983"/>
      <c r="C10" s="1983"/>
      <c r="D10" s="1983"/>
      <c r="E10" s="1983"/>
      <c r="F10" s="1983"/>
      <c r="G10" s="1983"/>
      <c r="H10" s="1984"/>
      <c r="I10" s="29"/>
      <c r="J10" s="30"/>
      <c r="K10" s="28"/>
      <c r="R10" s="30"/>
      <c r="S10" s="30"/>
      <c r="T10" s="1976"/>
      <c r="U10" s="1977"/>
      <c r="V10" s="1977"/>
      <c r="W10" s="1977"/>
      <c r="X10" s="1977"/>
      <c r="Y10" s="1977"/>
      <c r="Z10" s="1977"/>
      <c r="AA10" s="1978"/>
    </row>
    <row r="11" spans="1:28" ht="14.25" customHeight="1" x14ac:dyDescent="0.2">
      <c r="A11" s="1985" t="s">
        <v>955</v>
      </c>
      <c r="B11" s="1986"/>
      <c r="C11" s="1986"/>
      <c r="D11" s="1986"/>
      <c r="E11" s="1986"/>
      <c r="F11" s="1986"/>
      <c r="G11" s="1986"/>
      <c r="H11" s="1987"/>
      <c r="I11" s="27"/>
      <c r="J11" s="74"/>
      <c r="K11" s="27"/>
      <c r="O11" s="148" t="s">
        <v>2070</v>
      </c>
      <c r="P11" s="100" t="s">
        <v>201</v>
      </c>
      <c r="Q11" s="30"/>
      <c r="R11" s="28"/>
      <c r="S11" s="27"/>
      <c r="T11" s="1979"/>
      <c r="U11" s="1980"/>
      <c r="V11" s="1980"/>
      <c r="W11" s="1980"/>
      <c r="X11" s="1980"/>
      <c r="Y11" s="1980"/>
      <c r="Z11" s="1980"/>
      <c r="AA11" s="198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93">
        <v>35050000061</v>
      </c>
      <c r="B13" s="1994"/>
      <c r="C13" s="1994"/>
      <c r="D13" s="1994"/>
      <c r="E13" s="1994"/>
      <c r="F13" s="1994"/>
      <c r="G13" s="1994"/>
      <c r="H13" s="1995"/>
      <c r="I13" s="31"/>
      <c r="J13" s="30"/>
      <c r="K13" s="28"/>
      <c r="L13" s="30"/>
      <c r="M13" s="30"/>
      <c r="N13" s="30"/>
      <c r="O13" s="30"/>
      <c r="P13" s="30"/>
      <c r="Q13" s="30"/>
      <c r="R13" s="30"/>
      <c r="S13" s="30"/>
      <c r="T13" s="1998" t="s">
        <v>2061</v>
      </c>
      <c r="U13" s="1999"/>
      <c r="V13" s="1999"/>
      <c r="W13" s="1999"/>
      <c r="X13" s="1999"/>
      <c r="Y13" s="2000"/>
      <c r="Z13" s="2000"/>
      <c r="AA13" s="2001"/>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91" t="s">
        <v>2071</v>
      </c>
      <c r="B15" s="1996"/>
      <c r="C15" s="1996"/>
      <c r="D15" s="1996"/>
      <c r="E15" s="1996"/>
      <c r="F15" s="1996"/>
      <c r="G15" s="1996"/>
      <c r="H15" s="1997"/>
      <c r="T15" s="1959" t="s">
        <v>2062</v>
      </c>
      <c r="U15" s="1960"/>
      <c r="V15" s="1960"/>
      <c r="W15" s="1960"/>
      <c r="X15" s="1960"/>
      <c r="Y15" s="2002"/>
      <c r="Z15" s="2002"/>
      <c r="AA15" s="2003"/>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51" t="s">
        <v>2143</v>
      </c>
      <c r="B17" s="2021"/>
      <c r="C17" s="2021"/>
      <c r="D17" s="2021"/>
      <c r="E17" s="2021"/>
      <c r="F17" s="2021"/>
      <c r="G17" s="2021"/>
      <c r="H17" s="2022"/>
      <c r="T17" s="2008" t="s">
        <v>2063</v>
      </c>
      <c r="U17" s="2009"/>
      <c r="V17" s="2009"/>
      <c r="W17" s="2009"/>
      <c r="X17" s="2009"/>
      <c r="Y17" s="2009"/>
      <c r="Z17" s="2009"/>
      <c r="AA17" s="2010"/>
    </row>
    <row r="18" spans="1:27" ht="13.5" customHeight="1" x14ac:dyDescent="0.2">
      <c r="A18" s="85" t="s">
        <v>530</v>
      </c>
      <c r="B18" s="76"/>
      <c r="C18" s="72"/>
      <c r="D18" s="76"/>
      <c r="E18" s="76"/>
      <c r="F18" s="76"/>
      <c r="G18" s="76"/>
      <c r="H18" s="56"/>
      <c r="I18" s="2018" t="s">
        <v>676</v>
      </c>
      <c r="J18" s="2019"/>
      <c r="K18" s="2019"/>
      <c r="L18" s="2019"/>
      <c r="M18" s="2019"/>
      <c r="N18" s="2019"/>
      <c r="O18" s="2019"/>
      <c r="P18" s="2019"/>
      <c r="Q18" s="2019"/>
      <c r="R18" s="2019"/>
      <c r="S18" s="2020"/>
      <c r="T18" s="85" t="s">
        <v>711</v>
      </c>
      <c r="U18" s="51"/>
      <c r="V18" s="72"/>
      <c r="W18" s="50"/>
      <c r="X18" s="85" t="s">
        <v>266</v>
      </c>
      <c r="Y18" s="81"/>
      <c r="Z18" s="159" t="s">
        <v>677</v>
      </c>
      <c r="AA18" s="46"/>
    </row>
    <row r="19" spans="1:27" ht="13.5" customHeight="1" x14ac:dyDescent="0.2">
      <c r="A19" s="1991" t="s">
        <v>2072</v>
      </c>
      <c r="B19" s="1992"/>
      <c r="C19" s="1992"/>
      <c r="D19" s="1992"/>
      <c r="E19" s="1992"/>
      <c r="F19" s="1992"/>
      <c r="G19" s="1992"/>
      <c r="H19" s="1990"/>
      <c r="I19" s="30"/>
      <c r="J19" s="99"/>
      <c r="K19" s="40"/>
      <c r="L19" s="38"/>
      <c r="M19" s="112" t="s">
        <v>315</v>
      </c>
      <c r="P19" s="27"/>
      <c r="Q19" s="27"/>
      <c r="R19" s="27"/>
      <c r="S19" s="31"/>
      <c r="T19" s="1991" t="s">
        <v>2064</v>
      </c>
      <c r="U19" s="1989"/>
      <c r="V19" s="1989"/>
      <c r="W19" s="1990"/>
      <c r="X19" s="2006" t="s">
        <v>2065</v>
      </c>
      <c r="Y19" s="2007"/>
      <c r="Z19" s="2004">
        <v>60450</v>
      </c>
      <c r="AA19" s="2005"/>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8" t="s">
        <v>2073</v>
      </c>
      <c r="B21" s="1989"/>
      <c r="C21" s="1989"/>
      <c r="D21" s="1989"/>
      <c r="E21" s="1989"/>
      <c r="F21" s="1989"/>
      <c r="G21" s="1989"/>
      <c r="H21" s="1990"/>
      <c r="I21" s="2014" t="s">
        <v>678</v>
      </c>
      <c r="J21" s="1977"/>
      <c r="K21" s="1977"/>
      <c r="L21" s="1977"/>
      <c r="M21" s="1977"/>
      <c r="N21" s="1977"/>
      <c r="O21" s="1977"/>
      <c r="P21" s="1977"/>
      <c r="Q21" s="1977"/>
      <c r="R21" s="1977"/>
      <c r="S21" s="1978"/>
      <c r="T21" s="1956" t="s">
        <v>2066</v>
      </c>
      <c r="U21" s="1957"/>
      <c r="V21" s="1957"/>
      <c r="W21" s="1957"/>
      <c r="X21" s="1970" t="s">
        <v>2067</v>
      </c>
      <c r="Y21" s="1971"/>
      <c r="Z21" s="1971"/>
      <c r="AA21" s="1972"/>
    </row>
    <row r="22" spans="1:27" ht="13.5" customHeight="1" x14ac:dyDescent="0.2">
      <c r="A22" s="87" t="s">
        <v>531</v>
      </c>
      <c r="B22" s="59"/>
      <c r="C22" s="59"/>
      <c r="D22" s="59"/>
      <c r="E22" s="59"/>
      <c r="F22" s="59"/>
      <c r="G22" s="59"/>
      <c r="H22" s="60"/>
      <c r="I22" s="2015" t="s">
        <v>1429</v>
      </c>
      <c r="J22" s="2016"/>
      <c r="K22" s="2016"/>
      <c r="L22" s="2016"/>
      <c r="M22" s="2016"/>
      <c r="N22" s="2016"/>
      <c r="O22" s="2016"/>
      <c r="P22" s="2016"/>
      <c r="Q22" s="2016"/>
      <c r="R22" s="2016"/>
      <c r="S22" s="2017"/>
      <c r="T22" s="85" t="s">
        <v>1516</v>
      </c>
      <c r="U22" s="51"/>
      <c r="V22" s="72"/>
      <c r="W22" s="51"/>
      <c r="X22" s="160" t="s">
        <v>1318</v>
      </c>
      <c r="Z22" s="45"/>
      <c r="AA22" s="46"/>
    </row>
    <row r="23" spans="1:27" ht="13.5" customHeight="1" x14ac:dyDescent="0.2">
      <c r="A23" s="2011" t="s">
        <v>2074</v>
      </c>
      <c r="B23" s="2012"/>
      <c r="C23" s="2012"/>
      <c r="D23" s="2012"/>
      <c r="E23" s="2012"/>
      <c r="F23" s="2012"/>
      <c r="G23" s="2012"/>
      <c r="H23" s="2013"/>
      <c r="T23" s="1951" t="s">
        <v>2068</v>
      </c>
      <c r="U23" s="1952"/>
      <c r="V23" s="1952"/>
      <c r="W23" s="1952"/>
      <c r="X23" s="1967">
        <v>44530</v>
      </c>
      <c r="Y23" s="1968"/>
      <c r="Z23" s="1968"/>
      <c r="AA23" s="1969"/>
    </row>
    <row r="24" spans="1:27" ht="14.1" customHeight="1" x14ac:dyDescent="0.2">
      <c r="A24" s="88" t="s">
        <v>677</v>
      </c>
      <c r="B24" s="49"/>
      <c r="C24" s="49"/>
      <c r="D24" s="49"/>
      <c r="E24" s="49"/>
      <c r="F24" s="49"/>
      <c r="G24" s="49"/>
      <c r="H24" s="61"/>
      <c r="J24" s="2053" t="str">
        <f>IF(B5="x",IF(AUDITCHECK!D29="AFR form Incomplete.","",IF(AUDITCHECK!D29="Deficit reduction plan is required.","School District must complete a deficit reduction plan in the 2019-2020 Budget",)),"")</f>
        <v/>
      </c>
      <c r="K24" s="2053"/>
      <c r="L24" s="2053"/>
      <c r="M24" s="2053"/>
      <c r="N24" s="2053"/>
      <c r="O24" s="2053"/>
      <c r="P24" s="2053"/>
      <c r="Q24" s="2053"/>
      <c r="R24" s="2053"/>
      <c r="S24" s="2054"/>
      <c r="T24" s="105" t="s">
        <v>531</v>
      </c>
      <c r="U24" s="106"/>
      <c r="V24" s="106"/>
      <c r="W24" s="106"/>
      <c r="X24" s="107"/>
      <c r="Y24" s="107"/>
      <c r="Z24" s="107"/>
      <c r="AA24" s="108"/>
    </row>
    <row r="25" spans="1:27" ht="14.1" customHeight="1" x14ac:dyDescent="0.2">
      <c r="A25" s="1988">
        <v>61350</v>
      </c>
      <c r="B25" s="1989"/>
      <c r="C25" s="1989"/>
      <c r="D25" s="1989"/>
      <c r="E25" s="1989"/>
      <c r="F25" s="1989"/>
      <c r="G25" s="1989"/>
      <c r="H25" s="1990"/>
      <c r="I25" s="113"/>
      <c r="J25" s="2055"/>
      <c r="K25" s="2055"/>
      <c r="L25" s="2055"/>
      <c r="M25" s="2055"/>
      <c r="N25" s="2055"/>
      <c r="O25" s="2055"/>
      <c r="P25" s="2055"/>
      <c r="Q25" s="2055"/>
      <c r="R25" s="2055"/>
      <c r="S25" s="2056"/>
      <c r="T25" s="1948" t="s">
        <v>2069</v>
      </c>
      <c r="U25" s="1949"/>
      <c r="V25" s="1949"/>
      <c r="W25" s="1949"/>
      <c r="X25" s="1949"/>
      <c r="Y25" s="1949"/>
      <c r="Z25" s="1949"/>
      <c r="AA25" s="195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46" t="s">
        <v>1511</v>
      </c>
      <c r="J27" s="2019"/>
      <c r="K27" s="2019"/>
      <c r="L27" s="2019"/>
      <c r="M27" s="2019"/>
      <c r="N27" s="2019"/>
      <c r="O27" s="2019"/>
      <c r="P27" s="2019"/>
      <c r="Q27" s="2019"/>
      <c r="R27" s="2019"/>
      <c r="S27" s="202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2070</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t="s">
        <v>2070</v>
      </c>
      <c r="C30" s="124" t="s">
        <v>1164</v>
      </c>
      <c r="D30" s="28"/>
      <c r="E30" s="28"/>
      <c r="F30" s="140"/>
      <c r="G30" s="114"/>
      <c r="H30" s="114"/>
      <c r="I30" s="54"/>
      <c r="J30" s="148" t="s">
        <v>2070</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c r="K31" s="40" t="s">
        <v>885</v>
      </c>
      <c r="L31" s="148" t="s">
        <v>2070</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2070</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92"/>
      <c r="Q35" s="1989"/>
      <c r="R35" s="198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51" t="s">
        <v>2075</v>
      </c>
      <c r="B38" s="2021"/>
      <c r="C38" s="2021"/>
      <c r="D38" s="2021"/>
      <c r="E38" s="2021"/>
      <c r="F38" s="1989"/>
      <c r="G38" s="1989"/>
      <c r="H38" s="1990"/>
      <c r="I38" s="2040"/>
      <c r="J38" s="1960"/>
      <c r="K38" s="1960"/>
      <c r="L38" s="1960"/>
      <c r="M38" s="1960"/>
      <c r="N38" s="1960"/>
      <c r="O38" s="1960"/>
      <c r="P38" s="1961"/>
      <c r="Q38" s="1961"/>
      <c r="R38" s="1961"/>
      <c r="S38" s="1962"/>
      <c r="T38" s="1959"/>
      <c r="U38" s="1960"/>
      <c r="V38" s="1960"/>
      <c r="W38" s="1960"/>
      <c r="X38" s="1961"/>
      <c r="Y38" s="1961"/>
      <c r="Z38" s="1961"/>
      <c r="AA38" s="1962"/>
    </row>
    <row r="39" spans="1:27" ht="12" customHeight="1" x14ac:dyDescent="0.2">
      <c r="A39" s="2044" t="s">
        <v>531</v>
      </c>
      <c r="B39" s="2045"/>
      <c r="C39" s="72"/>
      <c r="D39" s="69"/>
      <c r="E39" s="69"/>
      <c r="F39" s="79"/>
      <c r="G39" s="69"/>
      <c r="H39" s="56"/>
      <c r="I39" s="2044" t="s">
        <v>531</v>
      </c>
      <c r="J39" s="2045"/>
      <c r="K39" s="2045"/>
      <c r="L39" s="2045"/>
      <c r="M39" s="2045"/>
      <c r="N39" s="67"/>
      <c r="O39" s="72"/>
      <c r="P39" s="72"/>
      <c r="Q39" s="78"/>
      <c r="R39" s="72"/>
      <c r="S39" s="56"/>
      <c r="T39" s="72" t="s">
        <v>531</v>
      </c>
      <c r="U39" s="51"/>
      <c r="V39" s="72"/>
      <c r="W39" s="50"/>
      <c r="X39" s="78"/>
      <c r="Y39" s="45"/>
      <c r="Z39" s="45"/>
      <c r="AA39" s="46"/>
    </row>
    <row r="40" spans="1:27" ht="13.5" customHeight="1" x14ac:dyDescent="0.2">
      <c r="A40" s="2047" t="s">
        <v>2076</v>
      </c>
      <c r="B40" s="2048"/>
      <c r="C40" s="2049"/>
      <c r="D40" s="2049"/>
      <c r="E40" s="2049"/>
      <c r="F40" s="2050"/>
      <c r="G40" s="2050"/>
      <c r="H40" s="2051"/>
      <c r="I40" s="1963"/>
      <c r="J40" s="1965"/>
      <c r="K40" s="1965"/>
      <c r="L40" s="1965"/>
      <c r="M40" s="1965"/>
      <c r="N40" s="1965"/>
      <c r="O40" s="1965"/>
      <c r="P40" s="1965"/>
      <c r="Q40" s="1965"/>
      <c r="R40" s="1965"/>
      <c r="S40" s="1966"/>
      <c r="T40" s="1963"/>
      <c r="U40" s="1964"/>
      <c r="V40" s="1965"/>
      <c r="W40" s="1965"/>
      <c r="X40" s="1965"/>
      <c r="Y40" s="1965"/>
      <c r="Z40" s="1965"/>
      <c r="AA40" s="1966"/>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37" t="s">
        <v>2077</v>
      </c>
      <c r="B42" s="2038"/>
      <c r="C42" s="2039"/>
      <c r="D42" s="2052" t="s">
        <v>2078</v>
      </c>
      <c r="E42" s="2038"/>
      <c r="F42" s="2038"/>
      <c r="G42" s="2038"/>
      <c r="H42" s="2039"/>
      <c r="I42" s="1958"/>
      <c r="J42" s="1954"/>
      <c r="K42" s="1954"/>
      <c r="L42" s="1954"/>
      <c r="M42" s="1954"/>
      <c r="N42" s="1954"/>
      <c r="O42" s="1955"/>
      <c r="P42" s="1953"/>
      <c r="Q42" s="1954"/>
      <c r="R42" s="1954"/>
      <c r="S42" s="1955"/>
      <c r="T42" s="1958"/>
      <c r="U42" s="1954"/>
      <c r="V42" s="1954"/>
      <c r="W42" s="1955"/>
      <c r="X42" s="1953"/>
      <c r="Y42" s="1954"/>
      <c r="Z42" s="1954"/>
      <c r="AA42" s="195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41"/>
      <c r="B44" s="2042"/>
      <c r="C44" s="2042"/>
      <c r="D44" s="2042"/>
      <c r="E44" s="2042"/>
      <c r="F44" s="2042"/>
      <c r="G44" s="2042"/>
      <c r="H44" s="2043"/>
      <c r="I44" s="2033"/>
      <c r="J44" s="2035"/>
      <c r="K44" s="2035"/>
      <c r="L44" s="2035"/>
      <c r="M44" s="2035"/>
      <c r="N44" s="2035"/>
      <c r="O44" s="2035"/>
      <c r="P44" s="2035"/>
      <c r="Q44" s="2035"/>
      <c r="R44" s="2035"/>
      <c r="S44" s="2036"/>
      <c r="T44" s="2033"/>
      <c r="U44" s="2034"/>
      <c r="V44" s="2034"/>
      <c r="W44" s="2034"/>
      <c r="X44" s="2034"/>
      <c r="Y44" s="2034"/>
      <c r="Z44" s="2035"/>
      <c r="AA44" s="2036"/>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1939</v>
      </c>
      <c r="D46" s="41"/>
      <c r="E46" s="41"/>
      <c r="F46" s="41"/>
      <c r="G46" s="41"/>
      <c r="Q46" s="29" t="s">
        <v>1420</v>
      </c>
      <c r="R46" s="41"/>
      <c r="S46" s="41"/>
      <c r="T46" s="41"/>
      <c r="U46" s="41"/>
      <c r="V46" s="41"/>
      <c r="W46" s="41"/>
      <c r="X46" s="41"/>
      <c r="Y46" s="41"/>
      <c r="Z46" s="41"/>
      <c r="AA46" s="41"/>
    </row>
    <row r="47" spans="1:27" x14ac:dyDescent="0.2">
      <c r="A47" s="137"/>
      <c r="Q47" s="41" t="s">
        <v>1922</v>
      </c>
      <c r="R47" s="41"/>
      <c r="S47" s="41"/>
      <c r="T47" s="41"/>
      <c r="U47" s="41"/>
      <c r="V47" s="41"/>
      <c r="W47" s="41"/>
      <c r="X47" s="41"/>
      <c r="Y47" s="41"/>
      <c r="Z47" s="41"/>
      <c r="AA47" s="41"/>
    </row>
    <row r="48" spans="1:27" x14ac:dyDescent="0.2">
      <c r="Q48" s="41" t="s">
        <v>1923</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1855</v>
      </c>
      <c r="C4" s="162" t="s">
        <v>1169</v>
      </c>
      <c r="D4" s="169" t="s">
        <v>10</v>
      </c>
      <c r="E4" s="170" t="s">
        <v>22</v>
      </c>
    </row>
    <row r="5" spans="1:5" x14ac:dyDescent="0.2">
      <c r="A5" s="168" t="s">
        <v>1857</v>
      </c>
      <c r="C5" s="162" t="s">
        <v>1169</v>
      </c>
      <c r="D5" s="169" t="s">
        <v>10</v>
      </c>
      <c r="E5" s="170" t="s">
        <v>22</v>
      </c>
    </row>
    <row r="6" spans="1:5" x14ac:dyDescent="0.2">
      <c r="A6" s="168" t="s">
        <v>1856</v>
      </c>
      <c r="C6" s="162" t="s">
        <v>1169</v>
      </c>
      <c r="D6" s="167" t="s">
        <v>11</v>
      </c>
      <c r="E6" s="170" t="s">
        <v>941</v>
      </c>
    </row>
    <row r="7" spans="1:5" x14ac:dyDescent="0.2">
      <c r="A7" s="168" t="s">
        <v>1858</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1859</v>
      </c>
      <c r="C11" s="162" t="s">
        <v>1169</v>
      </c>
      <c r="D11" s="169" t="s">
        <v>14</v>
      </c>
      <c r="E11" s="170" t="s">
        <v>1156</v>
      </c>
    </row>
    <row r="12" spans="1:5" x14ac:dyDescent="0.2">
      <c r="B12" s="169" t="s">
        <v>1860</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1861</v>
      </c>
      <c r="C15" s="162" t="s">
        <v>1169</v>
      </c>
      <c r="D15" s="169" t="s">
        <v>17</v>
      </c>
      <c r="E15" s="170" t="s">
        <v>636</v>
      </c>
    </row>
    <row r="16" spans="1:5" x14ac:dyDescent="0.2">
      <c r="A16" s="172"/>
      <c r="B16" s="162" t="s">
        <v>1862</v>
      </c>
      <c r="C16" s="162" t="s">
        <v>1169</v>
      </c>
      <c r="D16" s="169" t="s">
        <v>681</v>
      </c>
      <c r="E16" s="170" t="s">
        <v>1040</v>
      </c>
    </row>
    <row r="17" spans="1:5" x14ac:dyDescent="0.2">
      <c r="B17" s="167" t="s">
        <v>988</v>
      </c>
      <c r="C17" s="162" t="s">
        <v>1169</v>
      </c>
    </row>
    <row r="18" spans="1:5" x14ac:dyDescent="0.2">
      <c r="B18" s="167" t="s">
        <v>1868</v>
      </c>
      <c r="D18" s="169" t="s">
        <v>18</v>
      </c>
      <c r="E18" s="170" t="s">
        <v>1041</v>
      </c>
    </row>
    <row r="19" spans="1:5" x14ac:dyDescent="0.2">
      <c r="A19" s="168" t="s">
        <v>1099</v>
      </c>
      <c r="C19" s="162" t="s">
        <v>1169</v>
      </c>
      <c r="D19" s="169"/>
      <c r="E19" s="171"/>
    </row>
    <row r="20" spans="1:5" x14ac:dyDescent="0.2">
      <c r="B20" s="167" t="s">
        <v>1863</v>
      </c>
      <c r="C20" s="162" t="s">
        <v>1169</v>
      </c>
      <c r="D20" s="169" t="s">
        <v>19</v>
      </c>
      <c r="E20" s="170" t="s">
        <v>51</v>
      </c>
    </row>
    <row r="21" spans="1:5" x14ac:dyDescent="0.2">
      <c r="B21" s="167" t="s">
        <v>1864</v>
      </c>
      <c r="C21" s="162" t="s">
        <v>1169</v>
      </c>
      <c r="D21" s="169" t="s">
        <v>20</v>
      </c>
      <c r="E21" s="170" t="s">
        <v>1610</v>
      </c>
    </row>
    <row r="22" spans="1:5" x14ac:dyDescent="0.2">
      <c r="A22" s="168"/>
      <c r="B22" s="162" t="s">
        <v>1852</v>
      </c>
      <c r="C22" s="162" t="s">
        <v>1169</v>
      </c>
      <c r="D22" s="167" t="s">
        <v>1854</v>
      </c>
      <c r="E22" s="1836" t="s">
        <v>1611</v>
      </c>
    </row>
    <row r="23" spans="1:5" x14ac:dyDescent="0.2">
      <c r="A23" s="168"/>
      <c r="B23" s="162" t="s">
        <v>1853</v>
      </c>
      <c r="D23" s="167" t="s">
        <v>637</v>
      </c>
      <c r="E23" s="1836" t="s">
        <v>959</v>
      </c>
    </row>
    <row r="24" spans="1:5" x14ac:dyDescent="0.2">
      <c r="A24" s="168" t="s">
        <v>1609</v>
      </c>
      <c r="C24" s="162" t="s">
        <v>1169</v>
      </c>
      <c r="D24" s="167" t="s">
        <v>1393</v>
      </c>
      <c r="E24" s="170" t="s">
        <v>960</v>
      </c>
    </row>
    <row r="25" spans="1:5" x14ac:dyDescent="0.2">
      <c r="A25" s="168" t="s">
        <v>1865</v>
      </c>
      <c r="C25" s="162" t="s">
        <v>1169</v>
      </c>
      <c r="D25" s="169" t="s">
        <v>21</v>
      </c>
      <c r="E25" s="170" t="s">
        <v>1042</v>
      </c>
    </row>
    <row r="26" spans="1:5" x14ac:dyDescent="0.2">
      <c r="A26" s="168" t="s">
        <v>1866</v>
      </c>
      <c r="C26" s="162" t="s">
        <v>1169</v>
      </c>
      <c r="D26" s="169" t="s">
        <v>563</v>
      </c>
      <c r="E26" s="170" t="s">
        <v>1043</v>
      </c>
    </row>
    <row r="27" spans="1:5" x14ac:dyDescent="0.2">
      <c r="A27" s="168" t="s">
        <v>1867</v>
      </c>
      <c r="C27" s="162" t="s">
        <v>1169</v>
      </c>
      <c r="D27" s="169" t="s">
        <v>557</v>
      </c>
      <c r="E27" s="170" t="s">
        <v>683</v>
      </c>
    </row>
    <row r="28" spans="1:5" x14ac:dyDescent="0.2">
      <c r="A28" s="168" t="s">
        <v>1869</v>
      </c>
      <c r="D28" s="169" t="s">
        <v>684</v>
      </c>
      <c r="E28" s="170" t="s">
        <v>1366</v>
      </c>
    </row>
    <row r="29" spans="1:5" x14ac:dyDescent="0.2">
      <c r="A29" s="168" t="s">
        <v>1870</v>
      </c>
      <c r="D29" s="169" t="s">
        <v>1394</v>
      </c>
      <c r="E29" s="170" t="s">
        <v>1375</v>
      </c>
    </row>
    <row r="30" spans="1:5" x14ac:dyDescent="0.2">
      <c r="A30" s="173" t="s">
        <v>1871</v>
      </c>
      <c r="C30" s="162" t="s">
        <v>1169</v>
      </c>
      <c r="D30" s="169" t="s">
        <v>40</v>
      </c>
      <c r="E30" s="170" t="s">
        <v>982</v>
      </c>
    </row>
    <row r="31" spans="1:5" x14ac:dyDescent="0.2">
      <c r="A31" s="168" t="s">
        <v>1521</v>
      </c>
      <c r="C31" s="162" t="s">
        <v>1169</v>
      </c>
      <c r="D31" s="167"/>
      <c r="E31" s="171"/>
    </row>
    <row r="32" spans="1:5" x14ac:dyDescent="0.2">
      <c r="B32" s="167" t="s">
        <v>1872</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60" t="s">
        <v>1065</v>
      </c>
      <c r="B35" s="2060"/>
      <c r="C35" s="2060"/>
      <c r="D35" s="2060"/>
      <c r="E35" s="206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7" t="s">
        <v>691</v>
      </c>
      <c r="B40" s="2057"/>
      <c r="C40" s="2057"/>
      <c r="D40" s="2057"/>
      <c r="E40" s="2057"/>
    </row>
    <row r="41" spans="1:5" x14ac:dyDescent="0.2">
      <c r="A41" s="2058" t="s">
        <v>1608</v>
      </c>
      <c r="B41" s="2058"/>
      <c r="C41" s="2058"/>
      <c r="D41" s="2058"/>
      <c r="E41" s="2058"/>
    </row>
    <row r="42" spans="1:5" ht="12.75" customHeight="1" x14ac:dyDescent="0.2">
      <c r="A42" s="2059" t="s">
        <v>1022</v>
      </c>
      <c r="B42" s="2059"/>
      <c r="C42" s="2059"/>
      <c r="D42" s="2059"/>
      <c r="E42" s="2059"/>
    </row>
    <row r="43" spans="1:5" ht="6.75" customHeight="1" x14ac:dyDescent="0.2">
      <c r="A43" s="167"/>
      <c r="B43" s="176"/>
    </row>
    <row r="44" spans="1:5" x14ac:dyDescent="0.2">
      <c r="A44" s="185" t="s">
        <v>983</v>
      </c>
      <c r="B44" s="186" t="s">
        <v>1898</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85" t="s">
        <v>1773</v>
      </c>
    </row>
    <row r="60" spans="1:3" x14ac:dyDescent="0.2">
      <c r="A60" s="196"/>
      <c r="B60" s="1485"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87"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86"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5" colorId="8" zoomScale="110" zoomScaleNormal="110" workbookViewId="0">
      <selection activeCell="D119" sqref="D11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1" t="s">
        <v>1168</v>
      </c>
      <c r="B2" s="2061"/>
      <c r="C2" s="2061"/>
      <c r="D2" s="2061"/>
      <c r="E2" s="2061"/>
      <c r="F2" s="2061"/>
      <c r="G2" s="2061"/>
      <c r="H2" s="2061"/>
      <c r="I2" s="2061"/>
      <c r="J2" s="2061"/>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1941</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5" t="s">
        <v>1633</v>
      </c>
      <c r="B35" s="2076"/>
      <c r="C35" s="2076"/>
      <c r="D35" s="2076"/>
      <c r="E35" s="2077"/>
      <c r="F35" s="2077"/>
      <c r="G35" s="2077"/>
      <c r="H35" s="2077"/>
      <c r="I35" s="2077"/>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5" t="s">
        <v>313</v>
      </c>
      <c r="B47" s="2078"/>
      <c r="C47" s="2078"/>
      <c r="D47" s="2078"/>
      <c r="E47" s="2079"/>
      <c r="F47" s="2079"/>
      <c r="G47" s="2079"/>
      <c r="H47" s="2079"/>
      <c r="I47" s="2079"/>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2"/>
      <c r="C57" s="2083"/>
      <c r="D57" s="2083"/>
      <c r="E57" s="2083"/>
      <c r="F57" s="2083"/>
      <c r="G57" s="2083"/>
      <c r="H57" s="2083"/>
      <c r="I57" s="2083"/>
      <c r="J57" s="2084"/>
    </row>
    <row r="58" spans="1:10" s="181" customFormat="1" x14ac:dyDescent="0.2">
      <c r="A58" s="253"/>
      <c r="B58" s="2085"/>
      <c r="C58" s="2086"/>
      <c r="D58" s="2086"/>
      <c r="E58" s="2086"/>
      <c r="F58" s="2086"/>
      <c r="G58" s="2086"/>
      <c r="H58" s="2086"/>
      <c r="I58" s="2086"/>
      <c r="J58" s="2087"/>
    </row>
    <row r="59" spans="1:10" s="181" customFormat="1" x14ac:dyDescent="0.2">
      <c r="A59" s="253"/>
      <c r="B59" s="2085"/>
      <c r="C59" s="2086"/>
      <c r="D59" s="2086"/>
      <c r="E59" s="2086"/>
      <c r="F59" s="2086"/>
      <c r="G59" s="2086"/>
      <c r="H59" s="2086"/>
      <c r="I59" s="2086"/>
      <c r="J59" s="2087"/>
    </row>
    <row r="60" spans="1:10" s="181" customFormat="1" x14ac:dyDescent="0.2">
      <c r="A60" s="253"/>
      <c r="B60" s="2085"/>
      <c r="C60" s="2086"/>
      <c r="D60" s="2086"/>
      <c r="E60" s="2086"/>
      <c r="F60" s="2086"/>
      <c r="G60" s="2086"/>
      <c r="H60" s="2086"/>
      <c r="I60" s="2086"/>
      <c r="J60" s="2087"/>
    </row>
    <row r="61" spans="1:10" s="181" customFormat="1" x14ac:dyDescent="0.2">
      <c r="A61" s="253"/>
      <c r="B61" s="2085"/>
      <c r="C61" s="2086"/>
      <c r="D61" s="2086"/>
      <c r="E61" s="2086"/>
      <c r="F61" s="2086"/>
      <c r="G61" s="2086"/>
      <c r="H61" s="2086"/>
      <c r="I61" s="2086"/>
      <c r="J61" s="2087"/>
    </row>
    <row r="62" spans="1:10" s="181" customFormat="1" x14ac:dyDescent="0.2">
      <c r="A62" s="253"/>
      <c r="B62" s="2085"/>
      <c r="C62" s="2086"/>
      <c r="D62" s="2086"/>
      <c r="E62" s="2086"/>
      <c r="F62" s="2086"/>
      <c r="G62" s="2086"/>
      <c r="H62" s="2086"/>
      <c r="I62" s="2086"/>
      <c r="J62" s="2087"/>
    </row>
    <row r="63" spans="1:10" s="181" customFormat="1" x14ac:dyDescent="0.2">
      <c r="A63" s="253"/>
      <c r="B63" s="2085"/>
      <c r="C63" s="2086"/>
      <c r="D63" s="2086"/>
      <c r="E63" s="2086"/>
      <c r="F63" s="2086"/>
      <c r="G63" s="2086"/>
      <c r="H63" s="2086"/>
      <c r="I63" s="2086"/>
      <c r="J63" s="2087"/>
    </row>
    <row r="64" spans="1:10" s="181" customFormat="1" x14ac:dyDescent="0.2">
      <c r="A64" s="253"/>
      <c r="B64" s="2085"/>
      <c r="C64" s="2086"/>
      <c r="D64" s="2086"/>
      <c r="E64" s="2086"/>
      <c r="F64" s="2086"/>
      <c r="G64" s="2086"/>
      <c r="H64" s="2086"/>
      <c r="I64" s="2086"/>
      <c r="J64" s="2087"/>
    </row>
    <row r="65" spans="1:10" s="181" customFormat="1" x14ac:dyDescent="0.2">
      <c r="A65" s="253"/>
      <c r="B65" s="2085"/>
      <c r="C65" s="2086"/>
      <c r="D65" s="2086"/>
      <c r="E65" s="2086"/>
      <c r="F65" s="2086"/>
      <c r="G65" s="2086"/>
      <c r="H65" s="2086"/>
      <c r="I65" s="2086"/>
      <c r="J65" s="2087"/>
    </row>
    <row r="66" spans="1:10" s="181" customFormat="1" x14ac:dyDescent="0.2">
      <c r="A66" s="253"/>
      <c r="B66" s="2085"/>
      <c r="C66" s="2086"/>
      <c r="D66" s="2086"/>
      <c r="E66" s="2086"/>
      <c r="F66" s="2086"/>
      <c r="G66" s="2086"/>
      <c r="H66" s="2086"/>
      <c r="I66" s="2086"/>
      <c r="J66" s="2087"/>
    </row>
    <row r="67" spans="1:10" s="181" customFormat="1" ht="9" customHeight="1" x14ac:dyDescent="0.2">
      <c r="A67" s="254"/>
      <c r="B67" s="2088"/>
      <c r="C67" s="2089"/>
      <c r="D67" s="2089"/>
      <c r="E67" s="2089"/>
      <c r="F67" s="2089"/>
      <c r="G67" s="2089"/>
      <c r="H67" s="2089"/>
      <c r="I67" s="2089"/>
      <c r="J67" s="209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5" t="s">
        <v>1323</v>
      </c>
      <c r="B70" s="2078"/>
      <c r="C70" s="2078"/>
      <c r="D70" s="2078"/>
      <c r="E70" s="2079"/>
      <c r="F70" s="2079"/>
      <c r="G70" s="2079"/>
      <c r="H70" s="2079"/>
      <c r="I70" s="2079"/>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1926</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1942</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1901</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0" t="s">
        <v>1320</v>
      </c>
      <c r="B83" s="2080"/>
      <c r="C83" s="2080"/>
      <c r="D83" s="2081"/>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1924</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1924</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1925</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2"/>
      <c r="C102" s="2063"/>
      <c r="D102" s="2063"/>
      <c r="E102" s="2063"/>
      <c r="F102" s="2063"/>
      <c r="G102" s="2063"/>
      <c r="H102" s="2063"/>
      <c r="I102" s="2064"/>
    </row>
    <row r="103" spans="1:9" s="181" customFormat="1" ht="11.25" customHeight="1" x14ac:dyDescent="0.2">
      <c r="A103" s="316"/>
      <c r="B103" s="2065"/>
      <c r="C103" s="2066"/>
      <c r="D103" s="2066"/>
      <c r="E103" s="2066"/>
      <c r="F103" s="2066"/>
      <c r="G103" s="2066"/>
      <c r="H103" s="2066"/>
      <c r="I103" s="2067"/>
    </row>
    <row r="104" spans="1:9" s="181" customFormat="1" ht="11.25" customHeight="1" x14ac:dyDescent="0.2">
      <c r="A104" s="316"/>
      <c r="B104" s="2065"/>
      <c r="C104" s="2066"/>
      <c r="D104" s="2066"/>
      <c r="E104" s="2066"/>
      <c r="F104" s="2066"/>
      <c r="G104" s="2066"/>
      <c r="H104" s="2066"/>
      <c r="I104" s="2067"/>
    </row>
    <row r="105" spans="1:9" s="181" customFormat="1" x14ac:dyDescent="0.2">
      <c r="A105" s="316"/>
      <c r="B105" s="2065"/>
      <c r="C105" s="2066"/>
      <c r="D105" s="2066"/>
      <c r="E105" s="2066"/>
      <c r="F105" s="2066"/>
      <c r="G105" s="2066"/>
      <c r="H105" s="2066"/>
      <c r="I105" s="2067"/>
    </row>
    <row r="106" spans="1:9" s="181" customFormat="1" ht="11.25" customHeight="1" x14ac:dyDescent="0.2">
      <c r="A106" s="316"/>
      <c r="B106" s="2065"/>
      <c r="C106" s="2066"/>
      <c r="D106" s="2066"/>
      <c r="E106" s="2066"/>
      <c r="F106" s="2066"/>
      <c r="G106" s="2066"/>
      <c r="H106" s="2066"/>
      <c r="I106" s="2067"/>
    </row>
    <row r="107" spans="1:9" s="181" customFormat="1" ht="11.25" customHeight="1" x14ac:dyDescent="0.2">
      <c r="A107" s="316"/>
      <c r="B107" s="2065"/>
      <c r="C107" s="2066"/>
      <c r="D107" s="2066"/>
      <c r="E107" s="2066"/>
      <c r="F107" s="2066"/>
      <c r="G107" s="2066"/>
      <c r="H107" s="2066"/>
      <c r="I107" s="2067"/>
    </row>
    <row r="108" spans="1:9" s="181" customFormat="1" ht="11.25" customHeight="1" x14ac:dyDescent="0.2">
      <c r="A108" s="316"/>
      <c r="B108" s="2065"/>
      <c r="C108" s="2066"/>
      <c r="D108" s="2066"/>
      <c r="E108" s="2066"/>
      <c r="F108" s="2066"/>
      <c r="G108" s="2066"/>
      <c r="H108" s="2066"/>
      <c r="I108" s="2067"/>
    </row>
    <row r="109" spans="1:9" s="181" customFormat="1" ht="11.25" customHeight="1" x14ac:dyDescent="0.2">
      <c r="A109" s="316"/>
      <c r="B109" s="2065"/>
      <c r="C109" s="2066"/>
      <c r="D109" s="2066"/>
      <c r="E109" s="2066"/>
      <c r="F109" s="2066"/>
      <c r="G109" s="2066"/>
      <c r="H109" s="2066"/>
      <c r="I109" s="2067"/>
    </row>
    <row r="110" spans="1:9" s="181" customFormat="1" ht="11.25" customHeight="1" x14ac:dyDescent="0.2">
      <c r="A110" s="316"/>
      <c r="B110" s="2065"/>
      <c r="C110" s="2066"/>
      <c r="D110" s="2066"/>
      <c r="E110" s="2066"/>
      <c r="F110" s="2066"/>
      <c r="G110" s="2066"/>
      <c r="H110" s="2066"/>
      <c r="I110" s="2067"/>
    </row>
    <row r="111" spans="1:9" s="181" customFormat="1" ht="11.25" customHeight="1" x14ac:dyDescent="0.2">
      <c r="A111" s="316"/>
      <c r="B111" s="2065"/>
      <c r="C111" s="2066"/>
      <c r="D111" s="2066"/>
      <c r="E111" s="2066"/>
      <c r="F111" s="2066"/>
      <c r="G111" s="2066"/>
      <c r="H111" s="2066"/>
      <c r="I111" s="2067"/>
    </row>
    <row r="112" spans="1:9" s="181" customFormat="1" ht="11.25" customHeight="1" x14ac:dyDescent="0.2">
      <c r="A112" s="316"/>
      <c r="B112" s="2068"/>
      <c r="C112" s="2069"/>
      <c r="D112" s="2069"/>
      <c r="E112" s="2069"/>
      <c r="F112" s="2069"/>
      <c r="G112" s="2069"/>
      <c r="H112" s="2069"/>
      <c r="I112" s="207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1" t="s">
        <v>2061</v>
      </c>
      <c r="D114" s="2071"/>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2" t="s">
        <v>1330</v>
      </c>
      <c r="D117" s="2073"/>
      <c r="E117" s="2074"/>
      <c r="F117" s="2074"/>
      <c r="G117" s="2074"/>
      <c r="H117" s="2074"/>
      <c r="I117" s="304"/>
    </row>
    <row r="118" spans="1:9" s="181" customFormat="1" ht="24" customHeight="1" x14ac:dyDescent="0.2">
      <c r="A118" s="316"/>
      <c r="B118" s="316"/>
      <c r="C118" s="316"/>
      <c r="D118" s="323" t="s">
        <v>2138</v>
      </c>
      <c r="E118" s="322"/>
      <c r="F118" s="324"/>
      <c r="G118" s="1840"/>
      <c r="H118" s="322"/>
      <c r="I118" s="304"/>
    </row>
    <row r="119" spans="1:9" s="181" customFormat="1" ht="11.25" customHeight="1" x14ac:dyDescent="0.2">
      <c r="A119" s="325"/>
      <c r="B119" s="325"/>
      <c r="C119" s="326"/>
      <c r="D119" s="327" t="s">
        <v>361</v>
      </c>
      <c r="E119" s="310"/>
      <c r="F119" s="1839" t="s">
        <v>1902</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9"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1" t="s">
        <v>386</v>
      </c>
      <c r="B1" s="2091"/>
      <c r="C1" s="2091"/>
      <c r="D1" s="2091"/>
      <c r="E1" s="2091"/>
      <c r="F1" s="2091"/>
      <c r="G1" s="2091"/>
      <c r="H1" s="2091"/>
      <c r="I1" s="2091"/>
      <c r="J1" s="2091"/>
      <c r="K1" s="2091"/>
      <c r="L1" s="2091"/>
      <c r="M1" s="2091"/>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1943</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732">
        <f>ROUND(D10+F10+H10,5)</f>
        <v>0</v>
      </c>
      <c r="K10" s="222"/>
      <c r="L10" s="355"/>
      <c r="M10" s="222"/>
    </row>
    <row r="11" spans="1:14" ht="7.5" customHeight="1" x14ac:dyDescent="0.2">
      <c r="B11" s="222"/>
      <c r="C11" s="222"/>
      <c r="D11" s="2101" t="str">
        <f>IF(SUM(J10)&lt;=0.0999999,"","Enter the Tax Rates by moving the decimal two places to the left.")</f>
        <v/>
      </c>
      <c r="E11" s="2102"/>
      <c r="F11" s="2102"/>
      <c r="G11" s="2102"/>
      <c r="H11" s="2102"/>
      <c r="I11" s="2102"/>
      <c r="J11" s="210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9755544</v>
      </c>
      <c r="E16" s="356"/>
      <c r="F16" s="1733">
        <f>SUM('Acct Summary 7-8'!C17,'Acct Summary 7-8'!D17,'Acct Summary 7-8'!F17)</f>
        <v>9587325</v>
      </c>
      <c r="G16" s="356"/>
      <c r="H16" s="1733">
        <f>SUM(D16-F16)</f>
        <v>168219</v>
      </c>
      <c r="I16" s="222"/>
      <c r="J16" s="1733">
        <f>SUM('Acct Summary 7-8'!C81,'Acct Summary 7-8'!D81,'Acct Summary 7-8'!F81,'Acct Summary 7-8'!I81)</f>
        <v>1130990</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2058</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2"/>
      <c r="C54" s="2093"/>
      <c r="D54" s="2093"/>
      <c r="E54" s="2093"/>
      <c r="F54" s="2093"/>
      <c r="G54" s="2093"/>
      <c r="H54" s="2093"/>
      <c r="I54" s="2093"/>
      <c r="J54" s="2093"/>
      <c r="K54" s="2093"/>
      <c r="L54" s="2094"/>
      <c r="M54" s="380"/>
    </row>
    <row r="55" spans="1:13" ht="12.75" customHeight="1" x14ac:dyDescent="0.2">
      <c r="B55" s="2095"/>
      <c r="C55" s="2096"/>
      <c r="D55" s="2096"/>
      <c r="E55" s="2096"/>
      <c r="F55" s="2096"/>
      <c r="G55" s="2096"/>
      <c r="H55" s="2096"/>
      <c r="I55" s="2096"/>
      <c r="J55" s="2096"/>
      <c r="K55" s="2096"/>
      <c r="L55" s="2097"/>
      <c r="M55" s="380"/>
    </row>
    <row r="56" spans="1:13" ht="12.75" customHeight="1" x14ac:dyDescent="0.2">
      <c r="B56" s="2095"/>
      <c r="C56" s="2096"/>
      <c r="D56" s="2096"/>
      <c r="E56" s="2096"/>
      <c r="F56" s="2096"/>
      <c r="G56" s="2096"/>
      <c r="H56" s="2096"/>
      <c r="I56" s="2096"/>
      <c r="J56" s="2096"/>
      <c r="K56" s="2096"/>
      <c r="L56" s="2097"/>
      <c r="M56" s="222"/>
    </row>
    <row r="57" spans="1:13" ht="12.75" customHeight="1" x14ac:dyDescent="0.2">
      <c r="B57" s="2095"/>
      <c r="C57" s="2096"/>
      <c r="D57" s="2096"/>
      <c r="E57" s="2096"/>
      <c r="F57" s="2096"/>
      <c r="G57" s="2096"/>
      <c r="H57" s="2096"/>
      <c r="I57" s="2096"/>
      <c r="J57" s="2096"/>
      <c r="K57" s="2096"/>
      <c r="L57" s="2097"/>
      <c r="M57" s="222"/>
    </row>
    <row r="58" spans="1:13" x14ac:dyDescent="0.2">
      <c r="B58" s="2098"/>
      <c r="C58" s="2099"/>
      <c r="D58" s="2099"/>
      <c r="E58" s="2099"/>
      <c r="F58" s="2099"/>
      <c r="G58" s="2099"/>
      <c r="H58" s="2099"/>
      <c r="I58" s="2099"/>
      <c r="J58" s="2099"/>
      <c r="K58" s="2099"/>
      <c r="L58" s="210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3"/>
      <c r="D61" s="210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6"/>
      <c r="B1" s="2107"/>
      <c r="C1" s="2107"/>
      <c r="D1" s="384"/>
      <c r="E1" s="384"/>
      <c r="F1" s="384"/>
      <c r="G1" s="384"/>
      <c r="H1" s="384"/>
      <c r="I1" s="384"/>
      <c r="J1" s="384"/>
      <c r="K1" s="384"/>
      <c r="L1" s="384"/>
      <c r="M1" s="384"/>
      <c r="N1" s="384"/>
      <c r="O1" s="2106"/>
      <c r="P1" s="2107"/>
      <c r="Q1" s="2107"/>
    </row>
    <row r="2" spans="1:18" ht="15" x14ac:dyDescent="0.2">
      <c r="A2" s="2110" t="s">
        <v>556</v>
      </c>
      <c r="B2" s="2110"/>
      <c r="C2" s="2110"/>
      <c r="D2" s="2110"/>
      <c r="E2" s="2110"/>
      <c r="F2" s="2110"/>
      <c r="G2" s="2110"/>
      <c r="H2" s="2110"/>
      <c r="I2" s="2110"/>
      <c r="J2" s="2110"/>
      <c r="K2" s="2110"/>
      <c r="L2" s="2110"/>
      <c r="M2" s="2110"/>
      <c r="N2" s="2110"/>
      <c r="O2" s="2110"/>
      <c r="P2" s="2110"/>
      <c r="Q2" s="2110"/>
      <c r="R2" s="2110"/>
    </row>
    <row r="3" spans="1:18" ht="12.75" x14ac:dyDescent="0.2">
      <c r="A3" s="2111" t="s">
        <v>1413</v>
      </c>
      <c r="B3" s="2111"/>
      <c r="C3" s="2111"/>
      <c r="D3" s="2111"/>
      <c r="E3" s="2111"/>
      <c r="F3" s="2111"/>
      <c r="G3" s="2111"/>
      <c r="H3" s="2111"/>
      <c r="I3" s="2111"/>
      <c r="J3" s="2111"/>
      <c r="K3" s="2111"/>
      <c r="L3" s="2111"/>
      <c r="M3" s="2111"/>
      <c r="N3" s="2111"/>
      <c r="O3" s="2111"/>
      <c r="P3" s="2111"/>
      <c r="Q3" s="2111"/>
      <c r="R3" s="2111"/>
    </row>
    <row r="4" spans="1:18" x14ac:dyDescent="0.2">
      <c r="A4" s="2112" t="s">
        <v>1554</v>
      </c>
      <c r="B4" s="2112"/>
      <c r="C4" s="2112"/>
      <c r="D4" s="2112"/>
      <c r="E4" s="2112"/>
      <c r="F4" s="2112"/>
      <c r="G4" s="2112"/>
      <c r="H4" s="2112"/>
      <c r="I4" s="2112"/>
      <c r="J4" s="2112"/>
      <c r="K4" s="2112"/>
      <c r="L4" s="2112"/>
      <c r="M4" s="2112"/>
      <c r="N4" s="2112"/>
      <c r="O4" s="2112"/>
      <c r="P4" s="2112"/>
      <c r="Q4" s="2112"/>
      <c r="R4" s="211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LaSalle Putnam Alliance</v>
      </c>
      <c r="E7" s="391"/>
      <c r="G7" s="252"/>
      <c r="H7" s="387"/>
      <c r="I7" s="387"/>
      <c r="J7" s="387"/>
      <c r="K7" s="387"/>
      <c r="L7" s="329"/>
      <c r="M7" s="329"/>
      <c r="N7" s="329"/>
      <c r="O7" s="329"/>
      <c r="P7" s="329"/>
    </row>
    <row r="8" spans="1:18" ht="12.75" x14ac:dyDescent="0.2">
      <c r="A8" s="329"/>
      <c r="B8" s="329"/>
      <c r="C8" s="389" t="s">
        <v>1125</v>
      </c>
      <c r="D8" s="392">
        <f>COVER!A13</f>
        <v>35050000061</v>
      </c>
      <c r="E8" s="393"/>
      <c r="G8" s="329"/>
      <c r="H8" s="329"/>
      <c r="I8" s="329"/>
      <c r="J8" s="329"/>
      <c r="K8" s="329"/>
      <c r="L8" s="329"/>
      <c r="M8" s="329"/>
      <c r="N8" s="329"/>
      <c r="O8" s="329"/>
      <c r="P8" s="329"/>
    </row>
    <row r="9" spans="1:18" ht="12.75" x14ac:dyDescent="0.2">
      <c r="A9" s="329"/>
      <c r="B9" s="329"/>
      <c r="C9" s="389" t="s">
        <v>713</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3</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1130990</v>
      </c>
      <c r="I12" s="404"/>
      <c r="J12" s="404"/>
      <c r="K12" s="405">
        <f>TRUNC((H12/H13*100000),5)/100000</f>
        <v>0.11593305299999999</v>
      </c>
      <c r="L12" s="406"/>
      <c r="M12" s="360" t="s">
        <v>1144</v>
      </c>
      <c r="N12" s="360"/>
      <c r="O12" s="407">
        <v>0.35</v>
      </c>
      <c r="P12" s="218"/>
      <c r="Q12" s="218"/>
    </row>
    <row r="13" spans="1:18" s="408" customFormat="1" ht="12.75" x14ac:dyDescent="0.2">
      <c r="A13" s="218"/>
      <c r="B13" s="401"/>
      <c r="C13" s="2108" t="s">
        <v>1324</v>
      </c>
      <c r="D13" s="2109"/>
      <c r="E13" s="218"/>
      <c r="F13" s="409" t="s">
        <v>793</v>
      </c>
      <c r="G13" s="402"/>
      <c r="H13" s="403">
        <f>SUM('Acct Summary 7-8'!C8+'Acct Summary 7-8'!D8+'Acct Summary 7-8'!F8+'Acct Summary 7-8'!I8)+H14</f>
        <v>9755544</v>
      </c>
      <c r="I13" s="404"/>
      <c r="J13" s="404"/>
      <c r="K13" s="410"/>
      <c r="L13" s="218"/>
      <c r="M13" s="360" t="s">
        <v>1145</v>
      </c>
      <c r="N13" s="360"/>
      <c r="O13" s="411">
        <f>(O11*O12)</f>
        <v>1.0499999999999998</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9587325</v>
      </c>
      <c r="I17" s="404"/>
      <c r="J17" s="416"/>
      <c r="K17" s="405">
        <f>TRUNC((H17/H18*100000),5)/100000</f>
        <v>0.98275657409999995</v>
      </c>
      <c r="L17" s="406"/>
      <c r="M17" s="417" t="s">
        <v>1171</v>
      </c>
      <c r="O17" s="418" t="str">
        <f>IF(AND(O16="2", J20 &gt; 2),"1",IF(AND(O16 = "1", J20 &gt; 2),"2",IF(AND(O16="1", J20 &gt;1),"1","0")))</f>
        <v>0</v>
      </c>
      <c r="P17" s="218"/>
    </row>
    <row r="18" spans="1:18" s="408" customFormat="1" ht="11.25" x14ac:dyDescent="0.2">
      <c r="A18" s="218"/>
      <c r="B18" s="401"/>
      <c r="C18" s="2108" t="s">
        <v>1317</v>
      </c>
      <c r="D18" s="2109"/>
      <c r="E18" s="218"/>
      <c r="F18" s="419" t="s">
        <v>794</v>
      </c>
      <c r="G18" s="402"/>
      <c r="H18" s="403">
        <f>SUM('Acct Summary 7-8'!C8+'Acct Summary 7-8'!D8+'Acct Summary 7-8'!F8+'Acct Summary 7-8'!I8)+H19</f>
        <v>9755544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2</v>
      </c>
      <c r="P23" s="216"/>
      <c r="R23" s="384"/>
    </row>
    <row r="24" spans="1:18" s="408" customFormat="1" ht="11.25" x14ac:dyDescent="0.2">
      <c r="A24" s="218"/>
      <c r="B24" s="401"/>
      <c r="C24" s="2105" t="s">
        <v>1412</v>
      </c>
      <c r="D24" s="2105"/>
      <c r="E24" s="218"/>
      <c r="F24" s="218" t="s">
        <v>445</v>
      </c>
      <c r="G24" s="402"/>
      <c r="H24" s="403">
        <f>SUM('Assets-Liab 5-6'!C4+'Assets-Liab 5-6'!D4+'Assets-Liab 5-6'!F4+'Assets-Liab 5-6'!I4+'Assets-Liab 5-6'!C5+'Assets-Liab 5-6'!D5+'Assets-Liab 5-6'!F5+'Assets-Liab 5-6'!I5)</f>
        <v>1428650</v>
      </c>
      <c r="I24" s="422"/>
      <c r="J24" s="422"/>
      <c r="K24" s="423">
        <f>TRUNC(((H24/H25*100000)/100000),2)</f>
        <v>53.64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26631.458330000001</v>
      </c>
      <c r="I25" s="425"/>
      <c r="J25" s="425"/>
      <c r="K25" s="410"/>
      <c r="L25" s="218"/>
      <c r="M25" s="360" t="s">
        <v>1145</v>
      </c>
      <c r="N25" s="360"/>
      <c r="O25" s="411">
        <f>O23*O24</f>
        <v>0.2</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1927</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1981</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80" zoomScaleNormal="8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3"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4"/>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5" t="s">
        <v>973</v>
      </c>
      <c r="B3" s="2116"/>
      <c r="C3" s="1559"/>
      <c r="D3" s="1560"/>
      <c r="E3" s="1560"/>
      <c r="F3" s="1560"/>
      <c r="G3" s="1560"/>
      <c r="H3" s="1560"/>
      <c r="I3" s="1560"/>
      <c r="J3" s="1560"/>
      <c r="K3" s="1560"/>
      <c r="L3" s="1560"/>
      <c r="M3" s="1561"/>
      <c r="N3" s="1562"/>
    </row>
    <row r="4" spans="1:14" ht="13.5" customHeight="1" x14ac:dyDescent="0.2">
      <c r="A4" s="463" t="s">
        <v>1651</v>
      </c>
      <c r="B4" s="464"/>
      <c r="C4" s="465"/>
      <c r="D4" s="466"/>
      <c r="E4" s="466"/>
      <c r="F4" s="466"/>
      <c r="G4" s="466"/>
      <c r="H4" s="466"/>
      <c r="I4" s="466"/>
      <c r="J4" s="467"/>
      <c r="K4" s="466"/>
      <c r="L4" s="466"/>
      <c r="M4" s="468"/>
      <c r="N4" s="469"/>
    </row>
    <row r="5" spans="1:14" x14ac:dyDescent="0.2">
      <c r="A5" s="463" t="s">
        <v>992</v>
      </c>
      <c r="B5" s="470">
        <v>120</v>
      </c>
      <c r="C5" s="465">
        <v>1428650</v>
      </c>
      <c r="D5" s="466"/>
      <c r="E5" s="466"/>
      <c r="F5" s="466"/>
      <c r="G5" s="466"/>
      <c r="H5" s="466"/>
      <c r="I5" s="466"/>
      <c r="J5" s="467"/>
      <c r="K5" s="471"/>
      <c r="L5" s="472">
        <v>3138</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1428650</v>
      </c>
      <c r="D13" s="1737">
        <f t="shared" ref="D13:L13" si="0">SUM(D4:D12)</f>
        <v>0</v>
      </c>
      <c r="E13" s="1737">
        <f t="shared" si="0"/>
        <v>0</v>
      </c>
      <c r="F13" s="1737">
        <f t="shared" si="0"/>
        <v>0</v>
      </c>
      <c r="G13" s="1737">
        <f t="shared" si="0"/>
        <v>0</v>
      </c>
      <c r="H13" s="1737">
        <f t="shared" si="0"/>
        <v>0</v>
      </c>
      <c r="I13" s="1737">
        <f t="shared" si="0"/>
        <v>0</v>
      </c>
      <c r="J13" s="1737">
        <f t="shared" si="0"/>
        <v>0</v>
      </c>
      <c r="K13" s="1737">
        <f t="shared" si="0"/>
        <v>0</v>
      </c>
      <c r="L13" s="1737">
        <f t="shared" si="0"/>
        <v>3138</v>
      </c>
      <c r="M13" s="468"/>
      <c r="N13" s="469"/>
    </row>
    <row r="14" spans="1:14" ht="18" customHeight="1" thickTop="1" x14ac:dyDescent="0.2">
      <c r="A14" s="2117" t="s">
        <v>147</v>
      </c>
      <c r="B14" s="2118"/>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35000</v>
      </c>
      <c r="N16" s="484"/>
    </row>
    <row r="17" spans="1:14" s="485" customFormat="1" ht="12.75" customHeight="1" x14ac:dyDescent="0.2">
      <c r="A17" s="482" t="s">
        <v>1403</v>
      </c>
      <c r="B17" s="483">
        <v>230</v>
      </c>
      <c r="C17" s="477"/>
      <c r="D17" s="477"/>
      <c r="E17" s="477"/>
      <c r="F17" s="477"/>
      <c r="G17" s="477"/>
      <c r="H17" s="477"/>
      <c r="I17" s="477"/>
      <c r="J17" s="477"/>
      <c r="K17" s="477"/>
      <c r="L17" s="477"/>
      <c r="M17" s="467">
        <v>2311384</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424311</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736" t="s">
        <v>643</v>
      </c>
      <c r="B23" s="1741"/>
      <c r="C23" s="468"/>
      <c r="D23" s="468"/>
      <c r="E23" s="468"/>
      <c r="F23" s="468"/>
      <c r="G23" s="468"/>
      <c r="H23" s="468"/>
      <c r="I23" s="468"/>
      <c r="J23" s="468"/>
      <c r="K23" s="468"/>
      <c r="L23" s="468"/>
      <c r="M23" s="1688">
        <f>SUM(M15:M22)</f>
        <v>2770695</v>
      </c>
      <c r="N23" s="1688">
        <f>SUM(N21:N22)</f>
        <v>0</v>
      </c>
    </row>
    <row r="24" spans="1:14" ht="18" customHeight="1" thickTop="1" x14ac:dyDescent="0.2">
      <c r="A24" s="2119" t="s">
        <v>598</v>
      </c>
      <c r="B24" s="2120"/>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287377</v>
      </c>
      <c r="D30" s="474"/>
      <c r="E30" s="467"/>
      <c r="F30" s="467"/>
      <c r="G30" s="467"/>
      <c r="H30" s="467"/>
      <c r="I30" s="467"/>
      <c r="J30" s="467"/>
      <c r="K30" s="478"/>
      <c r="L30" s="468"/>
      <c r="M30" s="468"/>
      <c r="N30" s="468"/>
    </row>
    <row r="31" spans="1:14" ht="13.5" customHeight="1" x14ac:dyDescent="0.2">
      <c r="A31" s="473" t="s">
        <v>651</v>
      </c>
      <c r="B31" s="470">
        <v>480</v>
      </c>
      <c r="C31" s="466">
        <v>10283</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3138</v>
      </c>
      <c r="M33" s="468"/>
      <c r="N33" s="469"/>
    </row>
    <row r="34" spans="1:14" ht="13.5" customHeight="1" thickBot="1" x14ac:dyDescent="0.25">
      <c r="A34" s="1738" t="s">
        <v>654</v>
      </c>
      <c r="B34" s="1739"/>
      <c r="C34" s="1740">
        <f>SUM(C25:C33)</f>
        <v>297660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3138</v>
      </c>
      <c r="M34" s="468"/>
      <c r="N34" s="480"/>
    </row>
    <row r="35" spans="1:14" ht="18" customHeight="1" thickTop="1" x14ac:dyDescent="0.2">
      <c r="A35" s="2121" t="s">
        <v>529</v>
      </c>
      <c r="B35" s="2122"/>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736" t="s">
        <v>653</v>
      </c>
      <c r="B37" s="1741"/>
      <c r="C37" s="477"/>
      <c r="D37" s="477"/>
      <c r="E37" s="477"/>
      <c r="F37" s="477"/>
      <c r="G37" s="477"/>
      <c r="H37" s="477"/>
      <c r="I37" s="477"/>
      <c r="J37" s="477"/>
      <c r="K37" s="477"/>
      <c r="L37" s="480"/>
      <c r="M37" s="468"/>
      <c r="N37" s="1688">
        <f>SUM(N36:N36)</f>
        <v>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1130990</v>
      </c>
      <c r="D39" s="466"/>
      <c r="E39" s="466"/>
      <c r="F39" s="466"/>
      <c r="G39" s="466"/>
      <c r="H39" s="466"/>
      <c r="I39" s="466"/>
      <c r="J39" s="467"/>
      <c r="K39" s="466"/>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2770695</v>
      </c>
      <c r="N40" s="497"/>
    </row>
    <row r="41" spans="1:14" ht="13.5" customHeight="1" thickBot="1" x14ac:dyDescent="0.25">
      <c r="A41" s="1736" t="s">
        <v>655</v>
      </c>
      <c r="B41" s="1706"/>
      <c r="C41" s="1688">
        <f>(SUM(C34,C37,C38,C39))</f>
        <v>1428650</v>
      </c>
      <c r="D41" s="1688">
        <f t="shared" ref="D41:L41" si="2">SUM(D34,D37,D38:D39)</f>
        <v>0</v>
      </c>
      <c r="E41" s="1688">
        <f t="shared" si="2"/>
        <v>0</v>
      </c>
      <c r="F41" s="1688">
        <f t="shared" si="2"/>
        <v>0</v>
      </c>
      <c r="G41" s="1688">
        <f t="shared" si="2"/>
        <v>0</v>
      </c>
      <c r="H41" s="1688">
        <f t="shared" si="2"/>
        <v>0</v>
      </c>
      <c r="I41" s="1688">
        <f t="shared" si="2"/>
        <v>0</v>
      </c>
      <c r="J41" s="1688">
        <f t="shared" si="2"/>
        <v>0</v>
      </c>
      <c r="K41" s="1688">
        <f t="shared" si="2"/>
        <v>0</v>
      </c>
      <c r="L41" s="1688">
        <f t="shared" si="2"/>
        <v>3138</v>
      </c>
      <c r="M41" s="1688">
        <f>SUM(M40)</f>
        <v>2770695</v>
      </c>
      <c r="N41" s="1688">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90" zoomScaleNormal="90" zoomScaleSheetLayoutView="100" workbookViewId="0">
      <pane ySplit="2" topLeftCell="A54" activePane="bottomLeft" state="frozen"/>
      <selection pane="bottomLeft" activeCell="C80" sqref="C8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1"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2"/>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3" t="s">
        <v>1175</v>
      </c>
      <c r="B3" s="2144"/>
      <c r="C3" s="1573"/>
      <c r="D3" s="1574"/>
      <c r="E3" s="1574"/>
      <c r="F3" s="1574"/>
      <c r="G3" s="1574"/>
      <c r="H3" s="1574"/>
      <c r="I3" s="1574"/>
      <c r="J3" s="1574"/>
      <c r="K3" s="1575"/>
      <c r="L3" s="506"/>
    </row>
    <row r="4" spans="1:13" ht="15.75" customHeight="1" x14ac:dyDescent="0.2">
      <c r="A4" s="1928" t="s">
        <v>1499</v>
      </c>
      <c r="B4" s="1929">
        <v>1000</v>
      </c>
      <c r="C4" s="1742">
        <f>'Revenues 9-14'!C109</f>
        <v>4007370</v>
      </c>
      <c r="D4" s="1742">
        <f>'Revenues 9-14'!D109</f>
        <v>0</v>
      </c>
      <c r="E4" s="1742">
        <f>'Revenues 9-14'!E109</f>
        <v>0</v>
      </c>
      <c r="F4" s="1742">
        <f>'Revenues 9-14'!F109</f>
        <v>0</v>
      </c>
      <c r="G4" s="1742">
        <f>'Revenues 9-14'!G109</f>
        <v>0</v>
      </c>
      <c r="H4" s="1742">
        <f>'Revenues 9-14'!H109</f>
        <v>0</v>
      </c>
      <c r="I4" s="1742">
        <f>'Revenues 9-14'!I109</f>
        <v>0</v>
      </c>
      <c r="J4" s="1742">
        <f>'Revenues 9-14'!J109</f>
        <v>0</v>
      </c>
      <c r="K4" s="1742">
        <f>'Revenues 9-14'!K109</f>
        <v>0</v>
      </c>
      <c r="L4" s="347"/>
    </row>
    <row r="5" spans="1:13" ht="15.75" customHeight="1" x14ac:dyDescent="0.2">
      <c r="A5" s="1576" t="s">
        <v>1500</v>
      </c>
      <c r="B5" s="1577">
        <v>2000</v>
      </c>
      <c r="C5" s="1743">
        <f>'Revenues 9-14'!C114</f>
        <v>959314</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395732</v>
      </c>
      <c r="D6" s="1743">
        <f>'Revenues 9-14'!D170</f>
        <v>0</v>
      </c>
      <c r="E6" s="1743">
        <f>'Revenues 9-14'!E170</f>
        <v>0</v>
      </c>
      <c r="F6" s="1743">
        <f>'Revenues 9-14'!F170</f>
        <v>0</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4393128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9755544</v>
      </c>
      <c r="D8" s="1688">
        <f t="shared" ref="D8:K8" si="0">SUM(D4:D7)</f>
        <v>0</v>
      </c>
      <c r="E8" s="1688">
        <f t="shared" si="0"/>
        <v>0</v>
      </c>
      <c r="F8" s="1688">
        <f t="shared" si="0"/>
        <v>0</v>
      </c>
      <c r="G8" s="1688">
        <f t="shared" si="0"/>
        <v>0</v>
      </c>
      <c r="H8" s="1688">
        <f t="shared" si="0"/>
        <v>0</v>
      </c>
      <c r="I8" s="1688">
        <f t="shared" si="0"/>
        <v>0</v>
      </c>
      <c r="J8" s="1688">
        <f t="shared" si="0"/>
        <v>0</v>
      </c>
      <c r="K8" s="1688">
        <f t="shared" si="0"/>
        <v>0</v>
      </c>
      <c r="L8" s="347"/>
    </row>
    <row r="9" spans="1:13" ht="15.75" thickTop="1" x14ac:dyDescent="0.2">
      <c r="A9" s="514" t="s">
        <v>1653</v>
      </c>
      <c r="B9" s="515">
        <v>3998</v>
      </c>
      <c r="C9" s="481">
        <v>282911</v>
      </c>
      <c r="D9" s="516"/>
      <c r="E9" s="481"/>
      <c r="F9" s="481"/>
      <c r="G9" s="517"/>
      <c r="H9" s="481"/>
      <c r="I9" s="509" t="s">
        <v>1169</v>
      </c>
      <c r="J9" s="478"/>
      <c r="K9" s="481"/>
      <c r="L9" s="347"/>
    </row>
    <row r="10" spans="1:13" s="519" customFormat="1" ht="13.5" thickBot="1" x14ac:dyDescent="0.25">
      <c r="A10" s="1736" t="s">
        <v>1173</v>
      </c>
      <c r="B10" s="1709"/>
      <c r="C10" s="1688">
        <f>SUM(C8:C9)</f>
        <v>10038455</v>
      </c>
      <c r="D10" s="1688">
        <f t="shared" ref="D10:K10" si="1">SUM(D8:D9)</f>
        <v>0</v>
      </c>
      <c r="E10" s="1688">
        <f t="shared" si="1"/>
        <v>0</v>
      </c>
      <c r="F10" s="1688">
        <f t="shared" si="1"/>
        <v>0</v>
      </c>
      <c r="G10" s="1688">
        <f t="shared" si="1"/>
        <v>0</v>
      </c>
      <c r="H10" s="1688">
        <f t="shared" si="1"/>
        <v>0</v>
      </c>
      <c r="I10" s="1688">
        <f t="shared" si="1"/>
        <v>0</v>
      </c>
      <c r="J10" s="1688">
        <f t="shared" si="1"/>
        <v>0</v>
      </c>
      <c r="K10" s="1688">
        <f t="shared" si="1"/>
        <v>0</v>
      </c>
      <c r="L10" s="518"/>
    </row>
    <row r="11" spans="1:13" s="519" customFormat="1" ht="16.7" customHeight="1" thickTop="1" x14ac:dyDescent="0.2">
      <c r="A11" s="2117" t="s">
        <v>1176</v>
      </c>
      <c r="B11" s="2118"/>
      <c r="C11" s="1570"/>
      <c r="D11" s="1571"/>
      <c r="E11" s="1571"/>
      <c r="F11" s="1571"/>
      <c r="G11" s="1571"/>
      <c r="H11" s="1571"/>
      <c r="I11" s="1571"/>
      <c r="J11" s="1571"/>
      <c r="K11" s="1572"/>
      <c r="L11" s="518"/>
    </row>
    <row r="12" spans="1:13" ht="15.75" customHeight="1" x14ac:dyDescent="0.2">
      <c r="A12" s="1576" t="s">
        <v>456</v>
      </c>
      <c r="B12" s="1578">
        <v>1000</v>
      </c>
      <c r="C12" s="1742">
        <f>'Expenditures 15-22'!K33</f>
        <v>1257679</v>
      </c>
      <c r="D12" s="520" t="s">
        <v>1169</v>
      </c>
      <c r="E12" s="468" t="s">
        <v>1169</v>
      </c>
      <c r="F12" s="468" t="s">
        <v>1169</v>
      </c>
      <c r="G12" s="1742">
        <f>'Expenditures 15-22'!K229</f>
        <v>0</v>
      </c>
      <c r="H12" s="521"/>
      <c r="I12" s="468" t="s">
        <v>1169</v>
      </c>
      <c r="J12" s="468" t="s">
        <v>1169</v>
      </c>
      <c r="K12" s="521" t="s">
        <v>1169</v>
      </c>
      <c r="L12" s="347"/>
    </row>
    <row r="13" spans="1:13" ht="15.75" customHeight="1" x14ac:dyDescent="0.2">
      <c r="A13" s="1576" t="s">
        <v>457</v>
      </c>
      <c r="B13" s="1578">
        <v>2000</v>
      </c>
      <c r="C13" s="1743">
        <f>'Expenditures 15-22'!K74</f>
        <v>3952070</v>
      </c>
      <c r="D13" s="1743">
        <f>'Expenditures 15-22'!K129</f>
        <v>0</v>
      </c>
      <c r="E13" s="469" t="s">
        <v>1169</v>
      </c>
      <c r="F13" s="1743">
        <f>'Expenditures 15-22'!K184</f>
        <v>0</v>
      </c>
      <c r="G13" s="1743">
        <f>'Expenditures 15-22'!K279</f>
        <v>0</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4377576</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9587325</v>
      </c>
      <c r="D17" s="1688">
        <f t="shared" si="2"/>
        <v>0</v>
      </c>
      <c r="E17" s="1688">
        <f t="shared" si="2"/>
        <v>0</v>
      </c>
      <c r="F17" s="1688">
        <f t="shared" si="2"/>
        <v>0</v>
      </c>
      <c r="G17" s="1688">
        <f t="shared" si="2"/>
        <v>0</v>
      </c>
      <c r="H17" s="1688">
        <f t="shared" si="2"/>
        <v>0</v>
      </c>
      <c r="I17" s="468"/>
      <c r="J17" s="1688">
        <f>SUM(J12:J16)</f>
        <v>0</v>
      </c>
      <c r="K17" s="1688">
        <f>SUM(K12:K16)</f>
        <v>0</v>
      </c>
      <c r="L17" s="347"/>
    </row>
    <row r="18" spans="1:12" ht="15" customHeight="1" thickTop="1" x14ac:dyDescent="0.2">
      <c r="A18" s="1744" t="s">
        <v>1654</v>
      </c>
      <c r="B18" s="1745">
        <v>4180</v>
      </c>
      <c r="C18" s="1742">
        <f t="shared" ref="C18:H18" si="3">C9</f>
        <v>282911</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9870236</v>
      </c>
      <c r="D19" s="1688">
        <f t="shared" si="4"/>
        <v>0</v>
      </c>
      <c r="E19" s="1688">
        <f t="shared" si="4"/>
        <v>0</v>
      </c>
      <c r="F19" s="1688">
        <f t="shared" si="4"/>
        <v>0</v>
      </c>
      <c r="G19" s="1688">
        <f t="shared" si="4"/>
        <v>0</v>
      </c>
      <c r="H19" s="1688">
        <f t="shared" si="4"/>
        <v>0</v>
      </c>
      <c r="I19" s="468"/>
      <c r="J19" s="1688">
        <f>SUM(J17:J18)</f>
        <v>0</v>
      </c>
      <c r="K19" s="1688">
        <f>SUM(K17:K18)</f>
        <v>0</v>
      </c>
      <c r="L19" s="347"/>
    </row>
    <row r="20" spans="1:12" ht="16.5" thickTop="1" thickBot="1" x14ac:dyDescent="0.25">
      <c r="A20" s="2133" t="s">
        <v>1655</v>
      </c>
      <c r="B20" s="2134"/>
      <c r="C20" s="1746">
        <f>C8-C17</f>
        <v>168219</v>
      </c>
      <c r="D20" s="1746">
        <f t="shared" ref="D20:K20" si="5">D8-D17</f>
        <v>0</v>
      </c>
      <c r="E20" s="1746">
        <f t="shared" si="5"/>
        <v>0</v>
      </c>
      <c r="F20" s="1746">
        <f t="shared" si="5"/>
        <v>0</v>
      </c>
      <c r="G20" s="1746">
        <f t="shared" si="5"/>
        <v>0</v>
      </c>
      <c r="H20" s="1746">
        <f t="shared" si="5"/>
        <v>0</v>
      </c>
      <c r="I20" s="1746">
        <f t="shared" si="5"/>
        <v>0</v>
      </c>
      <c r="J20" s="1746">
        <f t="shared" si="5"/>
        <v>0</v>
      </c>
      <c r="K20" s="1746">
        <f t="shared" si="5"/>
        <v>0</v>
      </c>
      <c r="L20" s="347"/>
    </row>
    <row r="21" spans="1:12" ht="16.7" customHeight="1" thickTop="1" x14ac:dyDescent="0.2">
      <c r="A21" s="2145" t="s">
        <v>595</v>
      </c>
      <c r="B21" s="2146"/>
      <c r="C21" s="1570"/>
      <c r="D21" s="1571"/>
      <c r="E21" s="1571"/>
      <c r="F21" s="1571"/>
      <c r="G21" s="1571"/>
      <c r="H21" s="1571"/>
      <c r="I21" s="1571"/>
      <c r="J21" s="1571"/>
      <c r="K21" s="1572"/>
      <c r="L21" s="524"/>
    </row>
    <row r="22" spans="1:12" ht="15.75" customHeight="1" collapsed="1" x14ac:dyDescent="0.2">
      <c r="A22" s="2141" t="s">
        <v>596</v>
      </c>
      <c r="B22" s="2142"/>
      <c r="C22" s="477"/>
      <c r="D22" s="477"/>
      <c r="E22" s="477"/>
      <c r="F22" s="477"/>
      <c r="G22" s="477"/>
      <c r="H22" s="477"/>
      <c r="I22" s="477"/>
      <c r="J22" s="477"/>
      <c r="K22" s="477"/>
      <c r="L22" s="347"/>
    </row>
    <row r="23" spans="1:12" s="485" customFormat="1" ht="15.75" customHeight="1" x14ac:dyDescent="0.2">
      <c r="A23" s="2137" t="s">
        <v>293</v>
      </c>
      <c r="B23" s="2138"/>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1791</v>
      </c>
      <c r="B30" s="527">
        <v>7160</v>
      </c>
      <c r="C30" s="477"/>
      <c r="D30" s="467"/>
      <c r="E30" s="477"/>
      <c r="F30" s="477"/>
      <c r="G30" s="477"/>
      <c r="H30" s="477"/>
      <c r="I30" s="477"/>
      <c r="J30" s="477"/>
      <c r="K30" s="477"/>
      <c r="L30" s="524"/>
    </row>
    <row r="31" spans="1:12" s="485" customFormat="1" ht="26.25" x14ac:dyDescent="0.2">
      <c r="A31" s="1489" t="s">
        <v>1795</v>
      </c>
      <c r="B31" s="527">
        <v>7170</v>
      </c>
      <c r="C31" s="477"/>
      <c r="D31" s="477"/>
      <c r="E31" s="474"/>
      <c r="F31" s="477"/>
      <c r="G31" s="477"/>
      <c r="H31" s="477"/>
      <c r="I31" s="477"/>
      <c r="J31" s="477"/>
      <c r="K31" s="477"/>
      <c r="L31" s="524"/>
    </row>
    <row r="32" spans="1:12" s="485" customFormat="1" ht="15.75" customHeight="1" x14ac:dyDescent="0.2">
      <c r="A32" s="2139" t="s">
        <v>981</v>
      </c>
      <c r="B32" s="2140"/>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v>2550</v>
      </c>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7" t="s">
        <v>374</v>
      </c>
      <c r="B44" s="2148"/>
      <c r="C44" s="1703">
        <f>SUM(C24:C43)</f>
        <v>2550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41" t="s">
        <v>108</v>
      </c>
      <c r="B45" s="2142"/>
      <c r="C45" s="528"/>
      <c r="D45" s="528"/>
      <c r="E45" s="528"/>
      <c r="F45" s="528"/>
      <c r="G45" s="528"/>
      <c r="H45" s="528"/>
      <c r="I45" s="528"/>
      <c r="J45" s="528"/>
      <c r="K45" s="528"/>
      <c r="L45" s="347"/>
    </row>
    <row r="46" spans="1:12" s="485" customFormat="1" ht="15.75" customHeight="1" x14ac:dyDescent="0.2">
      <c r="A46" s="2149" t="s">
        <v>109</v>
      </c>
      <c r="B46" s="2150"/>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1794</v>
      </c>
      <c r="B52" s="483">
        <v>8160</v>
      </c>
      <c r="C52" s="477"/>
      <c r="D52" s="477"/>
      <c r="E52" s="477"/>
      <c r="F52" s="477"/>
      <c r="G52" s="477"/>
      <c r="H52" s="477"/>
      <c r="I52" s="477"/>
      <c r="J52" s="477"/>
      <c r="K52" s="1743">
        <f>D30</f>
        <v>0</v>
      </c>
      <c r="L52" s="524"/>
    </row>
    <row r="53" spans="1:12" s="485" customFormat="1" ht="26.25" x14ac:dyDescent="0.2">
      <c r="A53" s="1490" t="s">
        <v>1793</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3" t="s">
        <v>440</v>
      </c>
      <c r="B76" s="2124"/>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5" t="s">
        <v>1177</v>
      </c>
      <c r="B77" s="2126"/>
      <c r="C77" s="1703">
        <f t="shared" ref="C77:K77" si="8">C44-C76</f>
        <v>2550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9" t="s">
        <v>597</v>
      </c>
      <c r="B78" s="2130"/>
      <c r="C78" s="1702">
        <f t="shared" ref="C78:K78" si="9">C20+C77</f>
        <v>170769</v>
      </c>
      <c r="D78" s="1702">
        <f t="shared" si="9"/>
        <v>0</v>
      </c>
      <c r="E78" s="1702">
        <f t="shared" si="9"/>
        <v>0</v>
      </c>
      <c r="F78" s="1702">
        <f t="shared" si="9"/>
        <v>0</v>
      </c>
      <c r="G78" s="1702">
        <f t="shared" si="9"/>
        <v>0</v>
      </c>
      <c r="H78" s="1702">
        <f t="shared" si="9"/>
        <v>0</v>
      </c>
      <c r="I78" s="1702">
        <f t="shared" si="9"/>
        <v>0</v>
      </c>
      <c r="J78" s="1702">
        <f t="shared" si="9"/>
        <v>0</v>
      </c>
      <c r="K78" s="1702">
        <f t="shared" si="9"/>
        <v>0</v>
      </c>
      <c r="L78" s="533"/>
    </row>
    <row r="79" spans="1:12" ht="13.5" thickTop="1" x14ac:dyDescent="0.2">
      <c r="A79" s="1494" t="s">
        <v>1944</v>
      </c>
      <c r="B79" s="534"/>
      <c r="C79" s="478">
        <v>960221</v>
      </c>
      <c r="D79" s="535"/>
      <c r="E79" s="535"/>
      <c r="F79" s="535"/>
      <c r="G79" s="535"/>
      <c r="H79" s="535"/>
      <c r="I79" s="535"/>
      <c r="J79" s="535"/>
      <c r="K79" s="535"/>
      <c r="L79" s="347"/>
    </row>
    <row r="80" spans="1:12" x14ac:dyDescent="0.2">
      <c r="A80" s="2135" t="s">
        <v>1792</v>
      </c>
      <c r="B80" s="2136"/>
      <c r="C80" s="467"/>
      <c r="D80" s="467"/>
      <c r="E80" s="467"/>
      <c r="F80" s="467"/>
      <c r="G80" s="467"/>
      <c r="H80" s="467"/>
      <c r="I80" s="467"/>
      <c r="J80" s="467"/>
      <c r="K80" s="467"/>
      <c r="L80" s="347"/>
    </row>
    <row r="81" spans="1:12" ht="13.5" thickBot="1" x14ac:dyDescent="0.25">
      <c r="A81" s="2127" t="s">
        <v>1945</v>
      </c>
      <c r="B81" s="2128"/>
      <c r="C81" s="1688">
        <f>(SUM(C78:C80))</f>
        <v>1130990</v>
      </c>
      <c r="D81" s="1688">
        <f>SUM(D78:D80)</f>
        <v>0</v>
      </c>
      <c r="E81" s="1688">
        <f t="shared" ref="E81:K81" si="10">SUM(E78:E80)</f>
        <v>0</v>
      </c>
      <c r="F81" s="1688">
        <f t="shared" si="10"/>
        <v>0</v>
      </c>
      <c r="G81" s="1688">
        <f t="shared" si="10"/>
        <v>0</v>
      </c>
      <c r="H81" s="1688">
        <f t="shared" si="10"/>
        <v>0</v>
      </c>
      <c r="I81" s="1688">
        <f t="shared" si="10"/>
        <v>0</v>
      </c>
      <c r="J81" s="1688">
        <f t="shared" si="10"/>
        <v>0</v>
      </c>
      <c r="K81" s="1688">
        <f t="shared" si="10"/>
        <v>0</v>
      </c>
      <c r="L81" s="347"/>
    </row>
    <row r="82" spans="1:12" ht="0.75" customHeight="1" thickTop="1" thickBot="1" x14ac:dyDescent="0.25">
      <c r="A82" s="536" t="s">
        <v>343</v>
      </c>
      <c r="B82" s="537"/>
      <c r="C82" s="538">
        <f>(C81-C79)</f>
        <v>170769</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f>C82/C81</f>
        <v>0.15099072494009674</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pane ySplit="2" topLeftCell="A187" activePane="bottomLeft" state="frozen"/>
      <selection pane="bottomLeft" activeCell="C213" sqref="C21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1" t="s">
        <v>1799</v>
      </c>
      <c r="B1" s="452"/>
      <c r="C1" s="453" t="s">
        <v>425</v>
      </c>
      <c r="D1" s="453" t="s">
        <v>426</v>
      </c>
      <c r="E1" s="453" t="s">
        <v>427</v>
      </c>
      <c r="F1" s="453" t="s">
        <v>428</v>
      </c>
      <c r="G1" s="453" t="s">
        <v>429</v>
      </c>
      <c r="H1" s="453" t="s">
        <v>430</v>
      </c>
      <c r="I1" s="453" t="s">
        <v>431</v>
      </c>
      <c r="J1" s="453" t="s">
        <v>432</v>
      </c>
      <c r="K1" s="453" t="s">
        <v>756</v>
      </c>
    </row>
    <row r="2" spans="1:12" ht="36" x14ac:dyDescent="0.2">
      <c r="A2" s="2132"/>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c r="D5" s="481"/>
      <c r="E5" s="466"/>
      <c r="F5" s="548"/>
      <c r="G5" s="466"/>
      <c r="H5" s="466"/>
      <c r="I5" s="466"/>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0</v>
      </c>
      <c r="D12" s="1707">
        <f t="shared" si="0"/>
        <v>0</v>
      </c>
      <c r="E12" s="1707">
        <f t="shared" si="0"/>
        <v>0</v>
      </c>
      <c r="F12" s="1707">
        <f t="shared" si="0"/>
        <v>0</v>
      </c>
      <c r="G12" s="1707">
        <f t="shared" si="0"/>
        <v>0</v>
      </c>
      <c r="H12" s="1707">
        <f t="shared" si="0"/>
        <v>0</v>
      </c>
      <c r="I12" s="1707">
        <f t="shared" si="0"/>
        <v>0</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0</v>
      </c>
      <c r="D18" s="1710">
        <f t="shared" ref="D18:K18" si="1">SUM(D14:D17)</f>
        <v>0</v>
      </c>
      <c r="E18" s="1710">
        <f t="shared" si="1"/>
        <v>0</v>
      </c>
      <c r="F18" s="1710">
        <f t="shared" si="1"/>
        <v>0</v>
      </c>
      <c r="G18" s="1710">
        <f t="shared" si="1"/>
        <v>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2503643</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2503643</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11179</v>
      </c>
      <c r="D65" s="466"/>
      <c r="E65" s="466"/>
      <c r="F65" s="467"/>
      <c r="G65" s="466"/>
      <c r="H65" s="466"/>
      <c r="I65" s="466"/>
      <c r="J65" s="467"/>
      <c r="K65" s="466"/>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11179</v>
      </c>
      <c r="D67" s="1688">
        <f t="shared" ref="D67:K67" si="2">SUM(D65:D66)</f>
        <v>0</v>
      </c>
      <c r="E67" s="1688">
        <f t="shared" si="2"/>
        <v>0</v>
      </c>
      <c r="F67" s="1688">
        <f t="shared" si="2"/>
        <v>0</v>
      </c>
      <c r="G67" s="1688">
        <f t="shared" si="2"/>
        <v>0</v>
      </c>
      <c r="H67" s="1688">
        <f t="shared" si="2"/>
        <v>0</v>
      </c>
      <c r="I67" s="1688">
        <f t="shared" si="2"/>
        <v>0</v>
      </c>
      <c r="J67" s="1688">
        <f t="shared" si="2"/>
        <v>0</v>
      </c>
      <c r="K67" s="1688">
        <f t="shared" si="2"/>
        <v>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0</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33180</v>
      </c>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18790</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1389984</v>
      </c>
      <c r="D106" s="489"/>
      <c r="E106" s="467"/>
      <c r="F106" s="467"/>
      <c r="G106" s="467"/>
      <c r="H106" s="467"/>
      <c r="I106" s="521"/>
      <c r="J106" s="467"/>
      <c r="K106" s="467"/>
    </row>
    <row r="107" spans="1:12" ht="12.75" customHeight="1" x14ac:dyDescent="0.2">
      <c r="A107" s="463" t="s">
        <v>78</v>
      </c>
      <c r="B107" s="470">
        <v>1999</v>
      </c>
      <c r="C107" s="551">
        <v>50594</v>
      </c>
      <c r="D107" s="466"/>
      <c r="E107" s="466"/>
      <c r="F107" s="466"/>
      <c r="G107" s="466"/>
      <c r="H107" s="466"/>
      <c r="I107" s="466"/>
      <c r="J107" s="467"/>
      <c r="K107" s="466"/>
    </row>
    <row r="108" spans="1:12" ht="12.75" customHeight="1" thickBot="1" x14ac:dyDescent="0.25">
      <c r="A108" s="1708" t="s">
        <v>487</v>
      </c>
      <c r="B108" s="1712"/>
      <c r="C108" s="1707">
        <f>SUM(C95:C107)</f>
        <v>1492548</v>
      </c>
      <c r="D108" s="1707">
        <f t="shared" ref="D108:K108" si="3">SUM(D95:D107)</f>
        <v>0</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4007370</v>
      </c>
      <c r="D109" s="1715">
        <f t="shared" si="4"/>
        <v>0</v>
      </c>
      <c r="E109" s="1715">
        <f t="shared" si="4"/>
        <v>0</v>
      </c>
      <c r="F109" s="1715">
        <f t="shared" si="4"/>
        <v>0</v>
      </c>
      <c r="G109" s="1715">
        <f t="shared" si="4"/>
        <v>0</v>
      </c>
      <c r="H109" s="1715">
        <f t="shared" si="4"/>
        <v>0</v>
      </c>
      <c r="I109" s="1715">
        <f t="shared" si="4"/>
        <v>0</v>
      </c>
      <c r="J109" s="1715">
        <f t="shared" si="4"/>
        <v>0</v>
      </c>
      <c r="K109" s="1702">
        <f t="shared" si="4"/>
        <v>0</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v>959314</v>
      </c>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959314</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375766</v>
      </c>
      <c r="D117" s="481"/>
      <c r="E117" s="466"/>
      <c r="F117" s="481"/>
      <c r="G117" s="481"/>
      <c r="H117" s="466"/>
      <c r="I117" s="468"/>
      <c r="J117" s="467"/>
      <c r="K117" s="466"/>
    </row>
    <row r="118" spans="1:11" ht="12.75" customHeight="1" x14ac:dyDescent="0.2">
      <c r="A118" s="463" t="s">
        <v>1796</v>
      </c>
      <c r="B118" s="562">
        <v>3002</v>
      </c>
      <c r="C118" s="551"/>
      <c r="D118" s="466"/>
      <c r="E118" s="466"/>
      <c r="F118" s="466"/>
      <c r="G118" s="466"/>
      <c r="H118" s="466"/>
      <c r="I118" s="468"/>
      <c r="J118" s="467"/>
      <c r="K118" s="466"/>
    </row>
    <row r="119" spans="1:11" ht="12.75" customHeight="1" x14ac:dyDescent="0.2">
      <c r="A119" s="463" t="s">
        <v>1797</v>
      </c>
      <c r="B119" s="562">
        <v>3005</v>
      </c>
      <c r="C119" s="551"/>
      <c r="D119" s="466"/>
      <c r="E119" s="466"/>
      <c r="F119" s="466"/>
      <c r="G119" s="466"/>
      <c r="H119" s="466"/>
      <c r="I119" s="468"/>
      <c r="J119" s="467"/>
      <c r="K119" s="466"/>
    </row>
    <row r="120" spans="1:11" ht="12.75" customHeight="1" x14ac:dyDescent="0.2">
      <c r="A120" s="1930" t="s">
        <v>1931</v>
      </c>
      <c r="B120" s="562">
        <v>3030</v>
      </c>
      <c r="C120" s="551"/>
      <c r="D120" s="466"/>
      <c r="E120" s="466"/>
      <c r="F120" s="466"/>
      <c r="G120" s="466"/>
      <c r="H120" s="466"/>
      <c r="I120" s="468"/>
      <c r="J120" s="467"/>
      <c r="K120" s="466"/>
    </row>
    <row r="121" spans="1:11" x14ac:dyDescent="0.2">
      <c r="A121" s="1496" t="s">
        <v>1798</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375766</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v>19185</v>
      </c>
      <c r="D131" s="467"/>
      <c r="E131" s="468"/>
      <c r="F131" s="466"/>
      <c r="G131" s="468"/>
      <c r="H131" s="468"/>
      <c r="I131" s="468"/>
      <c r="J131" s="468"/>
      <c r="K131" s="468"/>
    </row>
    <row r="132" spans="1:11" ht="12.75" customHeight="1" thickBot="1" x14ac:dyDescent="0.25">
      <c r="A132" s="1708" t="s">
        <v>1032</v>
      </c>
      <c r="B132" s="1720"/>
      <c r="C132" s="1707">
        <f>SUM(C125:C131)</f>
        <v>19185</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781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c r="G152" s="467"/>
      <c r="H152" s="468"/>
      <c r="I152" s="468"/>
      <c r="J152" s="468"/>
      <c r="K152" s="468"/>
    </row>
    <row r="153" spans="1:11" ht="12.75" customHeight="1" x14ac:dyDescent="0.2">
      <c r="A153" s="463" t="s">
        <v>1057</v>
      </c>
      <c r="B153" s="562">
        <v>3510</v>
      </c>
      <c r="C153" s="551"/>
      <c r="D153" s="466"/>
      <c r="E153" s="561"/>
      <c r="F153" s="466"/>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0</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51" t="s">
        <v>398</v>
      </c>
      <c r="B169" s="2152"/>
      <c r="C169" s="1722">
        <f t="shared" ref="C169:K169" si="6">SUM(C132,C141,C145,C146:C150,C155,C156:C167,C168)</f>
        <v>19966</v>
      </c>
      <c r="D169" s="1722">
        <f t="shared" si="6"/>
        <v>0</v>
      </c>
      <c r="E169" s="1722">
        <f t="shared" si="6"/>
        <v>0</v>
      </c>
      <c r="F169" s="1722">
        <f t="shared" si="6"/>
        <v>0</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395732</v>
      </c>
      <c r="D170" s="1715">
        <f t="shared" si="7"/>
        <v>0</v>
      </c>
      <c r="E170" s="1715">
        <f t="shared" si="7"/>
        <v>0</v>
      </c>
      <c r="F170" s="1715">
        <f t="shared" si="7"/>
        <v>0</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3" t="s">
        <v>1492</v>
      </c>
      <c r="B172" s="2154"/>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7" t="s">
        <v>1665</v>
      </c>
      <c r="B175" s="2158"/>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61" t="s">
        <v>1664</v>
      </c>
      <c r="B176" s="2162"/>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9" t="s">
        <v>785</v>
      </c>
      <c r="B181" s="2160"/>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5" t="s">
        <v>1800</v>
      </c>
      <c r="B182" s="2156"/>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26627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15003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41630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0</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151637</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4089967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4241604</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1932</v>
      </c>
      <c r="B261" s="470">
        <v>4981</v>
      </c>
      <c r="C261" s="575"/>
      <c r="D261" s="576"/>
      <c r="E261" s="468"/>
      <c r="F261" s="576"/>
      <c r="G261" s="576"/>
      <c r="H261" s="468"/>
      <c r="I261" s="468"/>
      <c r="J261" s="468"/>
      <c r="K261" s="468"/>
    </row>
    <row r="262" spans="1:11" ht="12.75" customHeight="1" thickTop="1" thickBot="1" x14ac:dyDescent="0.25">
      <c r="A262" s="1931" t="s">
        <v>1933</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29242</v>
      </c>
      <c r="D263" s="576"/>
      <c r="E263" s="468"/>
      <c r="F263" s="576"/>
      <c r="G263" s="576"/>
      <c r="H263" s="468"/>
      <c r="I263" s="468"/>
      <c r="J263" s="468"/>
      <c r="K263" s="468"/>
    </row>
    <row r="264" spans="1:11" ht="12.75" customHeight="1" thickTop="1" thickBot="1" x14ac:dyDescent="0.25">
      <c r="A264" s="463" t="s">
        <v>377</v>
      </c>
      <c r="B264" s="470">
        <v>4992</v>
      </c>
      <c r="C264" s="575">
        <v>80652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4393128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4393128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9755544</v>
      </c>
      <c r="D268" s="1715">
        <f t="shared" si="12"/>
        <v>0</v>
      </c>
      <c r="E268" s="1715">
        <f t="shared" si="12"/>
        <v>0</v>
      </c>
      <c r="F268" s="1715">
        <f t="shared" si="12"/>
        <v>0</v>
      </c>
      <c r="G268" s="1715">
        <f t="shared" si="12"/>
        <v>0</v>
      </c>
      <c r="H268" s="1715">
        <f t="shared" si="12"/>
        <v>0</v>
      </c>
      <c r="I268" s="1715">
        <f t="shared" si="12"/>
        <v>0</v>
      </c>
      <c r="J268" s="1715">
        <f t="shared" si="12"/>
        <v>0</v>
      </c>
      <c r="K268" s="1702">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90" zoomScaleNormal="90" workbookViewId="0">
      <pane ySplit="2" topLeftCell="A135" activePane="bottomLeft" state="frozen"/>
      <selection pane="bottomLeft" activeCell="J173" sqref="J17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1" t="s">
        <v>1799</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3"/>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9" t="s">
        <v>297</v>
      </c>
      <c r="B3" s="2170"/>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c r="D5" s="466"/>
      <c r="E5" s="466"/>
      <c r="F5" s="466"/>
      <c r="G5" s="466"/>
      <c r="H5" s="466"/>
      <c r="I5" s="467"/>
      <c r="J5" s="467"/>
      <c r="K5" s="1671">
        <f>SUM(C5:J5)</f>
        <v>0</v>
      </c>
      <c r="L5" s="466"/>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837197</v>
      </c>
      <c r="D8" s="466">
        <v>349520</v>
      </c>
      <c r="E8" s="466">
        <v>53762</v>
      </c>
      <c r="F8" s="466">
        <v>17200</v>
      </c>
      <c r="G8" s="466"/>
      <c r="H8" s="466"/>
      <c r="I8" s="467"/>
      <c r="J8" s="467"/>
      <c r="K8" s="1671">
        <f t="shared" si="0"/>
        <v>1257679</v>
      </c>
      <c r="L8" s="466">
        <v>1256086</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c r="F10" s="466"/>
      <c r="G10" s="466"/>
      <c r="H10" s="466"/>
      <c r="I10" s="467"/>
      <c r="J10" s="467"/>
      <c r="K10" s="1671">
        <f t="shared" si="0"/>
        <v>0</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c r="D14" s="466"/>
      <c r="E14" s="466"/>
      <c r="F14" s="466"/>
      <c r="G14" s="466"/>
      <c r="H14" s="466"/>
      <c r="I14" s="467"/>
      <c r="J14" s="467"/>
      <c r="K14" s="1671">
        <f t="shared" si="0"/>
        <v>0</v>
      </c>
      <c r="L14" s="466"/>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837197</v>
      </c>
      <c r="D33" s="1670">
        <f t="shared" ref="D33:L33" si="1">SUM(D5:D32)</f>
        <v>349520</v>
      </c>
      <c r="E33" s="1670">
        <f t="shared" si="1"/>
        <v>53762</v>
      </c>
      <c r="F33" s="1670">
        <f t="shared" si="1"/>
        <v>17200</v>
      </c>
      <c r="G33" s="1670">
        <f t="shared" si="1"/>
        <v>0</v>
      </c>
      <c r="H33" s="1670">
        <f t="shared" si="1"/>
        <v>0</v>
      </c>
      <c r="I33" s="1670">
        <f t="shared" si="1"/>
        <v>0</v>
      </c>
      <c r="J33" s="1670">
        <f t="shared" si="1"/>
        <v>0</v>
      </c>
      <c r="K33" s="1670">
        <f t="shared" si="1"/>
        <v>1257679</v>
      </c>
      <c r="L33" s="1670">
        <f t="shared" si="1"/>
        <v>1256086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152693</v>
      </c>
      <c r="D36" s="481">
        <v>45402</v>
      </c>
      <c r="E36" s="481">
        <v>1417</v>
      </c>
      <c r="F36" s="481"/>
      <c r="G36" s="481"/>
      <c r="H36" s="481"/>
      <c r="I36" s="467"/>
      <c r="J36" s="467"/>
      <c r="K36" s="1671">
        <f t="shared" ref="K36:K41" si="2">SUM(C36:J36)</f>
        <v>199512</v>
      </c>
      <c r="L36" s="466">
        <v>203336</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c r="F38" s="466"/>
      <c r="G38" s="466"/>
      <c r="H38" s="466"/>
      <c r="I38" s="467"/>
      <c r="J38" s="467"/>
      <c r="K38" s="1671">
        <f t="shared" si="2"/>
        <v>0</v>
      </c>
      <c r="L38" s="466"/>
    </row>
    <row r="39" spans="1:14" x14ac:dyDescent="0.2">
      <c r="A39" s="1504" t="s">
        <v>199</v>
      </c>
      <c r="B39" s="614">
        <v>2140</v>
      </c>
      <c r="C39" s="466">
        <v>66562</v>
      </c>
      <c r="D39" s="466">
        <v>25400</v>
      </c>
      <c r="E39" s="466">
        <v>14574</v>
      </c>
      <c r="F39" s="466">
        <v>1479</v>
      </c>
      <c r="G39" s="466"/>
      <c r="H39" s="466"/>
      <c r="I39" s="467"/>
      <c r="J39" s="467"/>
      <c r="K39" s="1671">
        <f t="shared" si="2"/>
        <v>108015</v>
      </c>
      <c r="L39" s="466">
        <v>108448</v>
      </c>
    </row>
    <row r="40" spans="1:14" x14ac:dyDescent="0.2">
      <c r="A40" s="1504" t="s">
        <v>200</v>
      </c>
      <c r="B40" s="614">
        <v>2150</v>
      </c>
      <c r="C40" s="466">
        <v>900637</v>
      </c>
      <c r="D40" s="466">
        <v>328177</v>
      </c>
      <c r="E40" s="466">
        <v>31244</v>
      </c>
      <c r="F40" s="466">
        <v>9615</v>
      </c>
      <c r="G40" s="466">
        <v>10641</v>
      </c>
      <c r="H40" s="466"/>
      <c r="I40" s="467"/>
      <c r="J40" s="467"/>
      <c r="K40" s="1671">
        <f t="shared" si="2"/>
        <v>1280314</v>
      </c>
      <c r="L40" s="466">
        <v>1323176</v>
      </c>
    </row>
    <row r="41" spans="1:14" x14ac:dyDescent="0.2">
      <c r="A41" s="1504" t="s">
        <v>1669</v>
      </c>
      <c r="B41" s="614">
        <v>2190</v>
      </c>
      <c r="C41" s="466"/>
      <c r="D41" s="466"/>
      <c r="E41" s="466">
        <v>78</v>
      </c>
      <c r="F41" s="466"/>
      <c r="G41" s="466"/>
      <c r="H41" s="466"/>
      <c r="I41" s="467"/>
      <c r="J41" s="467"/>
      <c r="K41" s="1671">
        <f t="shared" si="2"/>
        <v>78</v>
      </c>
      <c r="L41" s="466">
        <v>550</v>
      </c>
    </row>
    <row r="42" spans="1:14" ht="12.75" customHeight="1" thickBot="1" x14ac:dyDescent="0.25">
      <c r="A42" s="1668" t="s">
        <v>560</v>
      </c>
      <c r="B42" s="1669" t="s">
        <v>716</v>
      </c>
      <c r="C42" s="1670">
        <f>SUM(C36:C41)</f>
        <v>1119892</v>
      </c>
      <c r="D42" s="1670">
        <f t="shared" ref="D42:L42" si="3">SUM(D36:D41)</f>
        <v>398979</v>
      </c>
      <c r="E42" s="1670">
        <f t="shared" si="3"/>
        <v>47313</v>
      </c>
      <c r="F42" s="1670">
        <f t="shared" si="3"/>
        <v>11094</v>
      </c>
      <c r="G42" s="1670">
        <f t="shared" si="3"/>
        <v>10641</v>
      </c>
      <c r="H42" s="1670">
        <f t="shared" si="3"/>
        <v>0</v>
      </c>
      <c r="I42" s="1670">
        <f t="shared" si="3"/>
        <v>0</v>
      </c>
      <c r="J42" s="1670">
        <f t="shared" si="3"/>
        <v>0</v>
      </c>
      <c r="K42" s="1670">
        <f t="shared" si="3"/>
        <v>1587919</v>
      </c>
      <c r="L42" s="1670">
        <f t="shared" si="3"/>
        <v>1635510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544802</v>
      </c>
      <c r="D44" s="481">
        <v>199019</v>
      </c>
      <c r="E44" s="481">
        <v>34998</v>
      </c>
      <c r="F44" s="481">
        <v>9563</v>
      </c>
      <c r="G44" s="481">
        <v>2500</v>
      </c>
      <c r="H44" s="481">
        <v>13121</v>
      </c>
      <c r="I44" s="467"/>
      <c r="J44" s="467"/>
      <c r="K44" s="1672">
        <f>SUM(C44:J44)</f>
        <v>804003</v>
      </c>
      <c r="L44" s="481">
        <v>919543</v>
      </c>
    </row>
    <row r="45" spans="1:14" x14ac:dyDescent="0.2">
      <c r="A45" s="1504" t="s">
        <v>815</v>
      </c>
      <c r="B45" s="614">
        <v>2220</v>
      </c>
      <c r="C45" s="466"/>
      <c r="D45" s="466"/>
      <c r="E45" s="466"/>
      <c r="F45" s="466"/>
      <c r="G45" s="466"/>
      <c r="H45" s="466"/>
      <c r="I45" s="467"/>
      <c r="J45" s="467"/>
      <c r="K45" s="1672">
        <f>SUM(C45:J45)</f>
        <v>0</v>
      </c>
      <c r="L45" s="466"/>
    </row>
    <row r="46" spans="1:14" x14ac:dyDescent="0.2">
      <c r="A46" s="1504" t="s">
        <v>816</v>
      </c>
      <c r="B46" s="614">
        <v>2230</v>
      </c>
      <c r="C46" s="466">
        <v>118846</v>
      </c>
      <c r="D46" s="466">
        <v>49645</v>
      </c>
      <c r="E46" s="466">
        <v>3485</v>
      </c>
      <c r="F46" s="466">
        <v>315</v>
      </c>
      <c r="G46" s="466"/>
      <c r="H46" s="466"/>
      <c r="I46" s="467"/>
      <c r="J46" s="467"/>
      <c r="K46" s="1672">
        <f>SUM(C46:J46)</f>
        <v>172291</v>
      </c>
      <c r="L46" s="466">
        <v>179849</v>
      </c>
    </row>
    <row r="47" spans="1:14" ht="12.75" customHeight="1" thickBot="1" x14ac:dyDescent="0.25">
      <c r="A47" s="1668" t="s">
        <v>561</v>
      </c>
      <c r="B47" s="1669" t="s">
        <v>32</v>
      </c>
      <c r="C47" s="1670">
        <f>SUM(C44:C46)</f>
        <v>663648</v>
      </c>
      <c r="D47" s="1670">
        <f t="shared" ref="D47:K47" si="4">SUM(D44:D46)</f>
        <v>248664</v>
      </c>
      <c r="E47" s="1670">
        <f t="shared" si="4"/>
        <v>38483</v>
      </c>
      <c r="F47" s="1670">
        <f t="shared" si="4"/>
        <v>9878</v>
      </c>
      <c r="G47" s="1670">
        <f t="shared" si="4"/>
        <v>2500</v>
      </c>
      <c r="H47" s="1670">
        <f t="shared" si="4"/>
        <v>13121</v>
      </c>
      <c r="I47" s="1670">
        <f t="shared" si="4"/>
        <v>0</v>
      </c>
      <c r="J47" s="1670">
        <f t="shared" si="4"/>
        <v>0</v>
      </c>
      <c r="K47" s="1670">
        <f t="shared" si="4"/>
        <v>976294</v>
      </c>
      <c r="L47" s="1670">
        <f>SUM(L44:L46)</f>
        <v>1099392</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c r="F49" s="481"/>
      <c r="G49" s="481"/>
      <c r="H49" s="481"/>
      <c r="I49" s="467"/>
      <c r="J49" s="467"/>
      <c r="K49" s="1672">
        <f>SUM(C49:J49)</f>
        <v>0</v>
      </c>
      <c r="L49" s="481"/>
    </row>
    <row r="50" spans="1:14" x14ac:dyDescent="0.2">
      <c r="A50" s="1504" t="s">
        <v>818</v>
      </c>
      <c r="B50" s="614">
        <v>2320</v>
      </c>
      <c r="C50" s="466">
        <v>323918</v>
      </c>
      <c r="D50" s="466">
        <v>112087</v>
      </c>
      <c r="E50" s="466">
        <v>136877</v>
      </c>
      <c r="F50" s="466">
        <v>617</v>
      </c>
      <c r="G50" s="466"/>
      <c r="H50" s="466">
        <v>1149</v>
      </c>
      <c r="I50" s="467"/>
      <c r="J50" s="467"/>
      <c r="K50" s="1672">
        <f>SUM(C50:J50)</f>
        <v>574648</v>
      </c>
      <c r="L50" s="466">
        <v>615989</v>
      </c>
    </row>
    <row r="51" spans="1:14" x14ac:dyDescent="0.2">
      <c r="A51" s="1504" t="s">
        <v>42</v>
      </c>
      <c r="B51" s="614">
        <v>2330</v>
      </c>
      <c r="C51" s="466">
        <v>120799</v>
      </c>
      <c r="D51" s="466">
        <v>47258</v>
      </c>
      <c r="E51" s="466">
        <v>26518</v>
      </c>
      <c r="F51" s="466">
        <v>1901</v>
      </c>
      <c r="G51" s="466"/>
      <c r="H51" s="466">
        <v>3122</v>
      </c>
      <c r="I51" s="467"/>
      <c r="J51" s="467"/>
      <c r="K51" s="1672">
        <f>SUM(C51:J51)</f>
        <v>199598</v>
      </c>
      <c r="L51" s="466">
        <v>246195</v>
      </c>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444717</v>
      </c>
      <c r="D53" s="1670">
        <f t="shared" ref="D53:L53" si="5">SUM(D49:D52)</f>
        <v>159345</v>
      </c>
      <c r="E53" s="1670">
        <f t="shared" si="5"/>
        <v>163395</v>
      </c>
      <c r="F53" s="1670">
        <f t="shared" si="5"/>
        <v>2518</v>
      </c>
      <c r="G53" s="1670">
        <f t="shared" si="5"/>
        <v>0</v>
      </c>
      <c r="H53" s="1670">
        <f t="shared" si="5"/>
        <v>4271</v>
      </c>
      <c r="I53" s="1670">
        <f t="shared" si="5"/>
        <v>0</v>
      </c>
      <c r="J53" s="1670">
        <f t="shared" si="5"/>
        <v>0</v>
      </c>
      <c r="K53" s="1670">
        <f t="shared" si="5"/>
        <v>774246</v>
      </c>
      <c r="L53" s="1670">
        <f t="shared" si="5"/>
        <v>862184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c r="D55" s="481"/>
      <c r="E55" s="481"/>
      <c r="F55" s="481"/>
      <c r="G55" s="481"/>
      <c r="H55" s="481"/>
      <c r="I55" s="467"/>
      <c r="J55" s="467"/>
      <c r="K55" s="1672">
        <f>SUM(C55:J55)</f>
        <v>0</v>
      </c>
      <c r="L55" s="481"/>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0</v>
      </c>
      <c r="D57" s="1674">
        <f t="shared" ref="D57:K57" si="6">SUM(D55:D56)</f>
        <v>0</v>
      </c>
      <c r="E57" s="1674">
        <f t="shared" si="6"/>
        <v>0</v>
      </c>
      <c r="F57" s="1674">
        <f t="shared" si="6"/>
        <v>0</v>
      </c>
      <c r="G57" s="1674">
        <f t="shared" si="6"/>
        <v>0</v>
      </c>
      <c r="H57" s="1674">
        <f t="shared" si="6"/>
        <v>0</v>
      </c>
      <c r="I57" s="1674">
        <f t="shared" si="6"/>
        <v>0</v>
      </c>
      <c r="J57" s="1674">
        <f t="shared" si="6"/>
        <v>0</v>
      </c>
      <c r="K57" s="1674">
        <f t="shared" si="6"/>
        <v>0</v>
      </c>
      <c r="L57" s="1670">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56907</v>
      </c>
      <c r="D60" s="466">
        <v>25477</v>
      </c>
      <c r="E60" s="466">
        <v>6283</v>
      </c>
      <c r="F60" s="466">
        <v>42</v>
      </c>
      <c r="G60" s="466"/>
      <c r="H60" s="466"/>
      <c r="I60" s="467"/>
      <c r="J60" s="467"/>
      <c r="K60" s="1672">
        <f t="shared" si="7"/>
        <v>88709</v>
      </c>
      <c r="L60" s="466">
        <v>99348</v>
      </c>
      <c r="M60" s="609"/>
      <c r="N60" s="609"/>
    </row>
    <row r="61" spans="1:14" s="343" customFormat="1" x14ac:dyDescent="0.2">
      <c r="A61" s="1504" t="s">
        <v>197</v>
      </c>
      <c r="B61" s="614">
        <v>2540</v>
      </c>
      <c r="C61" s="466">
        <v>112868</v>
      </c>
      <c r="D61" s="466">
        <v>47807</v>
      </c>
      <c r="E61" s="466">
        <v>55062</v>
      </c>
      <c r="F61" s="466">
        <v>51953</v>
      </c>
      <c r="G61" s="466">
        <v>10886</v>
      </c>
      <c r="H61" s="466"/>
      <c r="I61" s="467"/>
      <c r="J61" s="467"/>
      <c r="K61" s="1672">
        <f t="shared" si="7"/>
        <v>278576</v>
      </c>
      <c r="L61" s="466">
        <v>503924</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c r="D63" s="466"/>
      <c r="E63" s="466">
        <v>34427</v>
      </c>
      <c r="F63" s="466">
        <v>9331</v>
      </c>
      <c r="G63" s="466"/>
      <c r="H63" s="466"/>
      <c r="I63" s="467"/>
      <c r="J63" s="467"/>
      <c r="K63" s="1672">
        <f t="shared" si="7"/>
        <v>43758</v>
      </c>
      <c r="L63" s="466">
        <v>55500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169775</v>
      </c>
      <c r="D65" s="1670">
        <f t="shared" ref="D65:L65" si="8">SUM(D59:D64)</f>
        <v>73284</v>
      </c>
      <c r="E65" s="1670">
        <f t="shared" si="8"/>
        <v>95772</v>
      </c>
      <c r="F65" s="1670">
        <f t="shared" si="8"/>
        <v>61326</v>
      </c>
      <c r="G65" s="1670">
        <f t="shared" si="8"/>
        <v>10886</v>
      </c>
      <c r="H65" s="1670">
        <f t="shared" si="8"/>
        <v>0</v>
      </c>
      <c r="I65" s="1670">
        <f t="shared" si="8"/>
        <v>0</v>
      </c>
      <c r="J65" s="1670">
        <f t="shared" si="8"/>
        <v>0</v>
      </c>
      <c r="K65" s="1670">
        <f t="shared" si="8"/>
        <v>411043</v>
      </c>
      <c r="L65" s="1670">
        <f t="shared" si="8"/>
        <v>658772</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v>70766</v>
      </c>
      <c r="D69" s="466">
        <v>39415</v>
      </c>
      <c r="E69" s="466">
        <v>4594</v>
      </c>
      <c r="F69" s="466">
        <v>129</v>
      </c>
      <c r="G69" s="466"/>
      <c r="H69" s="466"/>
      <c r="I69" s="467"/>
      <c r="J69" s="467"/>
      <c r="K69" s="1672">
        <f>SUM(C69:J69)</f>
        <v>114904</v>
      </c>
      <c r="L69" s="466">
        <v>125049</v>
      </c>
      <c r="M69" s="609"/>
      <c r="N69" s="609"/>
    </row>
    <row r="70" spans="1:14" s="343" customFormat="1" x14ac:dyDescent="0.2">
      <c r="A70" s="1504" t="s">
        <v>403</v>
      </c>
      <c r="B70" s="614">
        <v>2640</v>
      </c>
      <c r="C70" s="466"/>
      <c r="D70" s="466"/>
      <c r="E70" s="466"/>
      <c r="F70" s="466">
        <v>162</v>
      </c>
      <c r="G70" s="466"/>
      <c r="H70" s="466"/>
      <c r="I70" s="467"/>
      <c r="J70" s="467"/>
      <c r="K70" s="1672">
        <f>SUM(C70:J70)</f>
        <v>162</v>
      </c>
      <c r="L70" s="466">
        <v>1700</v>
      </c>
      <c r="M70" s="609"/>
      <c r="N70" s="609"/>
    </row>
    <row r="71" spans="1:14" s="343" customFormat="1" x14ac:dyDescent="0.2">
      <c r="A71" s="1504" t="s">
        <v>404</v>
      </c>
      <c r="B71" s="614">
        <v>2660</v>
      </c>
      <c r="C71" s="466">
        <v>23644</v>
      </c>
      <c r="D71" s="466">
        <v>4631</v>
      </c>
      <c r="E71" s="466">
        <v>39738</v>
      </c>
      <c r="F71" s="466">
        <v>4582</v>
      </c>
      <c r="G71" s="466">
        <v>14907</v>
      </c>
      <c r="H71" s="466"/>
      <c r="I71" s="467"/>
      <c r="J71" s="467"/>
      <c r="K71" s="1672">
        <f>SUM(C71:J71)</f>
        <v>87502</v>
      </c>
      <c r="L71" s="466">
        <v>126785</v>
      </c>
      <c r="M71" s="609"/>
      <c r="N71" s="609"/>
    </row>
    <row r="72" spans="1:14" s="343" customFormat="1" ht="12.75" customHeight="1" thickBot="1" x14ac:dyDescent="0.25">
      <c r="A72" s="1668" t="s">
        <v>37</v>
      </c>
      <c r="B72" s="1675" t="s">
        <v>36</v>
      </c>
      <c r="C72" s="1670">
        <f>SUM(C67:C71)</f>
        <v>94410</v>
      </c>
      <c r="D72" s="1670">
        <f t="shared" ref="D72:K72" si="9">SUM(D67:D71)</f>
        <v>44046</v>
      </c>
      <c r="E72" s="1670">
        <f t="shared" si="9"/>
        <v>44332</v>
      </c>
      <c r="F72" s="1670">
        <f t="shared" si="9"/>
        <v>4873</v>
      </c>
      <c r="G72" s="1670">
        <f t="shared" si="9"/>
        <v>14907</v>
      </c>
      <c r="H72" s="1670">
        <f t="shared" si="9"/>
        <v>0</v>
      </c>
      <c r="I72" s="1670">
        <f t="shared" si="9"/>
        <v>0</v>
      </c>
      <c r="J72" s="1670">
        <f t="shared" si="9"/>
        <v>0</v>
      </c>
      <c r="K72" s="1670">
        <f t="shared" si="9"/>
        <v>202568</v>
      </c>
      <c r="L72" s="1670">
        <f>SUM(L67:L71)</f>
        <v>253534</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2492442</v>
      </c>
      <c r="D74" s="1677">
        <f t="shared" ref="D74:K74" si="10">SUM(D42,D47,D53,D57,D65,D72,D73)</f>
        <v>924318</v>
      </c>
      <c r="E74" s="1677">
        <f t="shared" si="10"/>
        <v>389295</v>
      </c>
      <c r="F74" s="1677">
        <f t="shared" si="10"/>
        <v>89689</v>
      </c>
      <c r="G74" s="1677">
        <f t="shared" si="10"/>
        <v>38934</v>
      </c>
      <c r="H74" s="1677">
        <f t="shared" si="10"/>
        <v>17392</v>
      </c>
      <c r="I74" s="1677">
        <f t="shared" si="10"/>
        <v>0</v>
      </c>
      <c r="J74" s="1677">
        <f t="shared" si="10"/>
        <v>0</v>
      </c>
      <c r="K74" s="1677">
        <f t="shared" si="10"/>
        <v>3952070</v>
      </c>
      <c r="L74" s="1677">
        <f>SUM(L42,L47,L53,L57,L65,L72,L73)</f>
        <v>4509392</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4377576</v>
      </c>
      <c r="I79" s="477"/>
      <c r="J79" s="477"/>
      <c r="K79" s="1671">
        <f t="shared" si="11"/>
        <v>4377576</v>
      </c>
      <c r="L79" s="466">
        <v>3511778</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4377576</v>
      </c>
      <c r="I84" s="477"/>
      <c r="J84" s="477"/>
      <c r="K84" s="1670">
        <f>SUM(K78:K83)</f>
        <v>4377576</v>
      </c>
      <c r="L84" s="1670">
        <f>SUM(L78:L83)</f>
        <v>3511778</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4377576</v>
      </c>
      <c r="I102" s="477"/>
      <c r="J102" s="477"/>
      <c r="K102" s="1677">
        <f>SUM(K84,K92,K100,K101)</f>
        <v>4377576</v>
      </c>
      <c r="L102" s="1677">
        <f>SUM(L84,L92,L100,L101)</f>
        <v>3511778</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3329639</v>
      </c>
      <c r="D114" s="1670">
        <f t="shared" ref="D114:K114" si="13">SUM(D33,D74,D75,D102,D112,D113)</f>
        <v>1273838</v>
      </c>
      <c r="E114" s="1670">
        <f t="shared" si="13"/>
        <v>443057</v>
      </c>
      <c r="F114" s="1670">
        <f t="shared" si="13"/>
        <v>106889</v>
      </c>
      <c r="G114" s="1670">
        <f t="shared" si="13"/>
        <v>38934</v>
      </c>
      <c r="H114" s="1670">
        <f>SUM(H33,H74,H75,H102,H112,H113)</f>
        <v>4394968</v>
      </c>
      <c r="I114" s="1670">
        <f t="shared" si="13"/>
        <v>0</v>
      </c>
      <c r="J114" s="1670">
        <f t="shared" si="13"/>
        <v>0</v>
      </c>
      <c r="K114" s="1670">
        <f t="shared" si="13"/>
        <v>9587325</v>
      </c>
      <c r="L114" s="1670">
        <f>SUM(L33,L74,L75,L102,L112,L113)</f>
        <v>9277256</v>
      </c>
    </row>
    <row r="115" spans="1:14" ht="13.5" thickTop="1" x14ac:dyDescent="0.2">
      <c r="A115" s="2188" t="s">
        <v>996</v>
      </c>
      <c r="B115" s="2189"/>
      <c r="C115" s="618"/>
      <c r="D115" s="618"/>
      <c r="E115" s="618"/>
      <c r="F115" s="618"/>
      <c r="G115" s="618"/>
      <c r="H115" s="618"/>
      <c r="I115" s="618"/>
      <c r="J115" s="618"/>
      <c r="K115" s="1684">
        <f>'Revenues 9-14'!C268-'Expenditures 15-22'!K114</f>
        <v>168219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296</v>
      </c>
      <c r="B117" s="2167"/>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2055</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c r="D124" s="466"/>
      <c r="E124" s="466"/>
      <c r="F124" s="466"/>
      <c r="G124" s="466"/>
      <c r="H124" s="466"/>
      <c r="I124" s="467"/>
      <c r="J124" s="467"/>
      <c r="K124" s="1670">
        <f>SUM(C124:J124)</f>
        <v>0</v>
      </c>
      <c r="L124" s="466"/>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0</v>
      </c>
      <c r="D127" s="1670">
        <f t="shared" ref="D127:L127" si="14">SUM(D122:D126)</f>
        <v>0</v>
      </c>
      <c r="E127" s="1670">
        <f t="shared" si="14"/>
        <v>0</v>
      </c>
      <c r="F127" s="1670">
        <f t="shared" si="14"/>
        <v>0</v>
      </c>
      <c r="G127" s="1670">
        <f t="shared" si="14"/>
        <v>0</v>
      </c>
      <c r="H127" s="1670">
        <f t="shared" si="14"/>
        <v>0</v>
      </c>
      <c r="I127" s="1670">
        <f t="shared" si="14"/>
        <v>0</v>
      </c>
      <c r="J127" s="1670">
        <f t="shared" si="14"/>
        <v>0</v>
      </c>
      <c r="K127" s="1670">
        <f t="shared" si="14"/>
        <v>0</v>
      </c>
      <c r="L127" s="1670">
        <f t="shared" si="14"/>
        <v>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0</v>
      </c>
      <c r="D129" s="1677">
        <f t="shared" ref="D129:L129" si="15">SUM(D120,D127,D128)</f>
        <v>0</v>
      </c>
      <c r="E129" s="1677">
        <f t="shared" si="15"/>
        <v>0</v>
      </c>
      <c r="F129" s="1677">
        <f t="shared" si="15"/>
        <v>0</v>
      </c>
      <c r="G129" s="1677">
        <f t="shared" si="15"/>
        <v>0</v>
      </c>
      <c r="H129" s="1677">
        <f t="shared" si="15"/>
        <v>0</v>
      </c>
      <c r="I129" s="1677">
        <f t="shared" si="15"/>
        <v>0</v>
      </c>
      <c r="J129" s="1677">
        <f t="shared" si="15"/>
        <v>0</v>
      </c>
      <c r="K129" s="1677">
        <f t="shared" si="15"/>
        <v>0</v>
      </c>
      <c r="L129" s="1677">
        <f t="shared" si="15"/>
        <v>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1841</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8" t="s">
        <v>620</v>
      </c>
      <c r="B151" s="2160"/>
      <c r="C151" s="1670">
        <f>SUM(C129,C130,C139,C149,C150)</f>
        <v>0</v>
      </c>
      <c r="D151" s="1670">
        <f t="shared" ref="D151:K151" si="16">SUM(D129,D130,D139,D149,D150)</f>
        <v>0</v>
      </c>
      <c r="E151" s="1670">
        <f t="shared" si="16"/>
        <v>0</v>
      </c>
      <c r="F151" s="1670">
        <f t="shared" si="16"/>
        <v>0</v>
      </c>
      <c r="G151" s="1670">
        <f t="shared" si="16"/>
        <v>0</v>
      </c>
      <c r="H151" s="1670">
        <f t="shared" si="16"/>
        <v>0</v>
      </c>
      <c r="I151" s="1670">
        <f t="shared" si="16"/>
        <v>0</v>
      </c>
      <c r="J151" s="1670">
        <f t="shared" si="16"/>
        <v>0</v>
      </c>
      <c r="K151" s="1670">
        <f t="shared" si="16"/>
        <v>0</v>
      </c>
      <c r="L151" s="1670">
        <f>SUM(L129,L130,L139,L149,L150)</f>
        <v>0</v>
      </c>
    </row>
    <row r="152" spans="1:14" ht="12.75" customHeight="1" thickTop="1" x14ac:dyDescent="0.2">
      <c r="A152" s="2181" t="s">
        <v>1178</v>
      </c>
      <c r="B152" s="2182"/>
      <c r="C152" s="618"/>
      <c r="D152" s="618"/>
      <c r="E152" s="618"/>
      <c r="F152" s="618"/>
      <c r="G152" s="618"/>
      <c r="H152" s="618"/>
      <c r="I152" s="618"/>
      <c r="J152" s="616"/>
      <c r="K152" s="1684">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621</v>
      </c>
      <c r="B154" s="2168"/>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1842</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1841</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1843</v>
      </c>
      <c r="C158" s="616"/>
      <c r="D158" s="616"/>
      <c r="E158" s="616"/>
      <c r="F158" s="616"/>
      <c r="G158" s="616"/>
      <c r="H158" s="467"/>
      <c r="I158" s="616"/>
      <c r="J158" s="616"/>
      <c r="K158" s="1671">
        <f>H158</f>
        <v>0</v>
      </c>
      <c r="L158" s="467"/>
      <c r="M158" s="619"/>
      <c r="N158" s="619"/>
    </row>
    <row r="159" spans="1:14" s="620" customFormat="1" ht="12" x14ac:dyDescent="0.2">
      <c r="A159" s="1826" t="s">
        <v>1844</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1845</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c r="I170" s="616"/>
      <c r="J170" s="616"/>
      <c r="K170" s="1671">
        <f>SUM(C170:J170)</f>
        <v>0</v>
      </c>
      <c r="L170" s="569"/>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0</v>
      </c>
      <c r="I172" s="638"/>
      <c r="J172" s="616"/>
      <c r="K172" s="1677">
        <f>SUM(K168,K169,K170,K171)</f>
        <v>0</v>
      </c>
      <c r="L172" s="1677">
        <f>SUM(L168,L169,L170,L171)</f>
        <v>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0</v>
      </c>
      <c r="I174" s="638"/>
      <c r="J174" s="616"/>
      <c r="K174" s="1677">
        <f>SUM(K160,K172,K173)</f>
        <v>0</v>
      </c>
      <c r="L174" s="1677">
        <f>SUM(L160,L172,L173)</f>
        <v>0</v>
      </c>
    </row>
    <row r="175" spans="1:14" ht="13.5" thickTop="1" x14ac:dyDescent="0.2">
      <c r="A175" s="2188" t="s">
        <v>996</v>
      </c>
      <c r="B175" s="2189"/>
      <c r="C175" s="616"/>
      <c r="D175" s="616"/>
      <c r="E175" s="616"/>
      <c r="F175" s="616"/>
      <c r="G175" s="616"/>
      <c r="H175" s="618"/>
      <c r="I175" s="616"/>
      <c r="J175" s="616"/>
      <c r="K175" s="1684">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2055</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c r="D182" s="466"/>
      <c r="E182" s="466"/>
      <c r="F182" s="466"/>
      <c r="G182" s="466"/>
      <c r="H182" s="466"/>
      <c r="I182" s="467"/>
      <c r="J182" s="467"/>
      <c r="K182" s="1671">
        <f>SUM(C182:J182)</f>
        <v>0</v>
      </c>
      <c r="L182" s="466"/>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0</v>
      </c>
      <c r="D184" s="1677">
        <f t="shared" ref="D184:J184" si="17">SUM(D180,D182,D183)</f>
        <v>0</v>
      </c>
      <c r="E184" s="1677">
        <f t="shared" si="17"/>
        <v>0</v>
      </c>
      <c r="F184" s="1677">
        <f t="shared" si="17"/>
        <v>0</v>
      </c>
      <c r="G184" s="1677">
        <f t="shared" si="17"/>
        <v>0</v>
      </c>
      <c r="H184" s="1677">
        <f t="shared" si="17"/>
        <v>0</v>
      </c>
      <c r="I184" s="1677">
        <f t="shared" si="17"/>
        <v>0</v>
      </c>
      <c r="J184" s="1677">
        <f t="shared" si="17"/>
        <v>0</v>
      </c>
      <c r="K184" s="1677">
        <f>SUM(K180,K182,K183)</f>
        <v>0</v>
      </c>
      <c r="L184" s="1677">
        <f>SUM(L180, L182:L183)</f>
        <v>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0</v>
      </c>
      <c r="D210" s="1670">
        <f>SUM(D184,D185)</f>
        <v>0</v>
      </c>
      <c r="E210" s="1670">
        <f>SUM(E184,E185,E196)</f>
        <v>0</v>
      </c>
      <c r="F210" s="1670">
        <f>SUM(F184,F185)</f>
        <v>0</v>
      </c>
      <c r="G210" s="1670">
        <f>SUM(G184,G185)</f>
        <v>0</v>
      </c>
      <c r="H210" s="1670">
        <f>SUM(H184,H185,H196,H208,H209)</f>
        <v>0</v>
      </c>
      <c r="I210" s="1670">
        <f>SUM(I184,I185)</f>
        <v>0</v>
      </c>
      <c r="J210" s="1670">
        <f>SUM(J184,J185)</f>
        <v>0</v>
      </c>
      <c r="K210" s="1671">
        <f>SUM(K184,K185,K196,K208,K209)</f>
        <v>0</v>
      </c>
      <c r="L210" s="1670">
        <f>SUM(L184,L185,L196,L208,L209)</f>
        <v>0</v>
      </c>
    </row>
    <row r="211" spans="1:14" ht="13.5" thickTop="1" x14ac:dyDescent="0.2">
      <c r="A211" s="2188" t="s">
        <v>996</v>
      </c>
      <c r="B211" s="2189"/>
      <c r="C211" s="618"/>
      <c r="D211" s="618"/>
      <c r="E211" s="618"/>
      <c r="F211" s="618"/>
      <c r="G211" s="618"/>
      <c r="H211" s="618"/>
      <c r="I211" s="616"/>
      <c r="J211" s="616"/>
      <c r="K211" s="1684">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965</v>
      </c>
      <c r="B213" s="2184"/>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c r="E215" s="616"/>
      <c r="F215" s="616"/>
      <c r="G215" s="616"/>
      <c r="H215" s="616"/>
      <c r="I215" s="616"/>
      <c r="J215" s="616"/>
      <c r="K215" s="1671">
        <f>D215</f>
        <v>0</v>
      </c>
      <c r="L215" s="466"/>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c r="E217" s="616"/>
      <c r="F217" s="616"/>
      <c r="G217" s="616"/>
      <c r="H217" s="616"/>
      <c r="I217" s="616"/>
      <c r="J217" s="616"/>
      <c r="K217" s="1671">
        <f t="shared" si="19"/>
        <v>0</v>
      </c>
      <c r="L217" s="466"/>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c r="E223" s="616"/>
      <c r="F223" s="616"/>
      <c r="G223" s="616"/>
      <c r="H223" s="616"/>
      <c r="I223" s="616"/>
      <c r="J223" s="616"/>
      <c r="K223" s="1671">
        <f t="shared" si="19"/>
        <v>0</v>
      </c>
      <c r="L223" s="466"/>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0</v>
      </c>
      <c r="E229" s="616"/>
      <c r="F229" s="616"/>
      <c r="G229" s="616"/>
      <c r="H229" s="616"/>
      <c r="I229" s="616"/>
      <c r="J229" s="616"/>
      <c r="K229" s="1670">
        <f>SUM(K215:K228)</f>
        <v>0</v>
      </c>
      <c r="L229" s="1670">
        <f>SUM(L215:L228)</f>
        <v>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0</v>
      </c>
      <c r="E238" s="616"/>
      <c r="F238" s="616"/>
      <c r="G238" s="616"/>
      <c r="H238" s="616"/>
      <c r="I238" s="616"/>
      <c r="J238" s="616"/>
      <c r="K238" s="1670">
        <f>SUM(K232:K237)</f>
        <v>0</v>
      </c>
      <c r="L238" s="1670">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c r="E246" s="616"/>
      <c r="F246" s="616"/>
      <c r="G246" s="616"/>
      <c r="H246" s="616"/>
      <c r="I246" s="616"/>
      <c r="J246" s="616"/>
      <c r="K246" s="1672">
        <f t="shared" ref="K246:K256" si="21">D246</f>
        <v>0</v>
      </c>
      <c r="L246" s="466"/>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1802</v>
      </c>
      <c r="B249" s="683" t="s">
        <v>282</v>
      </c>
      <c r="C249" s="616"/>
      <c r="D249" s="474"/>
      <c r="E249" s="616"/>
      <c r="F249" s="616"/>
      <c r="G249" s="616"/>
      <c r="H249" s="616"/>
      <c r="I249" s="616"/>
      <c r="J249" s="616"/>
      <c r="K249" s="1672">
        <f t="shared" si="21"/>
        <v>0</v>
      </c>
      <c r="L249" s="466"/>
    </row>
    <row r="250" spans="1:12" x14ac:dyDescent="0.2">
      <c r="A250" s="1505" t="s">
        <v>1803</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0</v>
      </c>
      <c r="E257" s="616"/>
      <c r="F257" s="616"/>
      <c r="G257" s="616"/>
      <c r="H257" s="616"/>
      <c r="I257" s="616"/>
      <c r="J257" s="616"/>
      <c r="K257" s="1670">
        <f>SUM(K245:K256)</f>
        <v>0</v>
      </c>
      <c r="L257" s="1670">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c r="E259" s="616"/>
      <c r="F259" s="616"/>
      <c r="G259" s="616"/>
      <c r="H259" s="616"/>
      <c r="I259" s="616"/>
      <c r="J259" s="616"/>
      <c r="K259" s="1672">
        <f>D259</f>
        <v>0</v>
      </c>
      <c r="L259" s="481"/>
    </row>
    <row r="260" spans="1:14" s="597" customFormat="1" x14ac:dyDescent="0.2">
      <c r="A260" s="1522" t="s">
        <v>1801</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0</v>
      </c>
      <c r="E261" s="616"/>
      <c r="F261" s="616"/>
      <c r="G261" s="616"/>
      <c r="H261" s="616"/>
      <c r="I261" s="616"/>
      <c r="J261" s="616"/>
      <c r="K261" s="1670">
        <f>SUM(K259:K260)</f>
        <v>0</v>
      </c>
      <c r="L261" s="1670">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c r="E264" s="616"/>
      <c r="F264" s="616"/>
      <c r="G264" s="616"/>
      <c r="H264" s="616"/>
      <c r="I264" s="616"/>
      <c r="J264" s="616"/>
      <c r="K264" s="1672">
        <f t="shared" ref="K264:K269" si="22">D264</f>
        <v>0</v>
      </c>
      <c r="L264" s="466"/>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c r="E266" s="616"/>
      <c r="F266" s="616"/>
      <c r="G266" s="616"/>
      <c r="H266" s="616"/>
      <c r="I266" s="616"/>
      <c r="J266" s="616"/>
      <c r="K266" s="1672">
        <f t="shared" si="22"/>
        <v>0</v>
      </c>
      <c r="L266" s="466"/>
    </row>
    <row r="267" spans="1:14" x14ac:dyDescent="0.2">
      <c r="A267" s="1504" t="s">
        <v>953</v>
      </c>
      <c r="B267" s="614">
        <v>2550</v>
      </c>
      <c r="C267" s="616"/>
      <c r="D267" s="466"/>
      <c r="E267" s="616"/>
      <c r="F267" s="616"/>
      <c r="G267" s="616"/>
      <c r="H267" s="616"/>
      <c r="I267" s="616"/>
      <c r="J267" s="616"/>
      <c r="K267" s="1672">
        <f t="shared" si="22"/>
        <v>0</v>
      </c>
      <c r="L267" s="466"/>
    </row>
    <row r="268" spans="1:14" x14ac:dyDescent="0.2">
      <c r="A268" s="1504" t="s">
        <v>100</v>
      </c>
      <c r="B268" s="614">
        <v>2560</v>
      </c>
      <c r="C268" s="616"/>
      <c r="D268" s="466"/>
      <c r="E268" s="616"/>
      <c r="F268" s="616"/>
      <c r="G268" s="616"/>
      <c r="H268" s="616"/>
      <c r="I268" s="616"/>
      <c r="J268" s="616"/>
      <c r="K268" s="1672">
        <f t="shared" si="22"/>
        <v>0</v>
      </c>
      <c r="L268" s="466"/>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0</v>
      </c>
      <c r="E270" s="616"/>
      <c r="F270" s="616"/>
      <c r="G270" s="616"/>
      <c r="H270" s="616"/>
      <c r="I270" s="616"/>
      <c r="J270" s="616"/>
      <c r="K270" s="1670">
        <f>SUM(K263:K269)</f>
        <v>0</v>
      </c>
      <c r="L270" s="1670">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0</v>
      </c>
      <c r="E279" s="616"/>
      <c r="F279" s="616"/>
      <c r="G279" s="616"/>
      <c r="H279" s="616"/>
      <c r="I279" s="616"/>
      <c r="J279" s="616"/>
      <c r="K279" s="1677">
        <f>SUM(K238,K243,K257,K261,K270,K277,K278)</f>
        <v>0</v>
      </c>
      <c r="L279" s="1677">
        <f>SUM(L238,L243,L257,L261,L270,L277,L278)</f>
        <v>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1841</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9" t="s">
        <v>505</v>
      </c>
      <c r="B295" s="2180"/>
      <c r="C295" s="616"/>
      <c r="D295" s="1670">
        <f>SUM(D229,D279,D280,D285)</f>
        <v>0</v>
      </c>
      <c r="E295" s="616"/>
      <c r="F295" s="616"/>
      <c r="G295" s="616"/>
      <c r="H295" s="1670">
        <f>H293</f>
        <v>0</v>
      </c>
      <c r="I295" s="616"/>
      <c r="J295" s="616"/>
      <c r="K295" s="1670">
        <f>SUM(K229,K279,K280,K285,K293,K294)</f>
        <v>0</v>
      </c>
      <c r="L295" s="1670">
        <f>SUM(L229,L279,L280,L285,L293,L294)</f>
        <v>0</v>
      </c>
    </row>
    <row r="296" spans="1:14" ht="13.5" thickTop="1" x14ac:dyDescent="0.2">
      <c r="A296" s="2188" t="s">
        <v>996</v>
      </c>
      <c r="B296" s="2189"/>
      <c r="C296" s="616"/>
      <c r="D296" s="618"/>
      <c r="E296" s="616"/>
      <c r="F296" s="616"/>
      <c r="G296" s="616"/>
      <c r="H296" s="687"/>
      <c r="I296" s="616"/>
      <c r="J296" s="616"/>
      <c r="K296" s="1684">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1846</v>
      </c>
      <c r="B306" s="690" t="s">
        <v>1841</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6" t="s">
        <v>277</v>
      </c>
      <c r="B312" s="2177"/>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72" t="s">
        <v>996</v>
      </c>
      <c r="B313" s="2173"/>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898</v>
      </c>
      <c r="B317" s="2186"/>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1802</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1847</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1841</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1843</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1848</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74" t="s">
        <v>996</v>
      </c>
      <c r="B343" s="2175"/>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966</v>
      </c>
      <c r="B345" s="2165"/>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1849</v>
      </c>
      <c r="B354" s="683" t="s">
        <v>1841</v>
      </c>
      <c r="C354" s="616"/>
      <c r="D354" s="616"/>
      <c r="E354" s="616"/>
      <c r="F354" s="616"/>
      <c r="G354" s="616"/>
      <c r="H354" s="474"/>
      <c r="I354" s="701"/>
      <c r="J354" s="616"/>
      <c r="K354" s="1699">
        <f>H354</f>
        <v>0</v>
      </c>
      <c r="L354" s="471"/>
    </row>
    <row r="355" spans="1:14" ht="12.75" customHeight="1" x14ac:dyDescent="0.2">
      <c r="A355" s="1513" t="s">
        <v>1850</v>
      </c>
      <c r="B355" s="690" t="s">
        <v>1843</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88" t="s">
        <v>996</v>
      </c>
      <c r="B368" s="2189"/>
      <c r="C368" s="654"/>
      <c r="D368" s="654"/>
      <c r="E368" s="626"/>
      <c r="F368" s="626"/>
      <c r="G368" s="626"/>
      <c r="H368" s="626"/>
      <c r="I368" s="626"/>
      <c r="J368" s="623"/>
      <c r="K368" s="1671">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B1" sqref="B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90" t="s">
        <v>1799</v>
      </c>
      <c r="B2" s="1528" t="s">
        <v>1946</v>
      </c>
      <c r="C2" s="714" t="s">
        <v>1947</v>
      </c>
      <c r="D2" s="714" t="s">
        <v>1948</v>
      </c>
      <c r="E2" s="714" t="s">
        <v>1949</v>
      </c>
      <c r="F2" s="714" t="s">
        <v>1950</v>
      </c>
    </row>
    <row r="3" spans="1:6" ht="12" customHeight="1" x14ac:dyDescent="0.2">
      <c r="A3" s="2191"/>
      <c r="B3" s="1525"/>
      <c r="C3" s="1526"/>
      <c r="D3" s="1527" t="s">
        <v>256</v>
      </c>
      <c r="E3" s="1526"/>
      <c r="F3" s="1527" t="s">
        <v>257</v>
      </c>
    </row>
    <row r="4" spans="1:6" ht="13.7" customHeight="1" x14ac:dyDescent="0.2">
      <c r="A4" s="715" t="s">
        <v>1155</v>
      </c>
      <c r="B4" s="1749">
        <f>'Revenues 9-14'!C5</f>
        <v>0</v>
      </c>
      <c r="C4" s="1524"/>
      <c r="D4" s="1752">
        <f>B4-C4</f>
        <v>0</v>
      </c>
      <c r="E4" s="1524"/>
      <c r="F4" s="1752">
        <f>E4-C4</f>
        <v>0</v>
      </c>
    </row>
    <row r="5" spans="1:6" ht="13.7" customHeight="1" x14ac:dyDescent="0.2">
      <c r="A5" s="715" t="s">
        <v>870</v>
      </c>
      <c r="B5" s="1750">
        <f>'Revenues 9-14'!D5</f>
        <v>0</v>
      </c>
      <c r="C5" s="585"/>
      <c r="D5" s="1753">
        <f t="shared" ref="D5:D18" si="0">B5-C5</f>
        <v>0</v>
      </c>
      <c r="E5" s="585"/>
      <c r="F5" s="1753">
        <f>E5-C5</f>
        <v>0</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0</v>
      </c>
      <c r="C7" s="585"/>
      <c r="D7" s="1753">
        <f t="shared" si="0"/>
        <v>0</v>
      </c>
      <c r="E7" s="585"/>
      <c r="F7" s="1753">
        <f t="shared" si="1"/>
        <v>0</v>
      </c>
    </row>
    <row r="8" spans="1:6" ht="13.7" customHeight="1" x14ac:dyDescent="0.2">
      <c r="A8" s="715" t="s">
        <v>1179</v>
      </c>
      <c r="B8" s="1750">
        <f>'Revenues 9-14'!G5</f>
        <v>0</v>
      </c>
      <c r="C8" s="585"/>
      <c r="D8" s="1753">
        <f t="shared" si="0"/>
        <v>0</v>
      </c>
      <c r="E8" s="585"/>
      <c r="F8" s="1753">
        <f t="shared" si="1"/>
        <v>0</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0</v>
      </c>
      <c r="C10" s="585"/>
      <c r="D10" s="1753">
        <f t="shared" si="0"/>
        <v>0</v>
      </c>
      <c r="E10" s="585"/>
      <c r="F10" s="1753">
        <f t="shared" si="1"/>
        <v>0</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0</v>
      </c>
      <c r="C16" s="585"/>
      <c r="D16" s="1753">
        <f t="shared" si="0"/>
        <v>0</v>
      </c>
      <c r="E16" s="585"/>
      <c r="F16" s="1753">
        <f t="shared" si="1"/>
        <v>0</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0</v>
      </c>
      <c r="C19" s="1751">
        <f>SUM(C4:C18)</f>
        <v>0</v>
      </c>
      <c r="D19" s="1751">
        <f>SUM(D4:D18)</f>
        <v>0</v>
      </c>
      <c r="E19" s="1751">
        <f>SUM(E4:E18)</f>
        <v>0</v>
      </c>
      <c r="F19" s="1751">
        <f>SUM(F4:F18)</f>
        <v>0</v>
      </c>
    </row>
    <row r="20" spans="1:6" ht="13.5" thickTop="1" x14ac:dyDescent="0.2">
      <c r="B20" s="713"/>
      <c r="F20" s="716"/>
    </row>
    <row r="21" spans="1:6" x14ac:dyDescent="0.2">
      <c r="A21" s="717" t="s">
        <v>1805</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7" colorId="8" zoomScale="110" zoomScaleNormal="110" workbookViewId="0">
      <selection activeCell="G2" sqref="G2"/>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6" t="s">
        <v>629</v>
      </c>
      <c r="B1" s="2197"/>
      <c r="C1" s="721"/>
    </row>
    <row r="2" spans="1:7" ht="33.75" x14ac:dyDescent="0.2">
      <c r="A2" s="2205" t="s">
        <v>1799</v>
      </c>
      <c r="B2" s="2206"/>
      <c r="C2" s="1884" t="s">
        <v>1951</v>
      </c>
      <c r="D2" s="723" t="s">
        <v>1952</v>
      </c>
      <c r="E2" s="723" t="s">
        <v>1953</v>
      </c>
      <c r="F2" s="1884" t="s">
        <v>1954</v>
      </c>
    </row>
    <row r="3" spans="1:7" ht="15.75" customHeight="1" x14ac:dyDescent="0.2">
      <c r="A3" s="2209" t="s">
        <v>1114</v>
      </c>
      <c r="B3" s="2210"/>
      <c r="C3" s="2198"/>
      <c r="D3" s="2199"/>
      <c r="E3" s="2199"/>
      <c r="F3" s="2200"/>
    </row>
    <row r="4" spans="1:7" ht="12.75" customHeight="1" thickBot="1" x14ac:dyDescent="0.25">
      <c r="A4" s="2207" t="s">
        <v>630</v>
      </c>
      <c r="B4" s="2208"/>
      <c r="C4" s="581"/>
      <c r="D4" s="581"/>
      <c r="E4" s="581"/>
      <c r="F4" s="1755">
        <f>SUM(C4+D4)-E4</f>
        <v>0</v>
      </c>
    </row>
    <row r="5" spans="1:7" ht="15.75" customHeight="1" thickTop="1" x14ac:dyDescent="0.2">
      <c r="A5" s="2192" t="s">
        <v>1110</v>
      </c>
      <c r="B5" s="2193"/>
      <c r="C5" s="2201"/>
      <c r="D5" s="2202"/>
      <c r="E5" s="2202"/>
      <c r="F5" s="2203"/>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4" t="s">
        <v>631</v>
      </c>
      <c r="B15" s="2195"/>
      <c r="C15" s="1755">
        <f>SUM(C6:C14)</f>
        <v>0</v>
      </c>
      <c r="D15" s="1755">
        <f>SUM(D6:D14)</f>
        <v>0</v>
      </c>
      <c r="E15" s="1755">
        <f>SUM(E6:E14)</f>
        <v>0</v>
      </c>
      <c r="F15" s="1755">
        <f>SUM(F6:F14)</f>
        <v>0</v>
      </c>
      <c r="G15" s="552"/>
    </row>
    <row r="16" spans="1:7" s="202" customFormat="1" ht="15.75" customHeight="1" thickTop="1" x14ac:dyDescent="0.2">
      <c r="A16" s="2204" t="s">
        <v>1111</v>
      </c>
      <c r="B16" s="2193"/>
      <c r="C16" s="2201"/>
      <c r="D16" s="2202"/>
      <c r="E16" s="2202"/>
      <c r="F16" s="2203"/>
    </row>
    <row r="17" spans="1:11" ht="12.75" customHeight="1" thickBot="1" x14ac:dyDescent="0.25">
      <c r="A17" s="2217" t="s">
        <v>64</v>
      </c>
      <c r="B17" s="2218"/>
      <c r="C17" s="726"/>
      <c r="D17" s="585"/>
      <c r="E17" s="726"/>
      <c r="F17" s="1755">
        <f>SUM(C17+D17)-E17</f>
        <v>0</v>
      </c>
    </row>
    <row r="18" spans="1:11" ht="12.75" customHeight="1" thickTop="1" thickBot="1" x14ac:dyDescent="0.25">
      <c r="A18" s="2217" t="s">
        <v>6</v>
      </c>
      <c r="B18" s="2218"/>
      <c r="C18" s="726"/>
      <c r="D18" s="585"/>
      <c r="E18" s="726"/>
      <c r="F18" s="1755">
        <f>SUM(C18+D18)-E18</f>
        <v>0</v>
      </c>
    </row>
    <row r="19" spans="1:11" ht="12.75" customHeight="1" thickTop="1" thickBot="1" x14ac:dyDescent="0.25">
      <c r="A19" s="2217" t="s">
        <v>388</v>
      </c>
      <c r="B19" s="2218"/>
      <c r="C19" s="726"/>
      <c r="D19" s="585"/>
      <c r="E19" s="726"/>
      <c r="F19" s="1755">
        <f>SUM(C19+D19)-E19</f>
        <v>0</v>
      </c>
    </row>
    <row r="20" spans="1:11" ht="12.75" customHeight="1" thickTop="1" thickBot="1" x14ac:dyDescent="0.25">
      <c r="A20" s="2217" t="s">
        <v>448</v>
      </c>
      <c r="B20" s="2218"/>
      <c r="C20" s="726"/>
      <c r="D20" s="585"/>
      <c r="E20" s="726"/>
      <c r="F20" s="1755">
        <f>SUM(C20+D20)-E20</f>
        <v>0</v>
      </c>
    </row>
    <row r="21" spans="1:11" ht="14.25" thickTop="1" thickBot="1" x14ac:dyDescent="0.25">
      <c r="A21" s="2194" t="s">
        <v>632</v>
      </c>
      <c r="B21" s="2195"/>
      <c r="C21" s="1755">
        <f>SUM(C17:C20)</f>
        <v>0</v>
      </c>
      <c r="D21" s="1755">
        <f>SUM(D17:D20)</f>
        <v>0</v>
      </c>
      <c r="E21" s="1755">
        <f>SUM(E17:E20)</f>
        <v>0</v>
      </c>
      <c r="F21" s="1755">
        <f>SUM(F17:F20)</f>
        <v>0</v>
      </c>
      <c r="G21" s="552"/>
    </row>
    <row r="22" spans="1:11" ht="15.75" customHeight="1" thickTop="1" x14ac:dyDescent="0.2">
      <c r="A22" s="2219" t="s">
        <v>1112</v>
      </c>
      <c r="B22" s="2193"/>
      <c r="C22" s="2201"/>
      <c r="D22" s="2202"/>
      <c r="E22" s="2202"/>
      <c r="F22" s="2203"/>
    </row>
    <row r="23" spans="1:11" ht="13.5" thickBot="1" x14ac:dyDescent="0.25">
      <c r="A23" s="2207" t="s">
        <v>633</v>
      </c>
      <c r="B23" s="2208"/>
      <c r="C23" s="581"/>
      <c r="D23" s="581"/>
      <c r="E23" s="581"/>
      <c r="F23" s="1755">
        <f>SUM(C23+D23)-E23</f>
        <v>0</v>
      </c>
      <c r="G23" s="552"/>
    </row>
    <row r="24" spans="1:11" ht="15.75" customHeight="1" thickTop="1" x14ac:dyDescent="0.2">
      <c r="A24" s="2219" t="s">
        <v>1113</v>
      </c>
      <c r="B24" s="2193"/>
      <c r="C24" s="2201"/>
      <c r="D24" s="2202"/>
      <c r="E24" s="2202"/>
      <c r="F24" s="2203"/>
    </row>
    <row r="25" spans="1:11" ht="13.5" thickBot="1" x14ac:dyDescent="0.25">
      <c r="A25" s="2207" t="s">
        <v>634</v>
      </c>
      <c r="B25" s="2208"/>
      <c r="C25" s="581"/>
      <c r="D25" s="581"/>
      <c r="E25" s="581"/>
      <c r="F25" s="1755">
        <f>SUM(C25+D25)-E25</f>
        <v>0</v>
      </c>
      <c r="G25" s="552"/>
    </row>
    <row r="26" spans="1:11" ht="15.75" customHeight="1" thickTop="1" x14ac:dyDescent="0.2">
      <c r="A26" s="2192" t="s">
        <v>657</v>
      </c>
      <c r="B26" s="2193"/>
      <c r="C26" s="727"/>
      <c r="D26" s="727"/>
      <c r="E26" s="727"/>
      <c r="F26" s="728"/>
    </row>
    <row r="27" spans="1:11" ht="13.5" thickBot="1" x14ac:dyDescent="0.25">
      <c r="A27" s="2194" t="s">
        <v>1070</v>
      </c>
      <c r="B27" s="2195"/>
      <c r="C27" s="585"/>
      <c r="D27" s="585"/>
      <c r="E27" s="585"/>
      <c r="F27" s="1755">
        <f>SUM(C27+D27)-E27</f>
        <v>0</v>
      </c>
      <c r="G27" s="552"/>
    </row>
    <row r="28" spans="1:11" ht="7.5" customHeight="1" thickTop="1" x14ac:dyDescent="0.2">
      <c r="A28" s="593"/>
    </row>
    <row r="29" spans="1:11" ht="23.25" customHeight="1" x14ac:dyDescent="0.2">
      <c r="A29" s="2220" t="s">
        <v>582</v>
      </c>
      <c r="B29" s="2197"/>
      <c r="C29" s="729"/>
      <c r="D29" s="729"/>
      <c r="E29" s="729"/>
      <c r="F29" s="729"/>
      <c r="G29" s="729"/>
      <c r="H29" s="729"/>
      <c r="I29" s="729"/>
      <c r="J29" s="729"/>
    </row>
    <row r="30" spans="1:11" ht="33.75" x14ac:dyDescent="0.2">
      <c r="A30" s="1529" t="s">
        <v>1071</v>
      </c>
      <c r="B30" s="730" t="s">
        <v>1124</v>
      </c>
      <c r="C30" s="1885" t="s">
        <v>583</v>
      </c>
      <c r="D30" s="1885" t="s">
        <v>1673</v>
      </c>
      <c r="E30" s="1885" t="s">
        <v>1955</v>
      </c>
      <c r="F30" s="1885" t="s">
        <v>1956</v>
      </c>
      <c r="G30" s="1885" t="s">
        <v>1907</v>
      </c>
      <c r="H30" s="1885" t="s">
        <v>1957</v>
      </c>
      <c r="I30" s="1885" t="s">
        <v>1958</v>
      </c>
      <c r="J30" s="1886" t="s">
        <v>2</v>
      </c>
      <c r="K30" s="731"/>
    </row>
    <row r="31" spans="1:11" ht="12" customHeight="1" x14ac:dyDescent="0.2">
      <c r="A31" s="732"/>
      <c r="B31" s="733"/>
      <c r="C31" s="734"/>
      <c r="D31" s="735"/>
      <c r="E31" s="734"/>
      <c r="F31" s="734"/>
      <c r="G31" s="734"/>
      <c r="H31" s="734"/>
      <c r="I31" s="1756">
        <f>((E31+F31)-H31)+G31</f>
        <v>0</v>
      </c>
      <c r="J31" s="734"/>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0</v>
      </c>
      <c r="D49" s="745"/>
      <c r="E49" s="1756">
        <f t="shared" ref="E49:J49" si="2">SUM(E31:E48)</f>
        <v>0</v>
      </c>
      <c r="F49" s="1756">
        <f t="shared" si="2"/>
        <v>0</v>
      </c>
      <c r="G49" s="1756">
        <f t="shared" si="2"/>
        <v>0</v>
      </c>
      <c r="H49" s="1756">
        <f t="shared" si="2"/>
        <v>0</v>
      </c>
      <c r="I49" s="1756">
        <f t="shared" si="2"/>
        <v>0</v>
      </c>
      <c r="J49" s="1756">
        <f t="shared" si="2"/>
        <v>0</v>
      </c>
      <c r="K49" s="737"/>
    </row>
    <row r="50" spans="1:11" ht="6" customHeight="1" x14ac:dyDescent="0.2">
      <c r="A50" s="746"/>
      <c r="B50" s="736"/>
      <c r="C50" s="736"/>
      <c r="D50" s="736"/>
      <c r="E50" s="736"/>
      <c r="F50" s="736"/>
      <c r="G50" s="736"/>
      <c r="H50" s="736"/>
      <c r="I50" s="736"/>
      <c r="J50" s="746"/>
    </row>
    <row r="51" spans="1:11" x14ac:dyDescent="0.2">
      <c r="A51" s="747" t="s">
        <v>1804</v>
      </c>
      <c r="B51" s="746"/>
      <c r="C51" s="737"/>
      <c r="D51" s="737"/>
      <c r="E51" s="737"/>
      <c r="F51" s="737"/>
      <c r="G51" s="737"/>
      <c r="H51" s="736"/>
      <c r="I51" s="736"/>
      <c r="J51" s="746"/>
    </row>
    <row r="52" spans="1:11" ht="11.25" customHeight="1" x14ac:dyDescent="0.2">
      <c r="A52" s="748" t="s">
        <v>912</v>
      </c>
      <c r="B52" s="2211" t="s">
        <v>584</v>
      </c>
      <c r="C52" s="2212"/>
      <c r="D52" s="2212"/>
      <c r="E52" s="749" t="s">
        <v>845</v>
      </c>
      <c r="F52" s="2213"/>
      <c r="G52" s="2214"/>
      <c r="H52" s="736"/>
      <c r="I52" s="736"/>
      <c r="J52" s="746"/>
    </row>
    <row r="53" spans="1:11" ht="11.25" customHeight="1" x14ac:dyDescent="0.2">
      <c r="A53" s="750" t="s">
        <v>913</v>
      </c>
      <c r="B53" s="751" t="s">
        <v>951</v>
      </c>
      <c r="C53" s="746"/>
      <c r="D53" s="737"/>
      <c r="E53" s="749" t="s">
        <v>497</v>
      </c>
      <c r="F53" s="2215"/>
      <c r="G53" s="2216"/>
      <c r="H53" s="736"/>
      <c r="I53" s="736"/>
      <c r="J53" s="746"/>
    </row>
    <row r="54" spans="1:11" ht="11.25" customHeight="1" x14ac:dyDescent="0.2">
      <c r="A54" s="752" t="s">
        <v>914</v>
      </c>
      <c r="B54" s="747" t="s">
        <v>952</v>
      </c>
      <c r="C54" s="746"/>
      <c r="D54" s="737"/>
      <c r="E54" s="749" t="s">
        <v>498</v>
      </c>
      <c r="F54" s="2215"/>
      <c r="G54" s="2216"/>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5" t="s">
        <v>856</v>
      </c>
      <c r="B1" s="2246"/>
      <c r="C1" s="2246"/>
      <c r="D1" s="2246"/>
      <c r="E1" s="2246"/>
      <c r="F1" s="2246"/>
      <c r="G1" s="2247"/>
      <c r="H1" s="1530"/>
      <c r="I1" s="760"/>
      <c r="J1" s="433"/>
    </row>
    <row r="2" spans="1:11" ht="26.25" x14ac:dyDescent="0.2">
      <c r="A2" s="2224" t="s">
        <v>1677</v>
      </c>
      <c r="B2" s="2225"/>
      <c r="C2" s="2225"/>
      <c r="D2" s="2225"/>
      <c r="E2" s="2226"/>
      <c r="F2" s="761" t="s">
        <v>904</v>
      </c>
      <c r="G2" s="762" t="s">
        <v>1674</v>
      </c>
      <c r="H2" s="762" t="s">
        <v>410</v>
      </c>
      <c r="I2" s="762" t="s">
        <v>1158</v>
      </c>
      <c r="J2" s="762" t="s">
        <v>1809</v>
      </c>
      <c r="K2" s="762" t="s">
        <v>138</v>
      </c>
    </row>
    <row r="3" spans="1:11" x14ac:dyDescent="0.2">
      <c r="A3" s="2227" t="s">
        <v>1959</v>
      </c>
      <c r="B3" s="2228"/>
      <c r="C3" s="2228"/>
      <c r="D3" s="2228"/>
      <c r="E3" s="2229"/>
      <c r="F3" s="763"/>
      <c r="G3" s="764"/>
      <c r="H3" s="764"/>
      <c r="I3" s="764"/>
      <c r="J3" s="765"/>
      <c r="K3" s="765"/>
    </row>
    <row r="4" spans="1:11" x14ac:dyDescent="0.2">
      <c r="A4" s="2230" t="s">
        <v>369</v>
      </c>
      <c r="B4" s="2231"/>
      <c r="C4" s="2231"/>
      <c r="D4" s="2231"/>
      <c r="E4" s="2212"/>
      <c r="F4" s="766"/>
      <c r="G4" s="767"/>
      <c r="H4" s="768"/>
      <c r="I4" s="767"/>
      <c r="J4" s="769"/>
      <c r="K4" s="769"/>
    </row>
    <row r="5" spans="1:11" x14ac:dyDescent="0.2">
      <c r="A5" s="2248" t="s">
        <v>1069</v>
      </c>
      <c r="B5" s="2221"/>
      <c r="C5" s="2221"/>
      <c r="D5" s="2221"/>
      <c r="E5" s="2249"/>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48" t="s">
        <v>1810</v>
      </c>
      <c r="B10" s="2221"/>
      <c r="C10" s="2221"/>
      <c r="D10" s="2221"/>
      <c r="E10" s="2250"/>
      <c r="F10" s="783" t="s">
        <v>862</v>
      </c>
      <c r="G10" s="782"/>
      <c r="H10" s="784"/>
      <c r="I10" s="764"/>
      <c r="J10" s="765"/>
      <c r="K10" s="765"/>
    </row>
    <row r="11" spans="1:11" x14ac:dyDescent="0.2">
      <c r="A11" s="2248" t="s">
        <v>160</v>
      </c>
      <c r="B11" s="2221"/>
      <c r="C11" s="2221"/>
      <c r="D11" s="2221"/>
      <c r="E11" s="2249"/>
      <c r="F11" s="770" t="s">
        <v>852</v>
      </c>
      <c r="G11" s="771"/>
      <c r="H11" s="764"/>
      <c r="I11" s="764"/>
      <c r="J11" s="765"/>
      <c r="K11" s="773"/>
    </row>
    <row r="12" spans="1:11" ht="13.5" thickBot="1" x14ac:dyDescent="0.25">
      <c r="A12" s="2238" t="s">
        <v>905</v>
      </c>
      <c r="B12" s="2239"/>
      <c r="C12" s="2239"/>
      <c r="D12" s="2239"/>
      <c r="E12" s="2240"/>
      <c r="F12" s="1757"/>
      <c r="G12" s="1758">
        <f>SUM(G5:G11)</f>
        <v>0</v>
      </c>
      <c r="H12" s="1758">
        <f>SUM(H5:H11)</f>
        <v>0</v>
      </c>
      <c r="I12" s="1758">
        <f>SUM(I5:I11)</f>
        <v>0</v>
      </c>
      <c r="J12" s="1758">
        <f>SUM(J5:J11)</f>
        <v>0</v>
      </c>
      <c r="K12" s="1758">
        <f>SUM(K5:K11)</f>
        <v>0</v>
      </c>
    </row>
    <row r="13" spans="1:11" ht="13.5" thickTop="1" x14ac:dyDescent="0.2">
      <c r="A13" s="2232" t="s">
        <v>370</v>
      </c>
      <c r="B13" s="2233"/>
      <c r="C13" s="2233"/>
      <c r="D13" s="2233"/>
      <c r="E13" s="2234"/>
      <c r="F13" s="785"/>
      <c r="G13" s="786"/>
      <c r="H13" s="787"/>
      <c r="I13" s="788"/>
      <c r="J13" s="788"/>
      <c r="K13" s="788"/>
    </row>
    <row r="14" spans="1:11" x14ac:dyDescent="0.2">
      <c r="A14" s="2254" t="s">
        <v>456</v>
      </c>
      <c r="B14" s="2254"/>
      <c r="C14" s="2254"/>
      <c r="D14" s="2254"/>
      <c r="E14" s="2255"/>
      <c r="F14" s="789" t="s">
        <v>854</v>
      </c>
      <c r="G14" s="782"/>
      <c r="H14" s="764"/>
      <c r="I14" s="771"/>
      <c r="J14" s="773"/>
      <c r="K14" s="765"/>
    </row>
    <row r="15" spans="1:11" x14ac:dyDescent="0.2">
      <c r="A15" s="2221" t="s">
        <v>4</v>
      </c>
      <c r="B15" s="2221"/>
      <c r="C15" s="2221"/>
      <c r="D15" s="2221"/>
      <c r="E15" s="2249"/>
      <c r="F15" s="789" t="s">
        <v>855</v>
      </c>
      <c r="G15" s="771"/>
      <c r="H15" s="764"/>
      <c r="I15" s="764"/>
      <c r="J15" s="765"/>
      <c r="K15" s="765"/>
    </row>
    <row r="16" spans="1:11" x14ac:dyDescent="0.2">
      <c r="A16" s="2221" t="s">
        <v>298</v>
      </c>
      <c r="B16" s="2221"/>
      <c r="C16" s="2221"/>
      <c r="D16" s="2221"/>
      <c r="E16" s="2249"/>
      <c r="F16" s="789" t="s">
        <v>923</v>
      </c>
      <c r="G16" s="772"/>
      <c r="H16" s="767"/>
      <c r="I16" s="767"/>
      <c r="J16" s="769"/>
      <c r="K16" s="769"/>
    </row>
    <row r="17" spans="1:11" x14ac:dyDescent="0.2">
      <c r="A17" s="2243" t="s">
        <v>935</v>
      </c>
      <c r="B17" s="2243"/>
      <c r="C17" s="2243"/>
      <c r="D17" s="2243"/>
      <c r="E17" s="2244"/>
      <c r="F17" s="790"/>
      <c r="G17" s="791"/>
      <c r="H17" s="792"/>
      <c r="I17" s="792"/>
      <c r="J17" s="793"/>
      <c r="K17" s="794"/>
    </row>
    <row r="18" spans="1:11" x14ac:dyDescent="0.2">
      <c r="A18" s="2235" t="s">
        <v>368</v>
      </c>
      <c r="B18" s="2236"/>
      <c r="C18" s="2236"/>
      <c r="D18" s="2236"/>
      <c r="E18" s="2237"/>
      <c r="F18" s="789" t="s">
        <v>932</v>
      </c>
      <c r="G18" s="782"/>
      <c r="H18" s="782"/>
      <c r="I18" s="782"/>
      <c r="J18" s="765"/>
      <c r="K18" s="795"/>
    </row>
    <row r="19" spans="1:11" ht="21.75" customHeight="1" x14ac:dyDescent="0.2">
      <c r="A19" s="2256" t="s">
        <v>1806</v>
      </c>
      <c r="B19" s="2256"/>
      <c r="C19" s="2256"/>
      <c r="D19" s="2256"/>
      <c r="E19" s="2257"/>
      <c r="F19" s="789" t="s">
        <v>933</v>
      </c>
      <c r="G19" s="782"/>
      <c r="H19" s="782"/>
      <c r="I19" s="782"/>
      <c r="J19" s="765"/>
      <c r="K19" s="795"/>
    </row>
    <row r="20" spans="1:11" x14ac:dyDescent="0.2">
      <c r="A20" s="2235" t="s">
        <v>1811</v>
      </c>
      <c r="B20" s="2236"/>
      <c r="C20" s="2236"/>
      <c r="D20" s="2236"/>
      <c r="E20" s="2237"/>
      <c r="F20" s="789" t="s">
        <v>934</v>
      </c>
      <c r="G20" s="782"/>
      <c r="H20" s="782"/>
      <c r="I20" s="782"/>
      <c r="J20" s="765"/>
      <c r="K20" s="795"/>
    </row>
    <row r="21" spans="1:11" ht="13.5" thickBot="1" x14ac:dyDescent="0.25">
      <c r="A21" s="2241" t="s">
        <v>638</v>
      </c>
      <c r="B21" s="2241"/>
      <c r="C21" s="2241"/>
      <c r="D21" s="2241"/>
      <c r="E21" s="2241"/>
      <c r="F21" s="1759"/>
      <c r="G21" s="792"/>
      <c r="H21" s="796"/>
      <c r="I21" s="796"/>
      <c r="J21" s="1760">
        <f>SUM(J18:J20)</f>
        <v>0</v>
      </c>
      <c r="K21" s="793"/>
    </row>
    <row r="22" spans="1:11" ht="13.5" thickTop="1" x14ac:dyDescent="0.2">
      <c r="A22" s="2221" t="s">
        <v>1812</v>
      </c>
      <c r="B22" s="2221"/>
      <c r="C22" s="2221"/>
      <c r="D22" s="2221"/>
      <c r="E22" s="2249"/>
      <c r="F22" s="789" t="s">
        <v>862</v>
      </c>
      <c r="G22" s="782"/>
      <c r="H22" s="764"/>
      <c r="I22" s="764"/>
      <c r="J22" s="797"/>
      <c r="K22" s="765"/>
    </row>
    <row r="23" spans="1:11" ht="13.5" thickBot="1" x14ac:dyDescent="0.25">
      <c r="A23" s="2242" t="s">
        <v>906</v>
      </c>
      <c r="B23" s="2241"/>
      <c r="C23" s="2241"/>
      <c r="D23" s="2241"/>
      <c r="E23" s="2241"/>
      <c r="F23" s="1761"/>
      <c r="G23" s="1758">
        <f>SUM(G14:G16,G21,G22)</f>
        <v>0</v>
      </c>
      <c r="H23" s="1758">
        <f>SUM(H14:H16,H21,H22)</f>
        <v>0</v>
      </c>
      <c r="I23" s="1758">
        <f>SUM(I14:I16,I21,I22)</f>
        <v>0</v>
      </c>
      <c r="J23" s="1758">
        <f>SUM(J14:J16,J21,J22)</f>
        <v>0</v>
      </c>
      <c r="K23" s="1758">
        <f>SUM(K14:K16,K21,K22)</f>
        <v>0</v>
      </c>
    </row>
    <row r="24" spans="1:11" ht="14.25" thickTop="1" thickBot="1" x14ac:dyDescent="0.25">
      <c r="A24" s="2242" t="s">
        <v>1960</v>
      </c>
      <c r="B24" s="2241"/>
      <c r="C24" s="2241"/>
      <c r="D24" s="2241"/>
      <c r="E24" s="224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1906</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51"/>
      <c r="I31" s="2252"/>
      <c r="J31" s="2252"/>
      <c r="K31" s="2252"/>
    </row>
    <row r="32" spans="1:11" x14ac:dyDescent="0.2">
      <c r="A32" s="809"/>
      <c r="B32" s="237"/>
      <c r="C32" s="237"/>
      <c r="D32" s="237"/>
      <c r="E32" s="805"/>
      <c r="F32" s="811" t="s">
        <v>540</v>
      </c>
      <c r="G32" s="764"/>
      <c r="H32" s="2253"/>
      <c r="I32" s="2252"/>
      <c r="J32" s="2252"/>
      <c r="K32" s="2252"/>
    </row>
    <row r="33" spans="1:11" ht="1.5" customHeight="1" x14ac:dyDescent="0.2">
      <c r="A33" s="812" t="s">
        <v>1169</v>
      </c>
      <c r="B33" s="364"/>
      <c r="C33" s="364"/>
      <c r="D33" s="364"/>
      <c r="E33" s="364"/>
      <c r="F33" s="364"/>
      <c r="G33" s="813"/>
      <c r="H33" s="2253"/>
      <c r="I33" s="2252"/>
      <c r="J33" s="2252"/>
      <c r="K33" s="2252"/>
    </row>
    <row r="34" spans="1:11" x14ac:dyDescent="0.2">
      <c r="A34" s="814" t="s">
        <v>1813</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22"/>
      <c r="C41" s="2222"/>
      <c r="D41" s="2222"/>
      <c r="E41" s="2222"/>
      <c r="F41" s="2223"/>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1807</v>
      </c>
      <c r="B46" s="408" t="s">
        <v>1675</v>
      </c>
    </row>
    <row r="47" spans="1:11" s="823" customFormat="1" ht="12.75" customHeight="1" x14ac:dyDescent="0.2">
      <c r="A47" s="821"/>
      <c r="B47" s="822" t="s">
        <v>1676</v>
      </c>
      <c r="E47" s="822"/>
      <c r="K47" s="824"/>
    </row>
    <row r="48" spans="1:11" ht="12.75" customHeight="1" x14ac:dyDescent="0.2">
      <c r="A48" s="1532"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Normal="100" workbookViewId="0">
      <selection activeCell="I13" sqref="I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0" t="s">
        <v>1905</v>
      </c>
      <c r="B1" s="2261"/>
      <c r="C1" s="2262"/>
      <c r="D1" s="826"/>
      <c r="E1" s="827"/>
      <c r="F1" s="827"/>
      <c r="G1" s="828"/>
      <c r="H1" s="829"/>
      <c r="I1" s="830"/>
      <c r="J1" s="2258"/>
      <c r="K1" s="2259"/>
      <c r="L1" s="2259"/>
    </row>
    <row r="2" spans="1:14" ht="69.75" customHeight="1" x14ac:dyDescent="0.2">
      <c r="A2" s="831" t="s">
        <v>1678</v>
      </c>
      <c r="B2" s="832" t="s">
        <v>378</v>
      </c>
      <c r="C2" s="833" t="s">
        <v>1961</v>
      </c>
      <c r="D2" s="833" t="s">
        <v>1962</v>
      </c>
      <c r="E2" s="833" t="s">
        <v>1963</v>
      </c>
      <c r="F2" s="833" t="s">
        <v>1964</v>
      </c>
      <c r="G2" s="833" t="s">
        <v>605</v>
      </c>
      <c r="H2" s="833" t="s">
        <v>1965</v>
      </c>
      <c r="I2" s="833" t="s">
        <v>1966</v>
      </c>
      <c r="J2" s="833" t="s">
        <v>1967</v>
      </c>
      <c r="K2" s="833" t="s">
        <v>1968</v>
      </c>
      <c r="L2" s="833" t="s">
        <v>1969</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35000</v>
      </c>
      <c r="D5" s="841"/>
      <c r="E5" s="841"/>
      <c r="F5" s="1760">
        <f>(C5+D5)-E5</f>
        <v>35000</v>
      </c>
      <c r="G5" s="837"/>
      <c r="H5" s="842"/>
      <c r="I5" s="842"/>
      <c r="J5" s="842"/>
      <c r="K5" s="793"/>
      <c r="L5" s="1769">
        <f>F5-K5</f>
        <v>35000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2311384</v>
      </c>
      <c r="D8" s="844"/>
      <c r="E8" s="844"/>
      <c r="F8" s="1760">
        <f>(C8+D8)-E8</f>
        <v>2311384</v>
      </c>
      <c r="G8" s="843">
        <v>50</v>
      </c>
      <c r="H8" s="765">
        <v>519536</v>
      </c>
      <c r="I8" s="765">
        <v>51867</v>
      </c>
      <c r="J8" s="765"/>
      <c r="K8" s="1769">
        <f>(H8+I8)-J8</f>
        <v>571403</v>
      </c>
      <c r="L8" s="1769">
        <f>F8-K8</f>
        <v>1739981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301645</v>
      </c>
      <c r="D12" s="844">
        <v>15949</v>
      </c>
      <c r="E12" s="844"/>
      <c r="F12" s="1760">
        <f>(C12+D12)-E12</f>
        <v>317594</v>
      </c>
      <c r="G12" s="843">
        <v>10</v>
      </c>
      <c r="H12" s="765">
        <v>227411</v>
      </c>
      <c r="I12" s="765">
        <v>30654</v>
      </c>
      <c r="J12" s="765"/>
      <c r="K12" s="1769">
        <f>(H12+I12)-J12</f>
        <v>258065</v>
      </c>
      <c r="L12" s="1769">
        <f>F12-K12</f>
        <v>59529</v>
      </c>
    </row>
    <row r="13" spans="1:14" ht="14.25" thickTop="1" thickBot="1" x14ac:dyDescent="0.25">
      <c r="A13" s="848" t="s">
        <v>1122</v>
      </c>
      <c r="B13" s="840">
        <v>252</v>
      </c>
      <c r="C13" s="844"/>
      <c r="D13" s="844"/>
      <c r="E13" s="844"/>
      <c r="F13" s="1760">
        <f>(C13+D13)-E13</f>
        <v>0</v>
      </c>
      <c r="G13" s="843">
        <v>5</v>
      </c>
      <c r="H13" s="765"/>
      <c r="I13" s="765"/>
      <c r="J13" s="765"/>
      <c r="K13" s="1769">
        <f>(H13+I13)-J13</f>
        <v>0</v>
      </c>
      <c r="L13" s="1769">
        <f>F13-K13</f>
        <v>0</v>
      </c>
    </row>
    <row r="14" spans="1:14" ht="14.25" thickTop="1" thickBot="1" x14ac:dyDescent="0.25">
      <c r="A14" s="848" t="s">
        <v>1123</v>
      </c>
      <c r="B14" s="840">
        <v>253</v>
      </c>
      <c r="C14" s="765">
        <v>114442</v>
      </c>
      <c r="D14" s="765"/>
      <c r="E14" s="765">
        <v>7725</v>
      </c>
      <c r="F14" s="1760">
        <f>(C14+D14)-E14</f>
        <v>106717</v>
      </c>
      <c r="G14" s="843">
        <v>3</v>
      </c>
      <c r="H14" s="765">
        <v>114263</v>
      </c>
      <c r="I14" s="765">
        <v>179</v>
      </c>
      <c r="J14" s="765">
        <v>7725</v>
      </c>
      <c r="K14" s="1769">
        <f>(H14+I14)-J14</f>
        <v>106717</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2762471</v>
      </c>
      <c r="D16" s="1760">
        <f>SUM(D3,D5:D6,D8:D10,D12:D15)</f>
        <v>15949</v>
      </c>
      <c r="E16" s="1760">
        <f>SUM(E3,E5:E6,E8:E10,E12:E15)</f>
        <v>7725</v>
      </c>
      <c r="F16" s="1760">
        <f>SUM(F3,F5:F6,F8:F10,F12:F15)</f>
        <v>2770695</v>
      </c>
      <c r="G16" s="843"/>
      <c r="H16" s="1760">
        <f>SUM(H3,H6,H8:H10,H12:H14,)</f>
        <v>861210</v>
      </c>
      <c r="I16" s="1760">
        <f>SUM(I3,I6,I8:I10,I12:I14,)</f>
        <v>82700</v>
      </c>
      <c r="J16" s="1760">
        <f>SUM(J3,J6,J8:J10,J12:J14,)</f>
        <v>7725</v>
      </c>
      <c r="K16" s="1760">
        <f>(H16+I16)-J16</f>
        <v>936185</v>
      </c>
      <c r="L16" s="1760">
        <f>F16-K16</f>
        <v>1834510</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82700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0"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6" t="s">
        <v>1970</v>
      </c>
      <c r="B1" s="2267"/>
      <c r="C1" s="2267"/>
      <c r="D1" s="2267"/>
      <c r="E1" s="2267"/>
      <c r="F1" s="2268"/>
      <c r="G1" s="855"/>
    </row>
    <row r="2" spans="1:7" ht="15" customHeight="1" thickBot="1" x14ac:dyDescent="0.25">
      <c r="A2" s="2269" t="s">
        <v>477</v>
      </c>
      <c r="B2" s="2270"/>
      <c r="C2" s="2270"/>
      <c r="D2" s="2270"/>
      <c r="E2" s="2270"/>
      <c r="F2" s="2271"/>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2"/>
      <c r="B5" s="2273"/>
      <c r="C5" s="2273"/>
      <c r="D5" s="2273"/>
      <c r="E5" s="2273"/>
      <c r="F5" s="2273"/>
    </row>
    <row r="6" spans="1:7" ht="13.5" customHeight="1" thickBot="1" x14ac:dyDescent="0.25">
      <c r="A6" s="2263" t="s">
        <v>1104</v>
      </c>
      <c r="B6" s="2264"/>
      <c r="C6" s="2264"/>
      <c r="D6" s="2264"/>
      <c r="E6" s="2264"/>
      <c r="F6" s="2265"/>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9587325</v>
      </c>
      <c r="G8" s="865"/>
    </row>
    <row r="9" spans="1:7" x14ac:dyDescent="0.2">
      <c r="A9" s="869" t="s">
        <v>460</v>
      </c>
      <c r="B9" s="870" t="s">
        <v>1873</v>
      </c>
      <c r="C9" s="871"/>
      <c r="D9" s="869" t="s">
        <v>501</v>
      </c>
      <c r="E9" s="868"/>
      <c r="F9" s="1909">
        <f>'Expenditures 15-22'!K151</f>
        <v>0</v>
      </c>
      <c r="G9" s="872"/>
    </row>
    <row r="10" spans="1:7" x14ac:dyDescent="0.2">
      <c r="A10" s="869" t="s">
        <v>499</v>
      </c>
      <c r="B10" s="870" t="s">
        <v>1874</v>
      </c>
      <c r="C10" s="871"/>
      <c r="D10" s="869" t="s">
        <v>501</v>
      </c>
      <c r="E10" s="868"/>
      <c r="F10" s="1909">
        <f>'Expenditures 15-22'!K174</f>
        <v>0</v>
      </c>
      <c r="G10" s="872"/>
    </row>
    <row r="11" spans="1:7" x14ac:dyDescent="0.2">
      <c r="A11" s="869" t="s">
        <v>461</v>
      </c>
      <c r="B11" s="870" t="s">
        <v>1875</v>
      </c>
      <c r="C11" s="871"/>
      <c r="D11" s="869" t="s">
        <v>501</v>
      </c>
      <c r="E11" s="868"/>
      <c r="F11" s="1909">
        <f>'Expenditures 15-22'!K210</f>
        <v>0</v>
      </c>
      <c r="G11" s="872"/>
    </row>
    <row r="12" spans="1:7" x14ac:dyDescent="0.2">
      <c r="A12" s="869" t="s">
        <v>462</v>
      </c>
      <c r="B12" s="870" t="s">
        <v>1876</v>
      </c>
      <c r="C12" s="871"/>
      <c r="D12" s="869" t="s">
        <v>501</v>
      </c>
      <c r="E12" s="868"/>
      <c r="F12" s="1909">
        <f>'Expenditures 15-22'!K295</f>
        <v>0</v>
      </c>
      <c r="G12" s="872"/>
    </row>
    <row r="13" spans="1:7" x14ac:dyDescent="0.2">
      <c r="A13" s="869" t="s">
        <v>106</v>
      </c>
      <c r="B13" s="870" t="s">
        <v>1877</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9587325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1994</v>
      </c>
      <c r="C30" s="880">
        <f>'Revenues 9-14'!B150</f>
        <v>3499</v>
      </c>
      <c r="D30" s="881" t="str">
        <f>'Revenues 9-14'!A150</f>
        <v>Adult Ed - Other (Describe &amp; Itemize)</v>
      </c>
      <c r="E30" s="868"/>
      <c r="F30" s="1914">
        <f>('Revenues 9-14'!D150+'Revenues 9-14'!F150)</f>
        <v>0</v>
      </c>
      <c r="G30" s="865"/>
    </row>
    <row r="31" spans="1:7" x14ac:dyDescent="0.2">
      <c r="A31" s="869" t="s">
        <v>1097</v>
      </c>
      <c r="B31" s="870" t="s">
        <v>1995</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1996</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1997</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4377576</v>
      </c>
      <c r="G53" s="865"/>
    </row>
    <row r="54" spans="1:7" x14ac:dyDescent="0.2">
      <c r="A54" s="869" t="s">
        <v>459</v>
      </c>
      <c r="B54" s="869" t="s">
        <v>1476</v>
      </c>
      <c r="C54" s="889" t="s">
        <v>982</v>
      </c>
      <c r="D54" s="885" t="s">
        <v>1095</v>
      </c>
      <c r="E54" s="868"/>
      <c r="F54" s="1913">
        <f>'Expenditures 15-22'!G114</f>
        <v>38934</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1878</v>
      </c>
      <c r="C57" s="889">
        <f>'Expenditures 15-22'!B139</f>
        <v>4000</v>
      </c>
      <c r="D57" s="887" t="str">
        <f>'Expenditures 15-22'!A139</f>
        <v>Total Payments to Other Govt Units</v>
      </c>
      <c r="E57" s="868"/>
      <c r="F57" s="1913">
        <f>'Expenditures 15-22'!K139</f>
        <v>0</v>
      </c>
      <c r="G57" s="865"/>
    </row>
    <row r="58" spans="1:7" x14ac:dyDescent="0.2">
      <c r="A58" s="869" t="s">
        <v>460</v>
      </c>
      <c r="B58" s="869" t="s">
        <v>1879</v>
      </c>
      <c r="C58" s="886" t="s">
        <v>982</v>
      </c>
      <c r="D58" s="885" t="s">
        <v>1095</v>
      </c>
      <c r="E58" s="868"/>
      <c r="F58" s="1915">
        <f>'Expenditures 15-22'!G151</f>
        <v>0</v>
      </c>
      <c r="G58" s="865"/>
    </row>
    <row r="59" spans="1:7" x14ac:dyDescent="0.2">
      <c r="A59" s="893" t="s">
        <v>460</v>
      </c>
      <c r="B59" s="856" t="s">
        <v>1880</v>
      </c>
      <c r="C59" s="894" t="s">
        <v>982</v>
      </c>
      <c r="D59" s="856" t="s">
        <v>291</v>
      </c>
      <c r="F59" s="1916">
        <f>'Expenditures 15-22'!I151</f>
        <v>0</v>
      </c>
      <c r="G59" s="865"/>
    </row>
    <row r="60" spans="1:7" x14ac:dyDescent="0.2">
      <c r="A60" s="893" t="s">
        <v>499</v>
      </c>
      <c r="B60" s="856" t="s">
        <v>1881</v>
      </c>
      <c r="C60" s="894">
        <v>4000</v>
      </c>
      <c r="D60" s="856" t="s">
        <v>312</v>
      </c>
      <c r="F60" s="1914">
        <f>'Expenditures 15-22'!K160</f>
        <v>0</v>
      </c>
      <c r="G60" s="865"/>
    </row>
    <row r="61" spans="1:7" x14ac:dyDescent="0.2">
      <c r="A61" s="895" t="s">
        <v>499</v>
      </c>
      <c r="B61" s="895" t="s">
        <v>1882</v>
      </c>
      <c r="C61" s="896" t="str">
        <f>'Expenditures 15-22'!B170</f>
        <v>5300</v>
      </c>
      <c r="D61" s="897" t="s">
        <v>311</v>
      </c>
      <c r="E61" s="879"/>
      <c r="F61" s="1913">
        <f>'Expenditures 15-22'!K170</f>
        <v>0</v>
      </c>
      <c r="G61" s="865"/>
    </row>
    <row r="62" spans="1:7" x14ac:dyDescent="0.2">
      <c r="A62" s="869" t="s">
        <v>461</v>
      </c>
      <c r="B62" s="869" t="s">
        <v>1883</v>
      </c>
      <c r="C62" s="886">
        <f>'Expenditures 15-22'!B185</f>
        <v>3000</v>
      </c>
      <c r="D62" s="876" t="s">
        <v>449</v>
      </c>
      <c r="E62" s="868"/>
      <c r="F62" s="1913">
        <f>'Expenditures 15-22'!K185-SUM('Expenditures 15-22'!G185,'Expenditures 15-22'!I185)</f>
        <v>0</v>
      </c>
      <c r="G62" s="865"/>
    </row>
    <row r="63" spans="1:7" x14ac:dyDescent="0.2">
      <c r="A63" s="869" t="s">
        <v>461</v>
      </c>
      <c r="B63" s="869" t="s">
        <v>1884</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1885</v>
      </c>
      <c r="C64" s="896" t="str">
        <f>'Expenditures 15-22'!B206</f>
        <v>5300</v>
      </c>
      <c r="D64" s="892" t="s">
        <v>311</v>
      </c>
      <c r="E64" s="868"/>
      <c r="F64" s="1913">
        <f>'Expenditures 15-22'!K206</f>
        <v>0</v>
      </c>
      <c r="G64" s="865"/>
    </row>
    <row r="65" spans="1:8" x14ac:dyDescent="0.2">
      <c r="A65" s="869" t="s">
        <v>461</v>
      </c>
      <c r="B65" s="869" t="s">
        <v>1886</v>
      </c>
      <c r="C65" s="886" t="s">
        <v>982</v>
      </c>
      <c r="D65" s="885" t="s">
        <v>1095</v>
      </c>
      <c r="E65" s="868"/>
      <c r="F65" s="1913">
        <f>'Expenditures 15-22'!G210</f>
        <v>0</v>
      </c>
      <c r="G65" s="865"/>
    </row>
    <row r="66" spans="1:8" x14ac:dyDescent="0.2">
      <c r="A66" s="869" t="s">
        <v>461</v>
      </c>
      <c r="B66" s="869" t="s">
        <v>1887</v>
      </c>
      <c r="C66" s="886" t="s">
        <v>982</v>
      </c>
      <c r="D66" s="885" t="s">
        <v>291</v>
      </c>
      <c r="E66" s="868"/>
      <c r="F66" s="1913">
        <f>'Expenditures 15-22'!I210</f>
        <v>0</v>
      </c>
      <c r="G66" s="865"/>
    </row>
    <row r="67" spans="1:8" x14ac:dyDescent="0.2">
      <c r="A67" s="869" t="s">
        <v>462</v>
      </c>
      <c r="B67" s="869" t="s">
        <v>1888</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1889</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1890</v>
      </c>
      <c r="C70" s="886">
        <f>'Expenditures 15-22'!B221</f>
        <v>1300</v>
      </c>
      <c r="D70" s="887" t="str">
        <f>'Expenditures 15-22'!A221</f>
        <v>Adult/Continuing Education Programs</v>
      </c>
      <c r="E70" s="868"/>
      <c r="F70" s="1913">
        <f>'Expenditures 15-22'!K221</f>
        <v>0</v>
      </c>
      <c r="G70" s="865"/>
    </row>
    <row r="71" spans="1:8" x14ac:dyDescent="0.2">
      <c r="A71" s="869" t="s">
        <v>462</v>
      </c>
      <c r="B71" s="869" t="s">
        <v>1891</v>
      </c>
      <c r="C71" s="886">
        <f>'Expenditures 15-22'!B224</f>
        <v>1600</v>
      </c>
      <c r="D71" s="887" t="str">
        <f>'Expenditures 15-22'!A224</f>
        <v>Summer School Programs</v>
      </c>
      <c r="E71" s="868"/>
      <c r="F71" s="1913">
        <f>'Expenditures 15-22'!K224</f>
        <v>0</v>
      </c>
      <c r="G71" s="865"/>
    </row>
    <row r="72" spans="1:8" x14ac:dyDescent="0.2">
      <c r="A72" s="869" t="s">
        <v>462</v>
      </c>
      <c r="B72" s="869" t="s">
        <v>1892</v>
      </c>
      <c r="C72" s="886">
        <f>'Expenditures 15-22'!B280</f>
        <v>3000</v>
      </c>
      <c r="D72" s="876" t="s">
        <v>449</v>
      </c>
      <c r="E72" s="868"/>
      <c r="F72" s="1913">
        <f>'Expenditures 15-22'!K280</f>
        <v>0</v>
      </c>
      <c r="G72" s="865"/>
    </row>
    <row r="73" spans="1:8" x14ac:dyDescent="0.2">
      <c r="A73" s="869" t="s">
        <v>462</v>
      </c>
      <c r="B73" s="869" t="s">
        <v>1893</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1894</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1895</v>
      </c>
      <c r="E76" s="1774" t="s">
        <v>958</v>
      </c>
      <c r="F76" s="1778">
        <f>SUM(F18:F74)</f>
        <v>4416510</v>
      </c>
      <c r="G76" s="865"/>
    </row>
    <row r="77" spans="1:8" s="893" customFormat="1" ht="12" customHeight="1" thickTop="1" thickBot="1" x14ac:dyDescent="0.25">
      <c r="A77" s="1779"/>
      <c r="B77" s="1776"/>
      <c r="C77" s="1772"/>
      <c r="D77" s="1777" t="s">
        <v>1896</v>
      </c>
      <c r="E77" s="1774"/>
      <c r="F77" s="1780">
        <f>(F14-F76)</f>
        <v>5170815</v>
      </c>
      <c r="G77" s="869"/>
    </row>
    <row r="78" spans="1:8" s="893" customFormat="1" ht="12" customHeight="1" thickTop="1" x14ac:dyDescent="0.2">
      <c r="A78" s="1781"/>
      <c r="B78" s="1776"/>
      <c r="C78" s="1772"/>
      <c r="D78" s="1777" t="s">
        <v>2057</v>
      </c>
      <c r="E78" s="1774"/>
      <c r="F78" s="898">
        <v>0</v>
      </c>
      <c r="G78" s="899"/>
      <c r="H78" s="869"/>
    </row>
    <row r="79" spans="1:8" s="893" customFormat="1" ht="12" customHeight="1" thickBot="1" x14ac:dyDescent="0.25">
      <c r="A79" s="1782"/>
      <c r="B79" s="1776"/>
      <c r="C79" s="1772"/>
      <c r="D79" s="1777" t="s">
        <v>1897</v>
      </c>
      <c r="E79" s="1774" t="s">
        <v>958</v>
      </c>
      <c r="F79" s="1783"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63" t="s">
        <v>1105</v>
      </c>
      <c r="B81" s="2264"/>
      <c r="C81" s="2264"/>
      <c r="D81" s="2264"/>
      <c r="E81" s="2264"/>
      <c r="F81" s="2265"/>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0</v>
      </c>
      <c r="G94" s="912"/>
    </row>
    <row r="95" spans="1:7" x14ac:dyDescent="0.2">
      <c r="A95" s="908" t="s">
        <v>140</v>
      </c>
      <c r="B95" s="908" t="s">
        <v>175</v>
      </c>
      <c r="C95" s="910">
        <v>1700</v>
      </c>
      <c r="D95" s="918" t="str">
        <f>'Revenues 9-14'!A82</f>
        <v>Total District/School Activity Income</v>
      </c>
      <c r="E95" s="906"/>
      <c r="F95" s="1789">
        <f>SUM('Revenues 9-14'!C82,'Revenues 9-14'!D82)</f>
        <v>0</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33180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1389984</v>
      </c>
      <c r="G104" s="912"/>
    </row>
    <row r="105" spans="1:7" x14ac:dyDescent="0.2">
      <c r="A105" s="908" t="s">
        <v>503</v>
      </c>
      <c r="B105" s="908" t="s">
        <v>1998</v>
      </c>
      <c r="C105" s="913">
        <v>3100</v>
      </c>
      <c r="D105" s="919" t="str">
        <f>'Revenues 9-14'!A132</f>
        <v>Total Special Education</v>
      </c>
      <c r="E105" s="906"/>
      <c r="F105" s="1789">
        <f>SUM('Revenues 9-14'!C132:D132,'Revenues 9-14'!F132)</f>
        <v>19185</v>
      </c>
      <c r="G105" s="912"/>
    </row>
    <row r="106" spans="1:7" x14ac:dyDescent="0.2">
      <c r="A106" s="908" t="s">
        <v>673</v>
      </c>
      <c r="B106" s="908" t="s">
        <v>1999</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2000</v>
      </c>
      <c r="C107" s="920">
        <v>3300</v>
      </c>
      <c r="D107" s="911" t="str">
        <f>'Revenues 9-14'!A145</f>
        <v>Total Bilingual Ed</v>
      </c>
      <c r="E107" s="906"/>
      <c r="F107" s="1789">
        <f>SUM('Revenues 9-14'!C145,'Revenues 9-14'!G145)</f>
        <v>0</v>
      </c>
      <c r="G107" s="912"/>
    </row>
    <row r="108" spans="1:7" x14ac:dyDescent="0.2">
      <c r="A108" s="908" t="s">
        <v>459</v>
      </c>
      <c r="B108" s="908" t="s">
        <v>2001</v>
      </c>
      <c r="C108" s="920">
        <f>'Revenues 9-14'!B146</f>
        <v>3360</v>
      </c>
      <c r="D108" s="911" t="str">
        <f>'Revenues 9-14'!A146</f>
        <v>State Free Lunch &amp; Breakfast</v>
      </c>
      <c r="E108" s="906"/>
      <c r="F108" s="1789">
        <f>'Revenues 9-14'!C146</f>
        <v>781</v>
      </c>
      <c r="G108" s="912"/>
    </row>
    <row r="109" spans="1:7" x14ac:dyDescent="0.2">
      <c r="A109" s="908" t="s">
        <v>673</v>
      </c>
      <c r="B109" s="908" t="s">
        <v>2002</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2003</v>
      </c>
      <c r="C110" s="920">
        <f>'Revenues 9-14'!B148</f>
        <v>3370</v>
      </c>
      <c r="D110" s="911" t="str">
        <f>'Revenues 9-14'!A148</f>
        <v>Driver Education</v>
      </c>
      <c r="E110" s="906"/>
      <c r="F110" s="1789">
        <f>SUM('Revenues 9-14'!C148,'Revenues 9-14'!D148)</f>
        <v>0</v>
      </c>
      <c r="G110" s="912"/>
    </row>
    <row r="111" spans="1:7" x14ac:dyDescent="0.2">
      <c r="A111" s="908" t="s">
        <v>668</v>
      </c>
      <c r="B111" s="908" t="s">
        <v>2004</v>
      </c>
      <c r="C111" s="922">
        <v>3500</v>
      </c>
      <c r="D111" s="911" t="str">
        <f>'Revenues 9-14'!A155</f>
        <v>Total Transportation</v>
      </c>
      <c r="E111" s="906"/>
      <c r="F111" s="1789">
        <f>SUM('Revenues 9-14'!C155,'Revenues 9-14'!D155,'Revenues 9-14'!F155,'Revenues 9-14'!G155)</f>
        <v>0</v>
      </c>
      <c r="G111" s="912"/>
    </row>
    <row r="112" spans="1:7" x14ac:dyDescent="0.2">
      <c r="A112" s="908" t="s">
        <v>459</v>
      </c>
      <c r="B112" s="908" t="s">
        <v>2005</v>
      </c>
      <c r="C112" s="920">
        <f>'Revenues 9-14'!B156</f>
        <v>3610</v>
      </c>
      <c r="D112" s="911" t="str">
        <f>'Revenues 9-14'!A156</f>
        <v>Learning Improvement - Change Grants</v>
      </c>
      <c r="E112" s="906"/>
      <c r="F112" s="1789">
        <f>'Revenues 9-14'!C156</f>
        <v>0</v>
      </c>
      <c r="G112" s="912"/>
    </row>
    <row r="113" spans="1:7" x14ac:dyDescent="0.2">
      <c r="A113" s="908" t="s">
        <v>668</v>
      </c>
      <c r="B113" s="908" t="s">
        <v>2006</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2007</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2008</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2009</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2010</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2011</v>
      </c>
      <c r="C118" s="924">
        <f>'Revenues 9-14'!B163</f>
        <v>3780</v>
      </c>
      <c r="D118" s="925" t="str">
        <f>'Revenues 9-14'!A163</f>
        <v>Technology - Technology for Success</v>
      </c>
      <c r="E118" s="906"/>
      <c r="F118" s="1907">
        <f>SUM('Revenues 9-14'!C163:G163)</f>
        <v>0</v>
      </c>
      <c r="G118" s="912"/>
    </row>
    <row r="119" spans="1:7" x14ac:dyDescent="0.2">
      <c r="A119" s="923" t="s">
        <v>504</v>
      </c>
      <c r="B119" s="923" t="s">
        <v>2012</v>
      </c>
      <c r="C119" s="924">
        <f>'Revenues 9-14'!B164</f>
        <v>3815</v>
      </c>
      <c r="D119" s="925" t="str">
        <f>'Revenues 9-14'!A164</f>
        <v>State Charter Schools</v>
      </c>
      <c r="E119" s="906"/>
      <c r="F119" s="1907">
        <f>SUM('Revenues 9-14'!C164,'Revenues 9-14'!F164)</f>
        <v>0</v>
      </c>
      <c r="G119" s="912"/>
    </row>
    <row r="120" spans="1:7" x14ac:dyDescent="0.2">
      <c r="A120" s="927" t="s">
        <v>460</v>
      </c>
      <c r="B120" s="927" t="s">
        <v>2013</v>
      </c>
      <c r="C120" s="928">
        <f>'Revenues 9-14'!B167</f>
        <v>3925</v>
      </c>
      <c r="D120" s="929" t="str">
        <f>'Revenues 9-14'!A167</f>
        <v>School Infrastructure - Maintenance Projects</v>
      </c>
      <c r="E120" s="906"/>
      <c r="F120" s="1789">
        <f>'Revenues 9-14'!D167</f>
        <v>0</v>
      </c>
      <c r="G120" s="930"/>
    </row>
    <row r="121" spans="1:7" x14ac:dyDescent="0.2">
      <c r="A121" s="927" t="s">
        <v>500</v>
      </c>
      <c r="B121" s="927" t="s">
        <v>2014</v>
      </c>
      <c r="C121" s="928">
        <f>'Revenues 9-14'!B168</f>
        <v>3999</v>
      </c>
      <c r="D121" s="929" t="s">
        <v>543</v>
      </c>
      <c r="E121" s="931"/>
      <c r="F121" s="1789">
        <f>SUM('Revenues 9-14'!C168:G168,'Revenues 9-14'!J168)</f>
        <v>0</v>
      </c>
      <c r="G121" s="930"/>
    </row>
    <row r="122" spans="1:7" x14ac:dyDescent="0.2">
      <c r="A122" s="927" t="s">
        <v>459</v>
      </c>
      <c r="B122" s="927" t="s">
        <v>2015</v>
      </c>
      <c r="C122" s="932">
        <f>'Revenues 9-14'!B177</f>
        <v>4045</v>
      </c>
      <c r="D122" s="929" t="str">
        <f>'Revenues 9-14'!A177 &amp; " (Subtract)"</f>
        <v>Head Start (Subtract)</v>
      </c>
      <c r="E122" s="906"/>
      <c r="F122" s="1789">
        <f>SUM(-'Revenues 9-14'!C177)</f>
        <v>0</v>
      </c>
      <c r="G122" s="930"/>
    </row>
    <row r="123" spans="1:7" x14ac:dyDescent="0.2">
      <c r="A123" s="927" t="s">
        <v>668</v>
      </c>
      <c r="B123" s="927" t="s">
        <v>2016</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2017</v>
      </c>
      <c r="C124" s="932">
        <v>4100</v>
      </c>
      <c r="D124" s="933" t="str">
        <f>'Revenues 9-14'!A188</f>
        <v>Total Title V</v>
      </c>
      <c r="E124" s="906"/>
      <c r="F124" s="1789">
        <f>SUM('Revenues 9-14'!C188,'Revenues 9-14'!D188,'Revenues 9-14'!F188,'Revenues 9-14'!G188)</f>
        <v>0</v>
      </c>
      <c r="G124" s="930"/>
    </row>
    <row r="125" spans="1:7" x14ac:dyDescent="0.2">
      <c r="A125" s="927" t="s">
        <v>664</v>
      </c>
      <c r="B125" s="927" t="s">
        <v>2018</v>
      </c>
      <c r="C125" s="932">
        <v>4200</v>
      </c>
      <c r="D125" s="929" t="str">
        <f>'Revenues 9-14'!A198</f>
        <v>Total Food Service</v>
      </c>
      <c r="E125" s="906"/>
      <c r="F125" s="1789">
        <f>SUM('Revenues 9-14'!C198,'Revenues 9-14'!G198)</f>
        <v>41630</v>
      </c>
      <c r="G125" s="930"/>
    </row>
    <row r="126" spans="1:7" x14ac:dyDescent="0.2">
      <c r="A126" s="927" t="s">
        <v>668</v>
      </c>
      <c r="B126" s="927" t="s">
        <v>2019</v>
      </c>
      <c r="C126" s="932">
        <v>4300</v>
      </c>
      <c r="D126" s="933" t="str">
        <f>'Revenues 9-14'!A204</f>
        <v>Total Title I</v>
      </c>
      <c r="E126" s="906"/>
      <c r="F126" s="1789">
        <f>SUM('Revenues 9-14'!C204,'Revenues 9-14'!D204,'Revenues 9-14'!F204,'Revenues 9-14'!G204)</f>
        <v>0</v>
      </c>
      <c r="G126" s="930"/>
    </row>
    <row r="127" spans="1:7" x14ac:dyDescent="0.2">
      <c r="A127" s="927" t="s">
        <v>668</v>
      </c>
      <c r="B127" s="927" t="s">
        <v>2020</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2021</v>
      </c>
      <c r="C128" s="932">
        <f>'Revenues 9-14'!B213</f>
        <v>4620</v>
      </c>
      <c r="D128" s="933" t="str">
        <f>'Revenues 9-14'!A213</f>
        <v>Fed - Spec Education - IDEA - Flow Through</v>
      </c>
      <c r="E128" s="906"/>
      <c r="F128" s="1789">
        <f>SUM('Revenues 9-14'!C213:D213,'Revenues 9-14'!F213:G213)</f>
        <v>4089967</v>
      </c>
      <c r="G128" s="930"/>
    </row>
    <row r="129" spans="1:7" x14ac:dyDescent="0.2">
      <c r="A129" s="927" t="s">
        <v>668</v>
      </c>
      <c r="B129" s="927" t="s">
        <v>2022</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2023</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2024</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2025</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2026</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2027</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2028</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2029</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2030</v>
      </c>
      <c r="C138" s="935" t="s">
        <v>212</v>
      </c>
      <c r="D138" s="936" t="str">
        <f>'Revenues 9-14'!A229</f>
        <v>ARRA - IDEA - Part B - Preschool</v>
      </c>
      <c r="E138" s="937"/>
      <c r="F138" s="1789">
        <v>0</v>
      </c>
      <c r="G138" s="905"/>
    </row>
    <row r="139" spans="1:7" s="867" customFormat="1" hidden="1" x14ac:dyDescent="0.2">
      <c r="A139" s="934" t="s">
        <v>206</v>
      </c>
      <c r="B139" s="934" t="s">
        <v>2031</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2032</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2033</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2034</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2035</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2036</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2037</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2038</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2039</v>
      </c>
      <c r="C157" s="940" t="s">
        <v>841</v>
      </c>
      <c r="D157" s="941" t="s">
        <v>777</v>
      </c>
      <c r="E157" s="942"/>
      <c r="F157" s="1789">
        <f>SUM(F133:F156)</f>
        <v>0</v>
      </c>
      <c r="G157" s="905"/>
    </row>
    <row r="158" spans="1:7" s="867" customFormat="1" x14ac:dyDescent="0.2">
      <c r="A158" s="938" t="s">
        <v>459</v>
      </c>
      <c r="B158" s="939" t="s">
        <v>2040</v>
      </c>
      <c r="C158" s="940" t="s">
        <v>1427</v>
      </c>
      <c r="D158" s="941" t="s">
        <v>1428</v>
      </c>
      <c r="E158" s="942"/>
      <c r="F158" s="1789">
        <f>SUM('Revenues 9-14'!C253)</f>
        <v>0</v>
      </c>
      <c r="G158" s="905"/>
    </row>
    <row r="159" spans="1:7" s="867" customFormat="1" x14ac:dyDescent="0.2">
      <c r="A159" s="938" t="s">
        <v>500</v>
      </c>
      <c r="B159" s="939" t="s">
        <v>2041</v>
      </c>
      <c r="C159" s="940" t="s">
        <v>1466</v>
      </c>
      <c r="D159" s="941" t="s">
        <v>1467</v>
      </c>
      <c r="E159" s="942"/>
      <c r="F159" s="1789">
        <f>SUM('Revenues 9-14'!C254:H254,'Revenues 9-14'!J254:K254)</f>
        <v>0</v>
      </c>
      <c r="G159" s="905"/>
    </row>
    <row r="160" spans="1:7" x14ac:dyDescent="0.2">
      <c r="A160" s="927" t="s">
        <v>5</v>
      </c>
      <c r="B160" s="927" t="s">
        <v>2042</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2043</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2044</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2045</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2046</v>
      </c>
      <c r="C164" s="932">
        <f>'Revenues 9-14'!B259</f>
        <v>4932</v>
      </c>
      <c r="D164" s="933" t="str">
        <f>'Revenues 9-14'!A259</f>
        <v>Title II - Teacher Quality</v>
      </c>
      <c r="E164" s="906"/>
      <c r="F164" s="1907">
        <f>SUM('Revenues 9-14'!C259,'Revenues 9-14'!D259,'Revenues 9-14'!F259,'Revenues 9-14'!G259)</f>
        <v>0</v>
      </c>
      <c r="G164" s="930"/>
    </row>
    <row r="165" spans="1:7" x14ac:dyDescent="0.2">
      <c r="A165" s="927" t="s">
        <v>668</v>
      </c>
      <c r="B165" s="927" t="s">
        <v>2047</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1992</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1993</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2048</v>
      </c>
      <c r="C168" s="932">
        <f>'Revenues 9-14'!B263</f>
        <v>4991</v>
      </c>
      <c r="D168" s="933" t="str">
        <f>'Revenues 9-14'!A263</f>
        <v>Medicaid Matching Funds - Administrative Outreach</v>
      </c>
      <c r="E168" s="906"/>
      <c r="F168" s="1789">
        <f>SUM('Revenues 9-14'!C263:D263,'Revenues 9-14'!F263:G263)</f>
        <v>29242</v>
      </c>
      <c r="G168" s="947">
        <v>6320</v>
      </c>
    </row>
    <row r="169" spans="1:7" x14ac:dyDescent="0.2">
      <c r="A169" s="927" t="s">
        <v>668</v>
      </c>
      <c r="B169" s="927" t="s">
        <v>2049</v>
      </c>
      <c r="C169" s="932">
        <f>'Revenues 9-14'!B264</f>
        <v>4992</v>
      </c>
      <c r="D169" s="933" t="str">
        <f>'Revenues 9-14'!A264</f>
        <v>Medicaid Matching Funds - Fee-for-Service Program</v>
      </c>
      <c r="E169" s="906"/>
      <c r="F169" s="1789">
        <f>SUM('Revenues 9-14'!C264:D264,'Revenues 9-14'!F264:G264)</f>
        <v>80652</v>
      </c>
      <c r="G169" s="947"/>
    </row>
    <row r="170" spans="1:7" x14ac:dyDescent="0.2">
      <c r="A170" s="948" t="s">
        <v>668</v>
      </c>
      <c r="B170" s="944" t="s">
        <v>2050</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1916</v>
      </c>
      <c r="C171" s="1920">
        <v>3100</v>
      </c>
      <c r="D171" s="1921" t="s">
        <v>1918</v>
      </c>
      <c r="E171" s="906"/>
      <c r="F171" s="1906"/>
      <c r="G171" s="927"/>
    </row>
    <row r="172" spans="1:7" x14ac:dyDescent="0.2">
      <c r="A172" s="1918" t="s">
        <v>664</v>
      </c>
      <c r="B172" s="1919" t="s">
        <v>1916</v>
      </c>
      <c r="C172" s="1920">
        <v>3300</v>
      </c>
      <c r="D172" s="1921" t="s">
        <v>1919</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2051</v>
      </c>
      <c r="E174" s="1787" t="s">
        <v>958</v>
      </c>
      <c r="F174" s="1788">
        <f>SUM(F84:F132,F157:F172)</f>
        <v>5684621</v>
      </c>
    </row>
    <row r="175" spans="1:7" ht="12" customHeight="1" x14ac:dyDescent="0.2">
      <c r="A175" s="1770"/>
      <c r="B175" s="1784"/>
      <c r="C175" s="1785"/>
      <c r="D175" s="1786" t="s">
        <v>2052</v>
      </c>
      <c r="E175" s="1787"/>
      <c r="F175" s="1789">
        <f>'PCTC-OEPP 27-28'!F77-F174</f>
        <v>-513806</v>
      </c>
    </row>
    <row r="176" spans="1:7" ht="12" customHeight="1" x14ac:dyDescent="0.2">
      <c r="A176" s="1770"/>
      <c r="B176" s="1784"/>
      <c r="C176" s="1785"/>
      <c r="D176" s="1786" t="s">
        <v>1814</v>
      </c>
      <c r="E176" s="1787"/>
      <c r="F176" s="1789">
        <f>'Cap Outlay Deprec 26'!I18</f>
        <v>82700</v>
      </c>
    </row>
    <row r="177" spans="1:7" ht="12" customHeight="1" x14ac:dyDescent="0.2">
      <c r="A177" s="1770"/>
      <c r="B177" s="1784"/>
      <c r="C177" s="1785"/>
      <c r="D177" s="1786" t="s">
        <v>2053</v>
      </c>
      <c r="E177" s="1787"/>
      <c r="F177" s="1789">
        <f>F175+F176</f>
        <v>-431106</v>
      </c>
    </row>
    <row r="178" spans="1:7" ht="12" customHeight="1" x14ac:dyDescent="0.2">
      <c r="A178" s="1770"/>
      <c r="B178" s="1790"/>
      <c r="C178" s="1785"/>
      <c r="D178" s="1786" t="str">
        <f>D78</f>
        <v>9 Month ADA from District Average Daily Attendance/Prior General State Aid Inquiry 2018-2019</v>
      </c>
      <c r="E178" s="1787"/>
      <c r="F178" s="1791">
        <f>'PCTC-OEPP 27-28'!F78</f>
        <v>0</v>
      </c>
      <c r="G178" s="930"/>
    </row>
    <row r="179" spans="1:7" ht="12" customHeight="1" thickBot="1" x14ac:dyDescent="0.25">
      <c r="A179" s="1770"/>
      <c r="B179" s="1790"/>
      <c r="C179" s="1785"/>
      <c r="D179" s="1786" t="s">
        <v>2054</v>
      </c>
      <c r="E179" s="1787" t="s">
        <v>1545</v>
      </c>
      <c r="F179" s="1792" t="e">
        <f>F177/F178</f>
        <v>#DIV/0!</v>
      </c>
      <c r="G179" s="856">
        <v>6323</v>
      </c>
    </row>
    <row r="180" spans="1:7" ht="12" thickTop="1" x14ac:dyDescent="0.2">
      <c r="B180" s="930"/>
      <c r="C180" s="949"/>
      <c r="D180" s="930"/>
      <c r="E180" s="949"/>
      <c r="F180" s="930"/>
      <c r="G180" s="951">
        <v>6326</v>
      </c>
    </row>
    <row r="181" spans="1:7" ht="12.2" customHeight="1" x14ac:dyDescent="0.2">
      <c r="A181" s="930" t="s">
        <v>1917</v>
      </c>
      <c r="B181" s="930"/>
      <c r="C181" s="949"/>
      <c r="D181" s="930"/>
      <c r="E181" s="949"/>
      <c r="F181" s="930"/>
      <c r="G181" s="930"/>
    </row>
    <row r="182" spans="1:7" s="1922" customFormat="1" ht="12.2" customHeight="1" x14ac:dyDescent="0.2">
      <c r="A182" s="1922" t="s">
        <v>1989</v>
      </c>
      <c r="B182" s="1923"/>
      <c r="C182" s="1924"/>
      <c r="D182" s="1923"/>
      <c r="E182" s="1924"/>
      <c r="F182" s="1923"/>
      <c r="G182" s="1923"/>
    </row>
    <row r="183" spans="1:7" s="1922" customFormat="1" ht="12.2" customHeight="1" x14ac:dyDescent="0.2">
      <c r="A183" s="1925" t="s">
        <v>1991</v>
      </c>
      <c r="C183" s="1924"/>
      <c r="D183" s="1923"/>
      <c r="E183" s="1924"/>
      <c r="F183" s="1923"/>
      <c r="G183" s="1923"/>
    </row>
    <row r="184" spans="1:7" ht="12" customHeight="1" x14ac:dyDescent="0.2">
      <c r="C184" s="949"/>
      <c r="D184" s="930"/>
      <c r="E184" s="949"/>
      <c r="F184" s="930"/>
      <c r="G184" s="930"/>
    </row>
    <row r="185" spans="1:7" x14ac:dyDescent="0.2">
      <c r="A185" s="1926" t="s">
        <v>1921</v>
      </c>
      <c r="B185" s="1927" t="s">
        <v>1920</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6" zoomScaleNormal="100" workbookViewId="0">
      <selection activeCell="A22" sqref="A22:D22"/>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1829</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7" t="s">
        <v>1815</v>
      </c>
      <c r="B4" s="2278"/>
      <c r="C4" s="2278"/>
      <c r="D4" s="2278"/>
      <c r="E4" s="2278"/>
      <c r="F4" s="2278"/>
      <c r="G4" s="2279"/>
    </row>
    <row r="5" spans="1:7" x14ac:dyDescent="0.25">
      <c r="A5" s="2280"/>
      <c r="B5" s="2281"/>
      <c r="C5" s="2281"/>
      <c r="D5" s="2281"/>
      <c r="E5" s="2281"/>
      <c r="F5" s="2281"/>
      <c r="G5" s="2282"/>
    </row>
    <row r="6" spans="1:7" ht="18.75" x14ac:dyDescent="0.25">
      <c r="A6" s="1534" t="s">
        <v>1816</v>
      </c>
      <c r="B6" s="1535"/>
      <c r="C6" s="1535"/>
      <c r="D6" s="1535"/>
      <c r="E6" s="1535"/>
      <c r="F6" s="1535"/>
      <c r="G6" s="1536"/>
    </row>
    <row r="7" spans="1:7" ht="30.75" customHeight="1" x14ac:dyDescent="0.25">
      <c r="A7" s="2283" t="s">
        <v>1928</v>
      </c>
      <c r="B7" s="2284"/>
      <c r="C7" s="2284"/>
      <c r="D7" s="2284"/>
      <c r="E7" s="2284"/>
      <c r="F7" s="2284"/>
      <c r="G7" s="2285"/>
    </row>
    <row r="8" spans="1:7" ht="15.75" customHeight="1" x14ac:dyDescent="0.25">
      <c r="A8" s="2286" t="s">
        <v>1903</v>
      </c>
      <c r="B8" s="2287"/>
      <c r="C8" s="2287"/>
      <c r="D8" s="2287"/>
      <c r="E8" s="2287"/>
      <c r="F8" s="2287"/>
      <c r="G8" s="2288"/>
    </row>
    <row r="9" spans="1:7" ht="35.25" customHeight="1" x14ac:dyDescent="0.25">
      <c r="A9" s="2283" t="s">
        <v>2060</v>
      </c>
      <c r="B9" s="2284"/>
      <c r="C9" s="2284"/>
      <c r="D9" s="2284"/>
      <c r="E9" s="2284"/>
      <c r="F9" s="2284"/>
      <c r="G9" s="2285"/>
    </row>
    <row r="10" spans="1:7" ht="15" customHeight="1" x14ac:dyDescent="0.25">
      <c r="A10" s="1537" t="s">
        <v>1817</v>
      </c>
      <c r="B10" s="1538"/>
      <c r="C10" s="1538"/>
      <c r="D10" s="1538"/>
      <c r="E10" s="1538"/>
      <c r="F10" s="1538"/>
      <c r="G10" s="1539"/>
    </row>
    <row r="11" spans="1:7" ht="17.25" customHeight="1" x14ac:dyDescent="0.25">
      <c r="A11" s="2283" t="s">
        <v>1930</v>
      </c>
      <c r="B11" s="2284"/>
      <c r="C11" s="2284"/>
      <c r="D11" s="2284"/>
      <c r="E11" s="2284"/>
      <c r="F11" s="2284"/>
      <c r="G11" s="2285"/>
    </row>
    <row r="12" spans="1:7" ht="15" customHeight="1" x14ac:dyDescent="0.25">
      <c r="A12" s="1537" t="s">
        <v>1822</v>
      </c>
      <c r="B12" s="1538"/>
      <c r="C12" s="1538"/>
      <c r="D12" s="1538"/>
      <c r="E12" s="1538"/>
      <c r="F12" s="1538"/>
      <c r="G12" s="1539"/>
    </row>
    <row r="13" spans="1:7" ht="32.25" customHeight="1" x14ac:dyDescent="0.25">
      <c r="A13" s="2274" t="s">
        <v>1971</v>
      </c>
      <c r="B13" s="2275"/>
      <c r="C13" s="2275"/>
      <c r="D13" s="2275"/>
      <c r="E13" s="2275"/>
      <c r="F13" s="2275"/>
      <c r="G13" s="2276"/>
    </row>
    <row r="14" spans="1:7" x14ac:dyDescent="0.25">
      <c r="A14" s="1661" t="s">
        <v>1830</v>
      </c>
      <c r="B14" s="1662"/>
      <c r="C14" s="1662"/>
      <c r="D14" s="1662"/>
      <c r="E14" s="1662"/>
      <c r="F14" s="1662"/>
      <c r="G14" s="1663"/>
    </row>
    <row r="15" spans="1:7" ht="61.5" customHeight="1" x14ac:dyDescent="0.25">
      <c r="A15" s="1546" t="s">
        <v>1823</v>
      </c>
      <c r="B15" s="1546" t="s">
        <v>1824</v>
      </c>
      <c r="C15" s="1546" t="s">
        <v>1825</v>
      </c>
      <c r="D15" s="1547" t="s">
        <v>1826</v>
      </c>
      <c r="E15" s="1547" t="s">
        <v>1818</v>
      </c>
      <c r="F15" s="1547" t="s">
        <v>1827</v>
      </c>
      <c r="G15" s="1547" t="s">
        <v>1828</v>
      </c>
    </row>
    <row r="16" spans="1:7" x14ac:dyDescent="0.25">
      <c r="A16" s="1648" t="s">
        <v>1831</v>
      </c>
      <c r="B16" s="1649" t="s">
        <v>1821</v>
      </c>
      <c r="C16" s="1650" t="s">
        <v>1819</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2079</v>
      </c>
      <c r="B17" s="1938" t="s">
        <v>2080</v>
      </c>
      <c r="C17" s="1939" t="s">
        <v>2081</v>
      </c>
      <c r="D17" s="1940">
        <v>1638</v>
      </c>
      <c r="E17" s="1540">
        <f t="shared" ref="E17:E141" si="0">IF(D17&lt;=25000,D17,IF(D17&gt;25000,25000,0))</f>
        <v>1638</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1638</v>
      </c>
      <c r="G17" s="1793">
        <f>IF(F17=0,0,D17-F17)</f>
        <v>0</v>
      </c>
      <c r="H17" s="1647"/>
    </row>
    <row r="18" spans="1:8" x14ac:dyDescent="0.25">
      <c r="A18" s="1937" t="s">
        <v>2079</v>
      </c>
      <c r="B18" s="1938" t="s">
        <v>2080</v>
      </c>
      <c r="C18" s="1939" t="s">
        <v>2082</v>
      </c>
      <c r="D18" s="1940">
        <v>3600</v>
      </c>
      <c r="E18" s="1540">
        <f t="shared" ref="E18:E140" si="2">IF(D18&lt;=25000,D18,IF(D18&gt;25000,25000,0))</f>
        <v>3600</v>
      </c>
      <c r="F18" s="1932">
        <f t="shared" si="1"/>
        <v>3600</v>
      </c>
      <c r="G18" s="1793">
        <f t="shared" ref="G18:G140" si="3">IF(F18=0,0,D18-F18)</f>
        <v>0</v>
      </c>
    </row>
    <row r="19" spans="1:8" x14ac:dyDescent="0.25">
      <c r="A19" s="1937" t="s">
        <v>2083</v>
      </c>
      <c r="B19" s="1938" t="s">
        <v>2084</v>
      </c>
      <c r="C19" s="1939" t="s">
        <v>2085</v>
      </c>
      <c r="D19" s="1940">
        <v>7815</v>
      </c>
      <c r="E19" s="1540">
        <f t="shared" si="2"/>
        <v>7815</v>
      </c>
      <c r="F19" s="1932">
        <f t="shared" si="1"/>
        <v>7815</v>
      </c>
      <c r="G19" s="1793">
        <f t="shared" si="3"/>
        <v>0</v>
      </c>
    </row>
    <row r="20" spans="1:8" x14ac:dyDescent="0.25">
      <c r="A20" s="1937" t="s">
        <v>2083</v>
      </c>
      <c r="B20" s="1938" t="s">
        <v>2084</v>
      </c>
      <c r="C20" s="1939" t="s">
        <v>2086</v>
      </c>
      <c r="D20" s="1940">
        <v>25318</v>
      </c>
      <c r="E20" s="1540">
        <f t="shared" si="2"/>
        <v>25000</v>
      </c>
      <c r="F20" s="1932">
        <f t="shared" si="1"/>
        <v>25000</v>
      </c>
      <c r="G20" s="1793">
        <f t="shared" si="3"/>
        <v>318</v>
      </c>
    </row>
    <row r="21" spans="1:8" x14ac:dyDescent="0.25">
      <c r="A21" s="1941" t="s">
        <v>2087</v>
      </c>
      <c r="B21" s="1942" t="s">
        <v>2088</v>
      </c>
      <c r="C21" s="1943" t="s">
        <v>2089</v>
      </c>
      <c r="D21" s="1844">
        <v>1050</v>
      </c>
      <c r="E21" s="1540">
        <f t="shared" si="2"/>
        <v>1050</v>
      </c>
      <c r="F21" s="1932">
        <f t="shared" si="1"/>
        <v>1050</v>
      </c>
      <c r="G21" s="1793">
        <f t="shared" si="3"/>
        <v>0</v>
      </c>
    </row>
    <row r="22" spans="1:8" x14ac:dyDescent="0.25">
      <c r="A22" s="1941"/>
      <c r="B22" s="1942"/>
      <c r="C22" s="1943"/>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39421</v>
      </c>
      <c r="E141" s="1541">
        <f t="shared" si="0"/>
        <v>25000</v>
      </c>
      <c r="F141" s="1933">
        <f>SUM(F17:F140)</f>
        <v>39103</v>
      </c>
      <c r="G141" s="1795">
        <f>SUM(G17:G140)</f>
        <v>318</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election activeCell="F12" sqref="F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9" t="s">
        <v>1679</v>
      </c>
      <c r="B5" s="2290"/>
      <c r="C5" s="2290"/>
      <c r="D5" s="2290"/>
      <c r="E5" s="2290"/>
      <c r="F5" s="2290"/>
      <c r="G5" s="2291"/>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1929</v>
      </c>
      <c r="B10" s="971"/>
      <c r="C10" s="976"/>
      <c r="D10" s="972"/>
      <c r="E10" s="973">
        <v>41629</v>
      </c>
      <c r="F10" s="974"/>
      <c r="G10" s="975"/>
      <c r="H10" s="162"/>
      <c r="I10" s="162"/>
    </row>
    <row r="11" spans="1:9" s="668" customFormat="1" ht="22.5" customHeight="1" x14ac:dyDescent="0.2">
      <c r="A11" s="2294" t="s">
        <v>1972</v>
      </c>
      <c r="B11" s="2295"/>
      <c r="C11" s="2295"/>
      <c r="D11" s="2296"/>
      <c r="E11" s="977">
        <v>2582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1257679</v>
      </c>
      <c r="F19" s="1799"/>
      <c r="G19" s="1801">
        <f>'Expenditures 15-22'!K33-SUM('Expenditures 15-22'!G33,'Expenditures 15-22'!I33)+'Expenditures 15-22'!D229</f>
        <v>1257679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1577278</v>
      </c>
      <c r="F21" s="1802"/>
      <c r="G21" s="1805">
        <f>'Expenditures 15-22'!K42-SUM('Expenditures 15-22'!G42,'Expenditures 15-22'!I42)+'Expenditures 15-22'!K120-SUM('Expenditures 15-22'!G120,'Expenditures 15-22'!I120)+'Expenditures 15-22'!K180-SUM('Expenditures 15-22'!G180,'Expenditures 15-22'!I180)+'Expenditures 15-22'!D238</f>
        <v>1577278</v>
      </c>
      <c r="H21" s="987"/>
      <c r="I21" s="162"/>
    </row>
    <row r="22" spans="1:9" s="668" customFormat="1" ht="12" customHeight="1" x14ac:dyDescent="0.2">
      <c r="A22" s="994" t="s">
        <v>564</v>
      </c>
      <c r="B22" s="995"/>
      <c r="C22" s="993">
        <v>2200</v>
      </c>
      <c r="D22" s="1802"/>
      <c r="E22" s="1804">
        <f>'Expenditures 15-22'!K47-SUM('Expenditures 15-22'!G47,'Expenditures 15-22'!I47)+'Expenditures 15-22'!D243</f>
        <v>973794</v>
      </c>
      <c r="F22" s="1802"/>
      <c r="G22" s="1805">
        <f>'Expenditures 15-22'!K47-SUM('Expenditures 15-22'!G47,'Expenditures 15-22'!I47)+'Expenditures 15-22'!D243</f>
        <v>973794</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774246</v>
      </c>
      <c r="F23" s="1802"/>
      <c r="G23" s="1804">
        <f>'Expenditures 15-22'!K53-SUM('Expenditures 15-22'!G53,'Expenditures 15-22'!I53)+'Expenditures 15-22'!D257+'Expenditures 15-22'!K330-SUM('Expenditures 15-22'!G330,'Expenditures 15-22'!I330)</f>
        <v>774246</v>
      </c>
      <c r="H23" s="987"/>
      <c r="I23" s="162"/>
    </row>
    <row r="24" spans="1:9" s="668" customFormat="1" ht="12" customHeight="1" x14ac:dyDescent="0.2">
      <c r="A24" s="994" t="s">
        <v>566</v>
      </c>
      <c r="B24" s="995"/>
      <c r="C24" s="993">
        <v>2400</v>
      </c>
      <c r="D24" s="1802"/>
      <c r="E24" s="1804">
        <f>'Expenditures 15-22'!K57-SUM('Expenditures 15-22'!G57,'Expenditures 15-22'!I57)+'Expenditures 15-22'!D261</f>
        <v>0</v>
      </c>
      <c r="F24" s="1802"/>
      <c r="G24" s="1805">
        <f>'Expenditures 15-22'!K57-SUM('Expenditures 15-22'!G57,'Expenditures 15-22'!I57)+'Expenditures 15-22'!D261</f>
        <v>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88709</v>
      </c>
      <c r="E27" s="1804">
        <f>E8</f>
        <v>0</v>
      </c>
      <c r="F27" s="1804">
        <f>'Expenditures 15-22'!K60-SUM('Expenditures 15-22'!G60,'Expenditures 15-22'!I60)+'Expenditures 15-22'!D264-E8</f>
        <v>88709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267690</v>
      </c>
      <c r="F28" s="1806">
        <f>'Expenditures 15-22'!K61-SUM('Expenditures 15-22'!G61,'Expenditures 15-22'!I61)+'Expenditures 15-22'!K124-SUM('Expenditures 15-22'!G124,'Expenditures 15-22'!I124)+'Expenditures 15-22'!D266-E9</f>
        <v>267690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0</v>
      </c>
      <c r="F29" s="1802"/>
      <c r="G29" s="1805">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802"/>
      <c r="E30" s="1804">
        <f>'Expenditures 15-22'!K63-SUM('Expenditures 15-22'!G63,'Expenditures 15-22'!I63)+'Expenditures 15-22'!D268-E10</f>
        <v>2129</v>
      </c>
      <c r="F30" s="1802"/>
      <c r="G30" s="1804">
        <f>'Expenditures 15-22'!K63-SUM('Expenditures 15-22'!G63,'Expenditures 15-22'!I63)+'Expenditures 15-22'!D268-E10</f>
        <v>2129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114904</v>
      </c>
      <c r="F35" s="1802"/>
      <c r="G35" s="1804">
        <f>'Expenditures 15-22'!K69-SUM('Expenditures 15-22'!G69,'Expenditures 15-22'!I69)+'Expenditures 15-22'!D274</f>
        <v>114904</v>
      </c>
    </row>
    <row r="36" spans="1:7" ht="12" customHeight="1" x14ac:dyDescent="0.2">
      <c r="A36" s="994" t="s">
        <v>403</v>
      </c>
      <c r="B36" s="997"/>
      <c r="C36" s="993">
        <v>2640</v>
      </c>
      <c r="D36" s="1804">
        <f>'Expenditures 15-22'!K70-SUM('Expenditures 15-22'!G70,'Expenditures 15-22'!I70)+'Expenditures 15-22'!D275-E13</f>
        <v>162</v>
      </c>
      <c r="E36" s="1804">
        <f>E13</f>
        <v>0</v>
      </c>
      <c r="F36" s="1804">
        <f>'Expenditures 15-22'!K70-SUM('Expenditures 15-22'!G70,'Expenditures 15-22'!I70)+'Expenditures 15-22'!D275-E13</f>
        <v>162</v>
      </c>
      <c r="G36" s="1804">
        <f>E13</f>
        <v>0</v>
      </c>
    </row>
    <row r="37" spans="1:7" ht="12" customHeight="1" x14ac:dyDescent="0.2">
      <c r="A37" s="994" t="s">
        <v>404</v>
      </c>
      <c r="B37" s="997"/>
      <c r="C37" s="993">
        <v>2660</v>
      </c>
      <c r="D37" s="1804">
        <f>'Expenditures 15-22'!K71-SUM('Expenditures 15-22'!G71,'Expenditures 15-22'!I71)+'Expenditures 15-22'!D276-E14</f>
        <v>72595</v>
      </c>
      <c r="E37" s="1804">
        <f>E14</f>
        <v>0</v>
      </c>
      <c r="F37" s="1804">
        <f>'Expenditures 15-22'!K71-SUM('Expenditures 15-22'!G71,'Expenditures 15-22'!I71)+'Expenditures 15-22'!D276-E14</f>
        <v>72595</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1820</v>
      </c>
      <c r="B40" s="991"/>
      <c r="C40" s="993"/>
      <c r="D40" s="1802"/>
      <c r="E40" s="1806">
        <f>-'Contracts Paid in CY 29'!G141</f>
        <v>-318</v>
      </c>
      <c r="F40" s="1802"/>
      <c r="G40" s="1806">
        <f>-'Contracts Paid in CY 29'!G141</f>
        <v>-318</v>
      </c>
    </row>
    <row r="41" spans="1:7" ht="12" customHeight="1" x14ac:dyDescent="0.2">
      <c r="A41" s="998" t="s">
        <v>156</v>
      </c>
      <c r="B41" s="999"/>
      <c r="C41" s="1000"/>
      <c r="D41" s="1806">
        <f>SUM(D19:D39)</f>
        <v>161466</v>
      </c>
      <c r="E41" s="1806">
        <f>SUM(E19:E40)</f>
        <v>4967402</v>
      </c>
      <c r="F41" s="1806">
        <f>SUM(F19:F39)</f>
        <v>429156</v>
      </c>
      <c r="G41" s="1806">
        <f>SUM(G19:G40)</f>
        <v>4699712</v>
      </c>
    </row>
    <row r="42" spans="1:7" x14ac:dyDescent="0.2">
      <c r="A42" s="987"/>
      <c r="B42" s="162"/>
      <c r="C42" s="1001"/>
      <c r="D42" s="2292" t="s">
        <v>522</v>
      </c>
      <c r="E42" s="2293"/>
      <c r="F42" s="1002" t="s">
        <v>523</v>
      </c>
      <c r="G42" s="1003"/>
    </row>
    <row r="43" spans="1:7" ht="12" customHeight="1" x14ac:dyDescent="0.2">
      <c r="A43" s="987"/>
      <c r="B43" s="162"/>
      <c r="C43" s="1001"/>
      <c r="D43" s="1807" t="s">
        <v>473</v>
      </c>
      <c r="E43" s="1808">
        <f>D41</f>
        <v>161466</v>
      </c>
      <c r="F43" s="1807" t="s">
        <v>473</v>
      </c>
      <c r="G43" s="1808">
        <f>F41</f>
        <v>429156</v>
      </c>
    </row>
    <row r="44" spans="1:7" ht="12" customHeight="1" x14ac:dyDescent="0.2">
      <c r="A44" s="987"/>
      <c r="B44" s="162"/>
      <c r="C44" s="1001"/>
      <c r="D44" s="1807" t="s">
        <v>474</v>
      </c>
      <c r="E44" s="1808">
        <f>E41</f>
        <v>4967402</v>
      </c>
      <c r="F44" s="1807" t="s">
        <v>474</v>
      </c>
      <c r="G44" s="1808">
        <f>G41</f>
        <v>4699712</v>
      </c>
    </row>
    <row r="45" spans="1:7" ht="12" customHeight="1" x14ac:dyDescent="0.2">
      <c r="A45" s="987"/>
      <c r="B45" s="162"/>
      <c r="C45" s="162"/>
      <c r="D45" s="1809" t="s">
        <v>1006</v>
      </c>
      <c r="E45" s="1810">
        <f>(E43/E44)</f>
        <v>3.2505120382848016E-2</v>
      </c>
      <c r="F45" s="1809" t="s">
        <v>1006</v>
      </c>
      <c r="G45" s="1810">
        <f>(G43/G44)</f>
        <v>9.1315382729835359E-2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47" sqref="A47"/>
      <selection pane="bottomLeft" activeCell="C51" sqref="C5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0" t="s">
        <v>1379</v>
      </c>
      <c r="B1" s="2300"/>
      <c r="C1" s="2300"/>
      <c r="D1" s="2300"/>
      <c r="E1" s="2300"/>
      <c r="F1" s="2300"/>
    </row>
    <row r="2" spans="1:10" x14ac:dyDescent="0.2">
      <c r="A2" s="1887" t="s">
        <v>1908</v>
      </c>
      <c r="B2" s="1848"/>
      <c r="C2" s="1887"/>
      <c r="D2" s="1848"/>
      <c r="E2" s="1848"/>
      <c r="F2" s="1849"/>
    </row>
    <row r="3" spans="1:10" x14ac:dyDescent="0.2">
      <c r="A3" s="1887" t="s">
        <v>1973</v>
      </c>
      <c r="B3" s="1848"/>
      <c r="C3" s="1887"/>
      <c r="D3" s="1848"/>
      <c r="E3" s="1848"/>
      <c r="F3" s="1849"/>
    </row>
    <row r="4" spans="1:10" ht="3.75" customHeight="1" x14ac:dyDescent="0.2">
      <c r="A4" s="1848"/>
      <c r="B4" s="1848"/>
      <c r="C4" s="1848"/>
      <c r="D4" s="1848"/>
      <c r="E4" s="1848"/>
      <c r="F4" s="1849"/>
    </row>
    <row r="5" spans="1:10" ht="15" x14ac:dyDescent="0.25">
      <c r="A5" s="2301" t="s">
        <v>1546</v>
      </c>
      <c r="B5" s="2302"/>
      <c r="C5" s="2303"/>
      <c r="D5" s="2303"/>
      <c r="E5" s="2303"/>
      <c r="F5" s="2303"/>
    </row>
    <row r="6" spans="1:10" ht="12" customHeight="1" x14ac:dyDescent="0.25">
      <c r="A6" s="1850"/>
      <c r="B6" s="1851"/>
      <c r="C6" s="2304" t="str">
        <f>COVER!A17</f>
        <v>LaSalle Putnam Alliance</v>
      </c>
      <c r="D6" s="2304"/>
      <c r="E6" s="2304"/>
      <c r="F6" s="1852"/>
    </row>
    <row r="7" spans="1:10" ht="11.25" customHeight="1" thickBot="1" x14ac:dyDescent="0.3">
      <c r="A7" s="1850"/>
      <c r="B7" s="1851"/>
      <c r="C7" s="2305">
        <f>COVER!A13</f>
        <v>35050000061</v>
      </c>
      <c r="D7" s="2305"/>
      <c r="E7" s="2305"/>
      <c r="F7" s="1852"/>
    </row>
    <row r="8" spans="1:10" ht="25.5" customHeight="1" thickBot="1" x14ac:dyDescent="0.25">
      <c r="A8" s="1893" t="s">
        <v>1904</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944" t="s">
        <v>2070</v>
      </c>
      <c r="D15" s="1944" t="s">
        <v>2070</v>
      </c>
      <c r="E15" s="1945"/>
      <c r="F15" s="1946"/>
      <c r="H15" s="1878">
        <f t="shared" si="0"/>
        <v>5</v>
      </c>
      <c r="I15" s="1878">
        <f t="shared" si="1"/>
        <v>5</v>
      </c>
      <c r="J15" s="1878">
        <f t="shared" si="2"/>
        <v>0</v>
      </c>
    </row>
    <row r="16" spans="1:10" ht="12" customHeight="1" x14ac:dyDescent="0.2">
      <c r="A16" s="1863" t="s">
        <v>1388</v>
      </c>
      <c r="B16" s="1864"/>
      <c r="C16" s="1944"/>
      <c r="D16" s="1944"/>
      <c r="E16" s="1945"/>
      <c r="F16" s="1946"/>
      <c r="H16" s="1878">
        <f t="shared" si="0"/>
        <v>0</v>
      </c>
      <c r="I16" s="1878">
        <f t="shared" si="1"/>
        <v>0</v>
      </c>
      <c r="J16" s="1878">
        <f t="shared" si="2"/>
        <v>0</v>
      </c>
    </row>
    <row r="17" spans="1:12" ht="12" customHeight="1" x14ac:dyDescent="0.2">
      <c r="A17" s="1863" t="s">
        <v>1389</v>
      </c>
      <c r="B17" s="1864"/>
      <c r="C17" s="1944"/>
      <c r="D17" s="1944"/>
      <c r="E17" s="1945"/>
      <c r="F17" s="1946"/>
      <c r="H17" s="1878">
        <f t="shared" si="0"/>
        <v>0</v>
      </c>
      <c r="I17" s="1878">
        <f t="shared" si="1"/>
        <v>0</v>
      </c>
      <c r="J17" s="1878">
        <f t="shared" si="2"/>
        <v>0</v>
      </c>
    </row>
    <row r="18" spans="1:12" ht="12" customHeight="1" x14ac:dyDescent="0.2">
      <c r="A18" s="1863" t="s">
        <v>1390</v>
      </c>
      <c r="B18" s="1864"/>
      <c r="C18" s="1944"/>
      <c r="D18" s="1944"/>
      <c r="E18" s="1945"/>
      <c r="F18" s="1946"/>
      <c r="H18" s="1878">
        <f t="shared" si="0"/>
        <v>0</v>
      </c>
      <c r="I18" s="1878">
        <f t="shared" si="1"/>
        <v>0</v>
      </c>
      <c r="J18" s="1878">
        <f t="shared" si="2"/>
        <v>0</v>
      </c>
    </row>
    <row r="19" spans="1:12" ht="12" customHeight="1" x14ac:dyDescent="0.2">
      <c r="A19" s="1863" t="s">
        <v>1527</v>
      </c>
      <c r="B19" s="1864"/>
      <c r="C19" s="1944" t="s">
        <v>2070</v>
      </c>
      <c r="D19" s="1944" t="s">
        <v>2070</v>
      </c>
      <c r="E19" s="1945"/>
      <c r="F19" s="1946" t="s">
        <v>2090</v>
      </c>
      <c r="H19" s="1878">
        <f t="shared" si="0"/>
        <v>5</v>
      </c>
      <c r="I19" s="1878">
        <f t="shared" si="1"/>
        <v>5</v>
      </c>
      <c r="J19" s="1878">
        <f t="shared" si="2"/>
        <v>0</v>
      </c>
    </row>
    <row r="20" spans="1:12" ht="12" customHeight="1" x14ac:dyDescent="0.2">
      <c r="A20" s="1863" t="s">
        <v>1528</v>
      </c>
      <c r="B20" s="1864"/>
      <c r="C20" s="1944"/>
      <c r="D20" s="1944"/>
      <c r="E20" s="1945"/>
      <c r="F20" s="1946"/>
      <c r="H20" s="1878">
        <f t="shared" si="0"/>
        <v>0</v>
      </c>
      <c r="I20" s="1878">
        <f t="shared" si="1"/>
        <v>0</v>
      </c>
      <c r="J20" s="1878">
        <f t="shared" si="2"/>
        <v>0</v>
      </c>
    </row>
    <row r="21" spans="1:12" ht="12" customHeight="1" x14ac:dyDescent="0.2">
      <c r="A21" s="1863" t="s">
        <v>1529</v>
      </c>
      <c r="B21" s="1864"/>
      <c r="C21" s="1944"/>
      <c r="D21" s="1944"/>
      <c r="E21" s="1945"/>
      <c r="F21" s="1946"/>
      <c r="H21" s="1878">
        <f t="shared" si="0"/>
        <v>0</v>
      </c>
      <c r="I21" s="1878">
        <f t="shared" si="1"/>
        <v>0</v>
      </c>
      <c r="J21" s="1878">
        <f t="shared" si="2"/>
        <v>0</v>
      </c>
    </row>
    <row r="22" spans="1:12" ht="12" customHeight="1" x14ac:dyDescent="0.2">
      <c r="A22" s="1863" t="s">
        <v>1530</v>
      </c>
      <c r="B22" s="1864"/>
      <c r="C22" s="1944"/>
      <c r="D22" s="1944"/>
      <c r="E22" s="1945"/>
      <c r="F22" s="1946"/>
      <c r="H22" s="1878">
        <f t="shared" si="0"/>
        <v>0</v>
      </c>
      <c r="I22" s="1878">
        <f t="shared" si="1"/>
        <v>0</v>
      </c>
      <c r="J22" s="1878">
        <f t="shared" si="2"/>
        <v>0</v>
      </c>
    </row>
    <row r="23" spans="1:12" ht="12" customHeight="1" x14ac:dyDescent="0.2">
      <c r="A23" s="1863" t="s">
        <v>1531</v>
      </c>
      <c r="B23" s="1864"/>
      <c r="C23" s="1944"/>
      <c r="D23" s="1944"/>
      <c r="E23" s="1945"/>
      <c r="F23" s="1946"/>
      <c r="H23" s="1878">
        <f t="shared" si="0"/>
        <v>0</v>
      </c>
      <c r="I23" s="1878">
        <f t="shared" si="1"/>
        <v>0</v>
      </c>
      <c r="J23" s="1878">
        <f t="shared" si="2"/>
        <v>0</v>
      </c>
    </row>
    <row r="24" spans="1:12" ht="12" customHeight="1" x14ac:dyDescent="0.2">
      <c r="A24" s="1863" t="s">
        <v>1532</v>
      </c>
      <c r="B24" s="1864"/>
      <c r="C24" s="1944"/>
      <c r="D24" s="1944"/>
      <c r="E24" s="1945"/>
      <c r="F24" s="1946"/>
      <c r="H24" s="1878">
        <f t="shared" si="0"/>
        <v>0</v>
      </c>
      <c r="I24" s="1878">
        <f t="shared" si="1"/>
        <v>0</v>
      </c>
      <c r="J24" s="1878">
        <f t="shared" si="2"/>
        <v>0</v>
      </c>
    </row>
    <row r="25" spans="1:12" ht="12" customHeight="1" x14ac:dyDescent="0.2">
      <c r="A25" s="1863" t="s">
        <v>1533</v>
      </c>
      <c r="B25" s="1864"/>
      <c r="C25" s="1944"/>
      <c r="D25" s="1944"/>
      <c r="E25" s="1945"/>
      <c r="F25" s="1946"/>
      <c r="H25" s="1878">
        <f t="shared" si="0"/>
        <v>0</v>
      </c>
      <c r="I25" s="1878">
        <f t="shared" si="1"/>
        <v>0</v>
      </c>
      <c r="J25" s="1878">
        <f t="shared" si="2"/>
        <v>0</v>
      </c>
    </row>
    <row r="26" spans="1:12" ht="12" customHeight="1" x14ac:dyDescent="0.2">
      <c r="A26" s="1863" t="s">
        <v>1534</v>
      </c>
      <c r="B26" s="1864"/>
      <c r="C26" s="1944" t="s">
        <v>2070</v>
      </c>
      <c r="D26" s="1944" t="s">
        <v>2070</v>
      </c>
      <c r="E26" s="1945"/>
      <c r="F26" s="1946" t="s">
        <v>2091</v>
      </c>
      <c r="H26" s="1878">
        <f t="shared" si="0"/>
        <v>5</v>
      </c>
      <c r="I26" s="1878">
        <f t="shared" si="1"/>
        <v>5</v>
      </c>
      <c r="J26" s="1878">
        <f t="shared" si="2"/>
        <v>0</v>
      </c>
    </row>
    <row r="27" spans="1:12" ht="18.75" x14ac:dyDescent="0.2">
      <c r="A27" s="1863" t="s">
        <v>1535</v>
      </c>
      <c r="B27" s="1864"/>
      <c r="C27" s="1944"/>
      <c r="D27" s="1944"/>
      <c r="E27" s="1945"/>
      <c r="F27" s="1946"/>
      <c r="H27" s="1878">
        <f t="shared" si="0"/>
        <v>0</v>
      </c>
      <c r="I27" s="1878">
        <f t="shared" si="1"/>
        <v>0</v>
      </c>
      <c r="J27" s="1878">
        <f t="shared" si="2"/>
        <v>0</v>
      </c>
    </row>
    <row r="28" spans="1:12" ht="12" customHeight="1" x14ac:dyDescent="0.2">
      <c r="A28" s="1863" t="s">
        <v>1536</v>
      </c>
      <c r="B28" s="1864"/>
      <c r="C28" s="1944" t="s">
        <v>2070</v>
      </c>
      <c r="D28" s="1944" t="s">
        <v>2070</v>
      </c>
      <c r="E28" s="1945"/>
      <c r="F28" s="1946"/>
      <c r="H28" s="1878">
        <f t="shared" si="0"/>
        <v>5</v>
      </c>
      <c r="I28" s="1878">
        <f t="shared" si="1"/>
        <v>5</v>
      </c>
      <c r="J28" s="1878">
        <f t="shared" si="2"/>
        <v>0</v>
      </c>
    </row>
    <row r="29" spans="1:12" ht="12" customHeight="1" x14ac:dyDescent="0.2">
      <c r="A29" s="1863" t="s">
        <v>1537</v>
      </c>
      <c r="B29" s="1864"/>
      <c r="C29" s="1944"/>
      <c r="D29" s="1944"/>
      <c r="E29" s="1945"/>
      <c r="F29" s="1946"/>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20</v>
      </c>
      <c r="I34" s="1878">
        <f>SUM(I11:I32)</f>
        <v>20</v>
      </c>
      <c r="J34" s="1878">
        <f>SUM(J11:J32)</f>
        <v>0</v>
      </c>
      <c r="K34" s="1878">
        <f>SUM(H34:J34)</f>
        <v>40</v>
      </c>
    </row>
    <row r="35" spans="1:11" ht="12" customHeight="1" x14ac:dyDescent="0.2">
      <c r="A35" s="1871" t="s">
        <v>1392</v>
      </c>
      <c r="B35" s="1872"/>
      <c r="C35" s="2306"/>
      <c r="D35" s="2306"/>
      <c r="E35" s="2306"/>
      <c r="F35" s="2307"/>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11"/>
      <c r="B38" s="2312"/>
      <c r="C38" s="2312"/>
      <c r="D38" s="2312"/>
      <c r="E38" s="2312"/>
      <c r="F38" s="2313"/>
    </row>
    <row r="39" spans="1:11" ht="4.5" hidden="1" customHeight="1" x14ac:dyDescent="0.2">
      <c r="A39" s="1873"/>
      <c r="B39" s="1873"/>
      <c r="C39" s="1873"/>
      <c r="D39" s="1873"/>
      <c r="E39" s="1873"/>
      <c r="F39" s="1873"/>
    </row>
    <row r="40" spans="1:11" s="1870" customFormat="1" ht="12" customHeight="1" x14ac:dyDescent="0.25">
      <c r="A40" s="1874" t="s">
        <v>1391</v>
      </c>
      <c r="B40" s="1875"/>
      <c r="C40" s="2314"/>
      <c r="D40" s="2314"/>
      <c r="E40" s="2314"/>
      <c r="F40" s="2315"/>
      <c r="H40" s="1879"/>
      <c r="I40" s="1879"/>
      <c r="J40" s="1879"/>
      <c r="K40" s="1879"/>
    </row>
    <row r="41" spans="1:11" s="1870" customFormat="1" ht="12" customHeight="1" x14ac:dyDescent="0.25">
      <c r="A41" s="2316" t="s">
        <v>2139</v>
      </c>
      <c r="B41" s="2317"/>
      <c r="C41" s="2317"/>
      <c r="D41" s="2317"/>
      <c r="E41" s="2317"/>
      <c r="F41" s="2318"/>
      <c r="H41" s="1879"/>
      <c r="I41" s="1879"/>
      <c r="J41" s="1879"/>
      <c r="K41" s="1879"/>
    </row>
    <row r="42" spans="1:11" s="1870" customFormat="1" ht="12" customHeight="1" x14ac:dyDescent="0.25">
      <c r="A42" s="2316" t="s">
        <v>2140</v>
      </c>
      <c r="B42" s="2317"/>
      <c r="C42" s="2317"/>
      <c r="D42" s="2317"/>
      <c r="E42" s="2317"/>
      <c r="F42" s="2318"/>
      <c r="H42" s="1879"/>
      <c r="I42" s="1879"/>
      <c r="J42" s="1879"/>
      <c r="K42" s="1879"/>
    </row>
    <row r="43" spans="1:11" s="1870" customFormat="1" ht="15" x14ac:dyDescent="0.25">
      <c r="A43" s="2319" t="s">
        <v>2141</v>
      </c>
      <c r="B43" s="2320"/>
      <c r="C43" s="2320"/>
      <c r="D43" s="2320"/>
      <c r="E43" s="2320"/>
      <c r="F43" s="2321"/>
      <c r="H43" s="1879"/>
      <c r="I43" s="1879"/>
      <c r="J43" s="1879"/>
      <c r="K43" s="1879"/>
    </row>
    <row r="44" spans="1:11" s="1870" customFormat="1" ht="12" hidden="1" customHeight="1" x14ac:dyDescent="0.25">
      <c r="A44" s="2308"/>
      <c r="B44" s="2309"/>
      <c r="C44" s="2309"/>
      <c r="D44" s="2309"/>
      <c r="E44" s="2309"/>
      <c r="F44" s="2310"/>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7" t="str">
        <f>COVER!A17</f>
        <v>LaSalle Putnam Alliance</v>
      </c>
      <c r="J6" s="2328"/>
      <c r="Q6" s="1664"/>
    </row>
    <row r="7" spans="1:17" x14ac:dyDescent="0.2">
      <c r="A7" s="2329" t="s">
        <v>869</v>
      </c>
      <c r="B7" s="2330"/>
      <c r="C7" s="2330"/>
      <c r="D7" s="2330"/>
      <c r="E7" s="2331"/>
      <c r="F7" s="1017"/>
      <c r="G7" s="1009"/>
      <c r="H7" s="1016" t="s">
        <v>372</v>
      </c>
      <c r="I7" s="2332">
        <f>COVER!A13</f>
        <v>35050000061</v>
      </c>
      <c r="J7" s="2332"/>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1974</v>
      </c>
      <c r="F9" s="1023"/>
      <c r="G9" s="1023"/>
      <c r="H9" s="1896" t="s">
        <v>1975</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3" t="s">
        <v>481</v>
      </c>
      <c r="B11" s="2334"/>
      <c r="C11" s="2335"/>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574648</v>
      </c>
      <c r="F12" s="1039"/>
      <c r="G12" s="1811">
        <f t="shared" ref="G12:G18" si="0">SUM(E12:F12)</f>
        <v>574648</v>
      </c>
      <c r="H12" s="1040"/>
      <c r="I12" s="1039"/>
      <c r="J12" s="1811">
        <f t="shared" ref="J12:J18" si="1">SUM(H12:I12)</f>
        <v>0</v>
      </c>
    </row>
    <row r="13" spans="1:17" ht="15" customHeight="1" x14ac:dyDescent="0.2">
      <c r="A13" s="1035">
        <v>2</v>
      </c>
      <c r="B13" s="1036" t="s">
        <v>42</v>
      </c>
      <c r="C13" s="1037"/>
      <c r="D13" s="1038">
        <v>2330</v>
      </c>
      <c r="E13" s="1811">
        <f>'Expenditures 15-22'!K51</f>
        <v>199598</v>
      </c>
      <c r="F13" s="1039"/>
      <c r="G13" s="1811">
        <f t="shared" si="0"/>
        <v>199598</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6" t="s">
        <v>7</v>
      </c>
      <c r="C18" s="2337"/>
      <c r="D18" s="2338"/>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774246</v>
      </c>
      <c r="F19" s="1813">
        <f t="shared" si="2"/>
        <v>0</v>
      </c>
      <c r="G19" s="1813">
        <f t="shared" si="2"/>
        <v>774246</v>
      </c>
      <c r="H19" s="1813">
        <f t="shared" si="2"/>
        <v>0</v>
      </c>
      <c r="I19" s="1813">
        <f t="shared" si="2"/>
        <v>0</v>
      </c>
      <c r="J19" s="1813">
        <f t="shared" si="2"/>
        <v>0</v>
      </c>
    </row>
    <row r="20" spans="1:10" ht="13.5" thickTop="1" x14ac:dyDescent="0.2">
      <c r="A20" s="1035">
        <v>9</v>
      </c>
      <c r="B20" s="2339" t="s">
        <v>1976</v>
      </c>
      <c r="C20" s="2339"/>
      <c r="D20" s="2340"/>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1977</v>
      </c>
      <c r="B23" s="1047"/>
    </row>
    <row r="24" spans="1:10" x14ac:dyDescent="0.2">
      <c r="A24" s="1011" t="s">
        <v>1990</v>
      </c>
      <c r="B24" s="1047"/>
    </row>
    <row r="25" spans="1:10" x14ac:dyDescent="0.2">
      <c r="A25" s="1049"/>
      <c r="B25" s="1047"/>
    </row>
    <row r="26" spans="1:10" ht="20.100000000000001" customHeight="1" x14ac:dyDescent="0.2">
      <c r="B26" s="1047"/>
      <c r="C26" s="2345"/>
      <c r="D26" s="2345"/>
      <c r="E26" s="1050"/>
      <c r="F26" s="2344"/>
      <c r="G26" s="2344"/>
    </row>
    <row r="27" spans="1:10" x14ac:dyDescent="0.2">
      <c r="B27" s="1047"/>
      <c r="C27" s="1051" t="s">
        <v>1033</v>
      </c>
      <c r="D27" s="1052"/>
      <c r="E27" s="1053"/>
      <c r="F27" s="2341" t="s">
        <v>1509</v>
      </c>
      <c r="G27" s="2341"/>
    </row>
    <row r="28" spans="1:10" ht="28.5" customHeight="1" x14ac:dyDescent="0.2">
      <c r="B28" s="1047"/>
      <c r="C28" s="2343"/>
      <c r="D28" s="2343"/>
      <c r="E28" s="1054"/>
      <c r="F28" s="2343"/>
      <c r="G28" s="2343"/>
    </row>
    <row r="29" spans="1:10" x14ac:dyDescent="0.2">
      <c r="B29" s="1047"/>
      <c r="C29" s="1055" t="s">
        <v>1561</v>
      </c>
      <c r="E29" s="1056"/>
      <c r="F29" s="2342" t="s">
        <v>1510</v>
      </c>
      <c r="G29" s="2342"/>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4" t="s">
        <v>132</v>
      </c>
      <c r="D33" s="2325"/>
      <c r="E33" s="2325"/>
      <c r="F33" s="2325"/>
      <c r="G33" s="2325"/>
      <c r="H33" s="2325"/>
      <c r="I33" s="2325"/>
    </row>
    <row r="34" spans="1:10" ht="10.35" customHeight="1" x14ac:dyDescent="0.2">
      <c r="C34" s="2325"/>
      <c r="D34" s="2325"/>
      <c r="E34" s="2325"/>
      <c r="F34" s="2325"/>
      <c r="G34" s="2325"/>
      <c r="H34" s="2325"/>
      <c r="I34" s="2325"/>
    </row>
    <row r="35" spans="1:10" ht="7.5" customHeight="1" x14ac:dyDescent="0.2">
      <c r="C35" s="1062"/>
    </row>
    <row r="36" spans="1:10" ht="13.5" customHeight="1" x14ac:dyDescent="0.2">
      <c r="B36" s="1061"/>
      <c r="C36" s="2326" t="s">
        <v>1978</v>
      </c>
      <c r="D36" s="2325"/>
      <c r="E36" s="2325"/>
      <c r="F36" s="2325"/>
      <c r="G36" s="2325"/>
      <c r="H36" s="2325"/>
      <c r="I36" s="2325"/>
      <c r="J36" s="1063"/>
    </row>
    <row r="37" spans="1:10" ht="22.5" customHeight="1" x14ac:dyDescent="0.2">
      <c r="C37" s="2325"/>
      <c r="D37" s="2325"/>
      <c r="E37" s="2325"/>
      <c r="F37" s="2325"/>
      <c r="G37" s="2325"/>
      <c r="H37" s="2325"/>
      <c r="I37" s="2325"/>
      <c r="J37" s="1063"/>
    </row>
    <row r="38" spans="1:10" ht="7.5" customHeight="1" x14ac:dyDescent="0.2">
      <c r="C38" s="1062"/>
      <c r="D38" s="1064"/>
      <c r="E38" s="1065"/>
      <c r="F38" s="1066"/>
      <c r="G38" s="1065"/>
    </row>
    <row r="39" spans="1:10" ht="13.5" customHeight="1" x14ac:dyDescent="0.2">
      <c r="B39" s="1061"/>
      <c r="C39" s="2322" t="s">
        <v>882</v>
      </c>
      <c r="D39" s="2323"/>
      <c r="E39" s="2323"/>
      <c r="F39" s="2323"/>
      <c r="G39" s="2323"/>
      <c r="H39" s="2323"/>
      <c r="I39" s="2323"/>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B7" sqref="B7"/>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2092</v>
      </c>
    </row>
    <row r="6" spans="1:2" x14ac:dyDescent="0.2">
      <c r="A6" s="1068">
        <v>2</v>
      </c>
      <c r="B6" s="329" t="s">
        <v>2093</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LaSalle Putnam Alliance</v>
      </c>
    </row>
    <row r="65" spans="2:2" x14ac:dyDescent="0.2">
      <c r="B65" s="1070">
        <f>COVER!A13</f>
        <v>35050000061</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21:F28"/>
  <sheetViews>
    <sheetView showGridLines="0" zoomScale="110" zoomScaleNormal="110" workbookViewId="0">
      <selection activeCell="B13" sqref="B13"/>
    </sheetView>
  </sheetViews>
  <sheetFormatPr defaultRowHeight="12.75" x14ac:dyDescent="0.2"/>
  <cols>
    <col min="1" max="1" width="1.85546875" style="329" customWidth="1"/>
    <col min="2" max="2" width="59.7109375" style="329" customWidth="1"/>
    <col min="3" max="16384" width="9.140625" style="329"/>
  </cols>
  <sheetData>
    <row r="21" spans="1:6" x14ac:dyDescent="0.2">
      <c r="B21" s="1071"/>
      <c r="C21" s="1071"/>
      <c r="D21" s="1071"/>
      <c r="E21" s="1071"/>
      <c r="F21" s="1071"/>
    </row>
    <row r="23" spans="1:6" x14ac:dyDescent="0.2">
      <c r="A23" s="1072" t="s">
        <v>1493</v>
      </c>
    </row>
    <row r="25" spans="1:6" x14ac:dyDescent="0.2">
      <c r="A25" s="389" t="s">
        <v>857</v>
      </c>
    </row>
    <row r="26" spans="1:6" s="1071" customFormat="1" ht="45" customHeight="1" x14ac:dyDescent="0.2">
      <c r="A26" s="1073"/>
      <c r="B26" s="1073" t="s">
        <v>1684</v>
      </c>
    </row>
    <row r="27" spans="1:6" ht="6" customHeight="1" x14ac:dyDescent="0.2"/>
    <row r="28" spans="1:6" ht="24.75" customHeight="1" x14ac:dyDescent="0.2">
      <c r="A28" s="2346" t="s">
        <v>1685</v>
      </c>
      <c r="B28" s="2346"/>
    </row>
  </sheetData>
  <sheetProtection selectLockedCells="1"/>
  <mergeCells count="1">
    <mergeCell ref="A28:B2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Exch.Document.DC"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Exch.Document.DC" dvAspect="DVASPECT_ICON" shapeId="50177" r:id="rId4"/>
      </mc:Fallback>
    </mc:AlternateContent>
    <mc:AlternateContent xmlns:mc="http://schemas.openxmlformats.org/markup-compatibility/2006">
      <mc:Choice Requires="x14">
        <oleObject progId="AcroExch.Document.DC" dvAspect="DVASPECT_ICON" shapeId="50178" r:id="rId6">
          <objectPr defaultSize="0" r:id="rId5">
            <anchor moveWithCells="1">
              <from>
                <xdr:col>1</xdr:col>
                <xdr:colOff>0</xdr:colOff>
                <xdr:row>6</xdr:row>
                <xdr:rowOff>0</xdr:rowOff>
              </from>
              <to>
                <xdr:col>1</xdr:col>
                <xdr:colOff>914400</xdr:colOff>
                <xdr:row>10</xdr:row>
                <xdr:rowOff>38100</xdr:rowOff>
              </to>
            </anchor>
          </objectPr>
        </oleObject>
      </mc:Choice>
      <mc:Fallback>
        <oleObject progId="AcroExch.Document.DC" dvAspect="DVASPECT_ICON" shapeId="50178" r:id="rId6"/>
      </mc:Fallback>
    </mc:AlternateContent>
    <mc:AlternateContent xmlns:mc="http://schemas.openxmlformats.org/markup-compatibility/2006">
      <mc:Choice Requires="x14">
        <oleObject progId="AcroExch.Document.DC" dvAspect="DVASPECT_ICON" shapeId="50179" r:id="rId7">
          <objectPr defaultSize="0" r:id="rId5">
            <anchor moveWithCells="1">
              <from>
                <xdr:col>1</xdr:col>
                <xdr:colOff>0</xdr:colOff>
                <xdr:row>11</xdr:row>
                <xdr:rowOff>0</xdr:rowOff>
              </from>
              <to>
                <xdr:col>1</xdr:col>
                <xdr:colOff>914400</xdr:colOff>
                <xdr:row>15</xdr:row>
                <xdr:rowOff>38100</xdr:rowOff>
              </to>
            </anchor>
          </objectPr>
        </oleObject>
      </mc:Choice>
      <mc:Fallback>
        <oleObject progId="AcroExch.Document.DC" dvAspect="DVASPECT_ICON" shapeId="50179" r:id="rId7"/>
      </mc:Fallback>
    </mc:AlternateContent>
    <mc:AlternateContent xmlns:mc="http://schemas.openxmlformats.org/markup-compatibility/2006">
      <mc:Choice Requires="x14">
        <oleObject progId="AcroExch.Document.DC" dvAspect="DVASPECT_ICON" shapeId="50180" r:id="rId8">
          <objectPr defaultSize="0" r:id="rId9">
            <anchor moveWithCells="1">
              <from>
                <xdr:col>1</xdr:col>
                <xdr:colOff>0</xdr:colOff>
                <xdr:row>16</xdr:row>
                <xdr:rowOff>0</xdr:rowOff>
              </from>
              <to>
                <xdr:col>1</xdr:col>
                <xdr:colOff>914400</xdr:colOff>
                <xdr:row>20</xdr:row>
                <xdr:rowOff>38100</xdr:rowOff>
              </to>
            </anchor>
          </objectPr>
        </oleObject>
      </mc:Choice>
      <mc:Fallback>
        <oleObject progId="AcroExch.Document.DC" dvAspect="DVASPECT_ICON" shapeId="50180"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7" t="s">
        <v>1690</v>
      </c>
      <c r="B1" s="2348"/>
      <c r="C1" s="2348"/>
      <c r="D1" s="2348"/>
      <c r="E1" s="2348"/>
      <c r="F1" s="2349"/>
    </row>
    <row r="2" spans="1:8" ht="45" customHeight="1" x14ac:dyDescent="0.2">
      <c r="A2" s="2357" t="s">
        <v>1982</v>
      </c>
      <c r="B2" s="2358"/>
      <c r="C2" s="2358"/>
      <c r="D2" s="2358"/>
      <c r="E2" s="2358"/>
      <c r="F2" s="2359"/>
      <c r="G2" s="1074"/>
      <c r="H2" s="1074"/>
    </row>
    <row r="3" spans="1:8" ht="57" customHeight="1" x14ac:dyDescent="0.2">
      <c r="A3" s="2360" t="s">
        <v>1686</v>
      </c>
      <c r="B3" s="2361"/>
      <c r="C3" s="2361"/>
      <c r="D3" s="2361"/>
      <c r="E3" s="2361"/>
      <c r="F3" s="2362"/>
      <c r="G3" s="1074"/>
      <c r="H3" s="1074"/>
    </row>
    <row r="4" spans="1:8" ht="14.25" customHeight="1" x14ac:dyDescent="0.2">
      <c r="A4" s="2366" t="s">
        <v>1983</v>
      </c>
      <c r="B4" s="2367"/>
      <c r="C4" s="2367"/>
      <c r="D4" s="2367"/>
      <c r="E4" s="2367"/>
      <c r="F4" s="2368"/>
      <c r="G4" s="1074"/>
      <c r="H4" s="1074"/>
    </row>
    <row r="5" spans="1:8" ht="14.25" customHeight="1" x14ac:dyDescent="0.2">
      <c r="A5" s="2369" t="s">
        <v>1979</v>
      </c>
      <c r="B5" s="2370"/>
      <c r="C5" s="2370"/>
      <c r="D5" s="2370"/>
      <c r="E5" s="2370"/>
      <c r="F5" s="2371"/>
      <c r="G5" s="1074"/>
      <c r="H5" s="1074"/>
    </row>
    <row r="6" spans="1:8" s="1075" customFormat="1" ht="41.25" customHeight="1" x14ac:dyDescent="0.2">
      <c r="A6" s="2363" t="s">
        <v>1691</v>
      </c>
      <c r="B6" s="2364"/>
      <c r="C6" s="2364"/>
      <c r="D6" s="2364"/>
      <c r="E6" s="2364"/>
      <c r="F6" s="2365"/>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9755544</v>
      </c>
      <c r="C8" s="1815">
        <f>'Acct Summary 7-8'!D8</f>
        <v>0</v>
      </c>
      <c r="D8" s="1815">
        <f>'Acct Summary 7-8'!F8</f>
        <v>0</v>
      </c>
      <c r="E8" s="1815">
        <f>'Acct Summary 7-8'!I8</f>
        <v>0</v>
      </c>
      <c r="F8" s="1815">
        <f>SUM(B8:E8)</f>
        <v>9755544</v>
      </c>
    </row>
    <row r="9" spans="1:8" s="1079" customFormat="1" ht="14.25" customHeight="1" thickBot="1" x14ac:dyDescent="0.25">
      <c r="A9" s="1078" t="s">
        <v>1369</v>
      </c>
      <c r="B9" s="1816">
        <f>'Acct Summary 7-8'!C17</f>
        <v>9587325</v>
      </c>
      <c r="C9" s="1816">
        <f>'Acct Summary 7-8'!D17</f>
        <v>0</v>
      </c>
      <c r="D9" s="1816">
        <f>'Acct Summary 7-8'!F17</f>
        <v>0</v>
      </c>
      <c r="E9" s="1815"/>
      <c r="F9" s="1815">
        <f>SUM(B9:E9)</f>
        <v>9587325</v>
      </c>
    </row>
    <row r="10" spans="1:8" s="1079" customFormat="1" ht="14.25" thickTop="1" thickBot="1" x14ac:dyDescent="0.25">
      <c r="A10" s="1080" t="s">
        <v>1370</v>
      </c>
      <c r="B10" s="1817">
        <f>(B8-B9)</f>
        <v>168219</v>
      </c>
      <c r="C10" s="1817">
        <f>(C8-C9)</f>
        <v>0</v>
      </c>
      <c r="D10" s="1817">
        <f>(D8-D9)</f>
        <v>0</v>
      </c>
      <c r="E10" s="1816">
        <f>(E8-E9)</f>
        <v>0</v>
      </c>
      <c r="F10" s="1818">
        <f>SUM(F8-F9)</f>
        <v>168219</v>
      </c>
    </row>
    <row r="11" spans="1:8" s="1079" customFormat="1" ht="14.25" thickTop="1" thickBot="1" x14ac:dyDescent="0.25">
      <c r="A11" s="1081" t="s">
        <v>1980</v>
      </c>
      <c r="B11" s="1819">
        <f>'Acct Summary 7-8'!C81</f>
        <v>1130990</v>
      </c>
      <c r="C11" s="1819">
        <f>'Acct Summary 7-8'!D81</f>
        <v>0</v>
      </c>
      <c r="D11" s="1819">
        <f>'Acct Summary 7-8'!F81</f>
        <v>0</v>
      </c>
      <c r="E11" s="1819">
        <f>'Acct Summary 7-8'!I81</f>
        <v>0</v>
      </c>
      <c r="F11" s="1820">
        <f>SUM(B11:E11)</f>
        <v>1130990</v>
      </c>
    </row>
    <row r="12" spans="1:8" ht="16.5" customHeight="1" thickTop="1" x14ac:dyDescent="0.2">
      <c r="A12" s="1082"/>
      <c r="B12" s="1083"/>
      <c r="C12" s="2351" t="str">
        <f>IF(AND(F10&lt;0,F11&gt;=0,ABS(F10*3)&gt;ABS(F11)),A16,IF(AND(F10&lt;0,F11&gt;0,ABS(F10*3)&lt;=ABS(F11)),A17,IF(AND(F10&lt;0,F11&lt;0),A16,IF(F11=0,A19,A18))))</f>
        <v>Balanced - no deficit reduction plan is required.</v>
      </c>
      <c r="D12" s="2352"/>
      <c r="E12" s="2352"/>
      <c r="F12" s="2353"/>
    </row>
    <row r="13" spans="1:8" ht="19.5" customHeight="1" x14ac:dyDescent="0.2">
      <c r="A13" s="1084"/>
      <c r="B13" s="1085"/>
      <c r="C13" s="2351"/>
      <c r="D13" s="2352"/>
      <c r="E13" s="2352"/>
      <c r="F13" s="2353"/>
      <c r="H13" s="1074"/>
    </row>
    <row r="14" spans="1:8" ht="19.5" customHeight="1" x14ac:dyDescent="0.2">
      <c r="A14" s="1084"/>
      <c r="B14" s="1085"/>
      <c r="C14" s="2351"/>
      <c r="D14" s="2352"/>
      <c r="E14" s="2352"/>
      <c r="F14" s="2353"/>
      <c r="H14" s="1074"/>
    </row>
    <row r="15" spans="1:8" ht="17.25" customHeight="1" x14ac:dyDescent="0.2">
      <c r="A15" s="1084"/>
      <c r="B15" s="1085"/>
      <c r="C15" s="2354"/>
      <c r="D15" s="2355"/>
      <c r="E15" s="2355"/>
      <c r="F15" s="2356"/>
      <c r="H15" s="1074"/>
    </row>
    <row r="16" spans="1:8" s="310" customFormat="1" ht="51.75" hidden="1" customHeight="1" x14ac:dyDescent="0.2">
      <c r="A16" s="2350" t="s">
        <v>1687</v>
      </c>
      <c r="B16" s="2350"/>
      <c r="C16" s="2350"/>
      <c r="D16" s="2350"/>
      <c r="E16" s="2350"/>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10"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72" t="s">
        <v>665</v>
      </c>
      <c r="B3" s="2373"/>
      <c r="C3" s="2373"/>
      <c r="D3" s="2374"/>
    </row>
    <row r="4" spans="1:4" x14ac:dyDescent="0.2">
      <c r="A4" s="1152" t="s">
        <v>1692</v>
      </c>
      <c r="B4" s="1153"/>
      <c r="C4" s="1154"/>
      <c r="D4" s="1155"/>
    </row>
    <row r="5" spans="1:4" ht="21" customHeight="1" x14ac:dyDescent="0.2">
      <c r="A5" s="1148"/>
      <c r="B5" s="1149">
        <v>1</v>
      </c>
      <c r="C5" s="1150" t="s">
        <v>1832</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3" t="s">
        <v>1504</v>
      </c>
      <c r="D7" s="2384"/>
    </row>
    <row r="8" spans="1:4" s="668" customFormat="1" ht="12.75" x14ac:dyDescent="0.2">
      <c r="A8" s="1138"/>
      <c r="B8" s="1093"/>
      <c r="C8" s="1096" t="s">
        <v>1503</v>
      </c>
      <c r="D8" s="1097"/>
    </row>
    <row r="9" spans="1:4" s="668" customFormat="1" ht="14.25" customHeight="1" x14ac:dyDescent="0.2">
      <c r="A9" s="1138"/>
      <c r="B9" s="1093">
        <f>B7+1</f>
        <v>4</v>
      </c>
      <c r="C9" s="1094" t="s">
        <v>1909</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75" t="s">
        <v>1008</v>
      </c>
      <c r="B15" s="2376"/>
      <c r="C15" s="2376"/>
      <c r="D15" s="2377"/>
    </row>
    <row r="16" spans="1:4" s="668" customFormat="1" ht="24" customHeight="1" x14ac:dyDescent="0.2">
      <c r="A16" s="2378" t="s">
        <v>663</v>
      </c>
      <c r="B16" s="2379"/>
      <c r="C16" s="2379"/>
      <c r="D16" s="2380"/>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7" t="s">
        <v>314</v>
      </c>
      <c r="D21" s="2388"/>
    </row>
    <row r="22" spans="1:10" ht="12.75" x14ac:dyDescent="0.2">
      <c r="A22" s="1139"/>
      <c r="B22" s="1140">
        <v>2</v>
      </c>
      <c r="C22" s="2385" t="s">
        <v>1524</v>
      </c>
      <c r="D22" s="2386"/>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9" t="s">
        <v>536</v>
      </c>
      <c r="D43" s="2390"/>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1" t="s">
        <v>784</v>
      </c>
      <c r="D56" s="2382"/>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1910</v>
      </c>
      <c r="D66" s="1125"/>
    </row>
    <row r="67" spans="1:4" x14ac:dyDescent="0.2">
      <c r="A67" s="1119"/>
      <c r="B67" s="1140"/>
      <c r="C67" s="1147" t="s">
        <v>1021</v>
      </c>
      <c r="D67" s="1125"/>
    </row>
    <row r="68" spans="1:4" x14ac:dyDescent="0.2">
      <c r="A68" s="1100"/>
      <c r="B68" s="1110"/>
      <c r="C68" s="1102" t="s">
        <v>1911</v>
      </c>
      <c r="D68" s="1124" t="str">
        <f>IF('Short-Term Long-Term Debt 24'!F49=SUM(,'Acct Summary 7-8'!C33:K33),"OK","ERROR!")</f>
        <v>OK</v>
      </c>
    </row>
    <row r="69" spans="1:4" x14ac:dyDescent="0.2">
      <c r="A69" s="1100"/>
      <c r="B69" s="1110"/>
      <c r="C69" s="1102" t="s">
        <v>1912</v>
      </c>
      <c r="D69" s="1124" t="str">
        <f>IF('Expenditures 15-22'!H170&lt;&gt;'Short-Term Long-Term Debt 24'!H49,"ERROR!","OK")</f>
        <v>OK</v>
      </c>
    </row>
    <row r="70" spans="1:4" x14ac:dyDescent="0.2">
      <c r="A70" s="1098"/>
      <c r="B70" s="1120">
        <f>B66+1</f>
        <v>9</v>
      </c>
      <c r="C70" s="2381" t="s">
        <v>1696</v>
      </c>
      <c r="D70" s="2382"/>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1913</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1914</v>
      </c>
      <c r="D78" s="1124" t="str">
        <f>IF(ISNUMBER('Acct Summary 7-8'!C9),"OK","ENTRY IS REQUIRED!")</f>
        <v>OK</v>
      </c>
    </row>
    <row r="79" spans="1:4" x14ac:dyDescent="0.2">
      <c r="A79" s="1119"/>
      <c r="B79" s="1120">
        <f>B74+1+1</f>
        <v>12</v>
      </c>
      <c r="C79" s="1130" t="s">
        <v>1899</v>
      </c>
      <c r="D79" s="1131" t="str">
        <f>IF(OR(COVER!$B$6="X",'PCTC-OEPP 27-28'!F78&gt;0),"OK","PLEASE ENTER 9 MO ADA.")</f>
        <v>OK</v>
      </c>
    </row>
    <row r="80" spans="1:4" x14ac:dyDescent="0.2">
      <c r="A80" s="1098"/>
      <c r="B80" s="1120">
        <v>13</v>
      </c>
      <c r="C80" s="1130" t="s">
        <v>1915</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35050000061</v>
      </c>
    </row>
    <row r="3" spans="1:2" x14ac:dyDescent="0.2">
      <c r="A3" t="s">
        <v>956</v>
      </c>
      <c r="B3" s="138" t="str">
        <f>COVER!A15</f>
        <v>LaSalle</v>
      </c>
    </row>
    <row r="4" spans="1:2" x14ac:dyDescent="0.2">
      <c r="A4" t="s">
        <v>1007</v>
      </c>
      <c r="B4" s="138" t="str">
        <f>COVER!A17</f>
        <v>LaSalle Putnam Alliance</v>
      </c>
    </row>
    <row r="5" spans="1:2" x14ac:dyDescent="0.2">
      <c r="A5" t="s">
        <v>704</v>
      </c>
      <c r="B5" s="138" t="str">
        <f>COVER!A38</f>
        <v>Mary Jane Chapman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f>COVER!B5</f>
        <v>0</v>
      </c>
    </row>
    <row r="11" spans="1:2" x14ac:dyDescent="0.2">
      <c r="A11" t="s">
        <v>977</v>
      </c>
      <c r="B11" s="138" t="str">
        <f>COVER!B6</f>
        <v>x</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No</v>
      </c>
    </row>
    <row r="15" spans="1:2" x14ac:dyDescent="0.2">
      <c r="A15" t="s">
        <v>577</v>
      </c>
      <c r="B15" s="138" t="str">
        <f>COVER!T23</f>
        <v>066-005100</v>
      </c>
    </row>
    <row r="16" spans="1:2" x14ac:dyDescent="0.2">
      <c r="A16" t="s">
        <v>422</v>
      </c>
      <c r="B16" s="138" t="str">
        <f>COVER!T13</f>
        <v>Mack &amp; Associates, P.C.</v>
      </c>
    </row>
    <row r="17" spans="1:2" x14ac:dyDescent="0.2">
      <c r="A17" t="s">
        <v>884</v>
      </c>
      <c r="B17" s="138" t="str">
        <f>COVER!T15</f>
        <v>Tawnya Mack, CPA</v>
      </c>
    </row>
    <row r="18" spans="1:2" x14ac:dyDescent="0.2">
      <c r="A18" t="s">
        <v>1150</v>
      </c>
      <c r="B18" s="138" t="str">
        <f>COVER!T17</f>
        <v>116 E. Washington St., Suite One</v>
      </c>
    </row>
    <row r="19" spans="1:2" x14ac:dyDescent="0.2">
      <c r="A19" t="s">
        <v>886</v>
      </c>
      <c r="B19" s="138" t="str">
        <f>COVER!T25</f>
        <v>tmack@mackcpas.com</v>
      </c>
    </row>
    <row r="20" spans="1:2" x14ac:dyDescent="0.2">
      <c r="A20" t="s">
        <v>887</v>
      </c>
      <c r="B20" s="138" t="str">
        <f>COVER!T19</f>
        <v>Morris</v>
      </c>
    </row>
    <row r="21" spans="1:2" x14ac:dyDescent="0.2">
      <c r="A21" t="s">
        <v>479</v>
      </c>
      <c r="B21" s="138" t="str">
        <f>COVER!X19</f>
        <v>IL</v>
      </c>
    </row>
    <row r="22" spans="1:2" x14ac:dyDescent="0.2">
      <c r="A22" t="s">
        <v>888</v>
      </c>
      <c r="B22" s="138">
        <f>COVER!Z19</f>
        <v>60450</v>
      </c>
    </row>
    <row r="23" spans="1:2" x14ac:dyDescent="0.2">
      <c r="A23" t="s">
        <v>1152</v>
      </c>
      <c r="B23" s="138" t="str">
        <f>COVER!T21</f>
        <v>815-942-3306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1428650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1428650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10283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297660</v>
      </c>
      <c r="C91" s="2" t="s">
        <v>573</v>
      </c>
      <c r="D91" s="2" t="str">
        <f t="shared" si="0"/>
        <v>Error?</v>
      </c>
    </row>
    <row r="92" spans="1:4" x14ac:dyDescent="0.2">
      <c r="A92" s="5">
        <v>31</v>
      </c>
      <c r="B92" s="138">
        <f>'Assets-Liab 5-6'!C39</f>
        <v>1130990</v>
      </c>
      <c r="D92" s="2" t="str">
        <f t="shared" si="0"/>
        <v>Error?</v>
      </c>
    </row>
    <row r="93" spans="1:4" x14ac:dyDescent="0.2">
      <c r="A93" s="5">
        <v>32</v>
      </c>
      <c r="B93" s="138">
        <f>'Assets-Liab 5-6'!C41</f>
        <v>1428650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35000</v>
      </c>
      <c r="D273" s="2" t="str">
        <f t="shared" si="3"/>
        <v>Error?</v>
      </c>
    </row>
    <row r="274" spans="1:4" x14ac:dyDescent="0.2">
      <c r="A274" s="5">
        <v>213</v>
      </c>
      <c r="B274" s="138">
        <f>'Assets-Liab 5-6'!M17</f>
        <v>2311384</v>
      </c>
      <c r="D274" s="2" t="str">
        <f t="shared" si="3"/>
        <v>Error?</v>
      </c>
    </row>
    <row r="275" spans="1:4" x14ac:dyDescent="0.2">
      <c r="A275" s="5">
        <v>214</v>
      </c>
      <c r="B275" s="138">
        <f>'Assets-Liab 5-6'!M18</f>
        <v>0</v>
      </c>
      <c r="D275" s="2" t="str">
        <f t="shared" si="3"/>
        <v>Error?</v>
      </c>
    </row>
    <row r="276" spans="1:4" x14ac:dyDescent="0.2">
      <c r="A276" s="5">
        <v>215</v>
      </c>
      <c r="B276" s="138">
        <f>'Assets-Liab 5-6'!M19</f>
        <v>424311</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2770695</v>
      </c>
      <c r="C279" s="2" t="s">
        <v>573</v>
      </c>
      <c r="D279" s="2" t="str">
        <f t="shared" si="3"/>
        <v>Error?</v>
      </c>
    </row>
    <row r="280" spans="1:4" x14ac:dyDescent="0.2">
      <c r="A280" s="5">
        <v>219</v>
      </c>
      <c r="B280" s="138">
        <f>'Assets-Liab 5-6'!M40</f>
        <v>2770695</v>
      </c>
      <c r="D280" s="2" t="str">
        <f t="shared" si="3"/>
        <v>Error?</v>
      </c>
    </row>
    <row r="281" spans="1:4" x14ac:dyDescent="0.2">
      <c r="A281" s="5">
        <v>220</v>
      </c>
      <c r="B281" s="138">
        <f>'Assets-Liab 5-6'!M41</f>
        <v>2770695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837197</v>
      </c>
      <c r="C720" s="2" t="s">
        <v>573</v>
      </c>
      <c r="D720" s="2" t="str">
        <f t="shared" si="10"/>
        <v>Error?</v>
      </c>
    </row>
    <row r="721" spans="1:4" x14ac:dyDescent="0.2">
      <c r="A721" s="5">
        <v>660</v>
      </c>
      <c r="B721" s="138">
        <f>'Expenditures 15-22'!C36</f>
        <v>152693</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66562</v>
      </c>
      <c r="D724" s="2" t="str">
        <f t="shared" si="10"/>
        <v>Error?</v>
      </c>
    </row>
    <row r="725" spans="1:4" x14ac:dyDescent="0.2">
      <c r="A725" s="5">
        <v>664</v>
      </c>
      <c r="B725" s="138">
        <f>'Expenditures 15-22'!C40</f>
        <v>900637</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1119892</v>
      </c>
      <c r="C727" s="2" t="s">
        <v>573</v>
      </c>
      <c r="D727" s="2" t="str">
        <f t="shared" si="10"/>
        <v>Error?</v>
      </c>
    </row>
    <row r="728" spans="1:4" x14ac:dyDescent="0.2">
      <c r="A728" s="5">
        <v>667</v>
      </c>
      <c r="B728" s="138">
        <f>'Expenditures 15-22'!C44</f>
        <v>544802</v>
      </c>
      <c r="D728" s="2" t="str">
        <f t="shared" si="10"/>
        <v>Error?</v>
      </c>
    </row>
    <row r="729" spans="1:4" x14ac:dyDescent="0.2">
      <c r="A729" s="5">
        <v>668</v>
      </c>
      <c r="B729" s="138">
        <f>'Expenditures 15-22'!C45</f>
        <v>0</v>
      </c>
      <c r="D729" s="2" t="str">
        <f t="shared" si="10"/>
        <v>Error?</v>
      </c>
    </row>
    <row r="730" spans="1:4" x14ac:dyDescent="0.2">
      <c r="A730" s="5">
        <v>669</v>
      </c>
      <c r="B730" s="138">
        <f>'Expenditures 15-22'!C46</f>
        <v>118846</v>
      </c>
      <c r="D730" s="2" t="str">
        <f t="shared" si="10"/>
        <v>Error?</v>
      </c>
    </row>
    <row r="731" spans="1:4" x14ac:dyDescent="0.2">
      <c r="A731" s="5">
        <v>670</v>
      </c>
      <c r="B731" s="138">
        <f>'Expenditures 15-22'!C47</f>
        <v>663648</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323918</v>
      </c>
      <c r="D733" s="2" t="str">
        <f t="shared" si="10"/>
        <v>Error?</v>
      </c>
    </row>
    <row r="734" spans="1:4" x14ac:dyDescent="0.2">
      <c r="A734" s="5">
        <v>673</v>
      </c>
      <c r="B734" s="138">
        <f>'Expenditures 15-22'!C53</f>
        <v>444717</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56907</v>
      </c>
      <c r="D739" s="2" t="str">
        <f t="shared" si="10"/>
        <v>Error?</v>
      </c>
    </row>
    <row r="740" spans="1:4" x14ac:dyDescent="0.2">
      <c r="A740" s="5">
        <v>679</v>
      </c>
      <c r="B740" s="138">
        <f>'Expenditures 15-22'!C61</f>
        <v>112868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169775</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70766</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23644</v>
      </c>
      <c r="D751" s="2" t="str">
        <f t="shared" si="10"/>
        <v>Error?</v>
      </c>
    </row>
    <row r="752" spans="1:4" x14ac:dyDescent="0.2">
      <c r="A752" s="10">
        <v>691</v>
      </c>
      <c r="D752" s="2" t="str">
        <f t="shared" si="10"/>
        <v>OK</v>
      </c>
    </row>
    <row r="753" spans="1:4" x14ac:dyDescent="0.2">
      <c r="A753" s="5">
        <v>692</v>
      </c>
      <c r="B753" s="138">
        <f>'Expenditures 15-22'!C72</f>
        <v>94410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2492442</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3329639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349520</v>
      </c>
      <c r="C778" s="2" t="s">
        <v>573</v>
      </c>
      <c r="D778" s="2" t="str">
        <f t="shared" si="11"/>
        <v>Error?</v>
      </c>
    </row>
    <row r="779" spans="1:4" x14ac:dyDescent="0.2">
      <c r="A779" s="5">
        <v>718</v>
      </c>
      <c r="B779" s="138">
        <f>'Expenditures 15-22'!D36</f>
        <v>45402</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25400</v>
      </c>
      <c r="D782" s="2" t="str">
        <f t="shared" si="11"/>
        <v>Error?</v>
      </c>
    </row>
    <row r="783" spans="1:4" x14ac:dyDescent="0.2">
      <c r="A783" s="5">
        <v>722</v>
      </c>
      <c r="B783" s="138">
        <f>'Expenditures 15-22'!D40</f>
        <v>328177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398979</v>
      </c>
      <c r="C785" s="2" t="s">
        <v>573</v>
      </c>
      <c r="D785" s="2" t="str">
        <f t="shared" si="11"/>
        <v>Error?</v>
      </c>
    </row>
    <row r="786" spans="1:4" x14ac:dyDescent="0.2">
      <c r="A786" s="5">
        <v>725</v>
      </c>
      <c r="B786" s="138">
        <f>'Expenditures 15-22'!D44</f>
        <v>199019</v>
      </c>
      <c r="D786" s="2" t="str">
        <f t="shared" si="11"/>
        <v>Error?</v>
      </c>
    </row>
    <row r="787" spans="1:4" x14ac:dyDescent="0.2">
      <c r="A787" s="5">
        <v>726</v>
      </c>
      <c r="B787" s="138">
        <f>'Expenditures 15-22'!D45</f>
        <v>0</v>
      </c>
      <c r="D787" s="2" t="str">
        <f t="shared" si="11"/>
        <v>Error?</v>
      </c>
    </row>
    <row r="788" spans="1:4" x14ac:dyDescent="0.2">
      <c r="A788" s="5">
        <v>727</v>
      </c>
      <c r="B788" s="138">
        <f>'Expenditures 15-22'!D46</f>
        <v>49645</v>
      </c>
      <c r="D788" s="2" t="str">
        <f t="shared" si="11"/>
        <v>Error?</v>
      </c>
    </row>
    <row r="789" spans="1:4" x14ac:dyDescent="0.2">
      <c r="A789" s="5">
        <v>728</v>
      </c>
      <c r="B789" s="138">
        <f>'Expenditures 15-22'!D47</f>
        <v>248664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112087</v>
      </c>
      <c r="D791" s="2" t="str">
        <f t="shared" si="11"/>
        <v>Error?</v>
      </c>
    </row>
    <row r="792" spans="1:4" x14ac:dyDescent="0.2">
      <c r="A792" s="5">
        <v>731</v>
      </c>
      <c r="B792" s="138">
        <f>'Expenditures 15-22'!D53</f>
        <v>159345</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25477</v>
      </c>
      <c r="D797" s="2" t="str">
        <f t="shared" si="11"/>
        <v>Error?</v>
      </c>
    </row>
    <row r="798" spans="1:4" x14ac:dyDescent="0.2">
      <c r="A798" s="5">
        <v>737</v>
      </c>
      <c r="B798" s="138">
        <f>'Expenditures 15-22'!D61</f>
        <v>47807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73284</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39415</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4631</v>
      </c>
      <c r="D809" s="2" t="str">
        <f t="shared" si="11"/>
        <v>Error?</v>
      </c>
    </row>
    <row r="810" spans="1:4" x14ac:dyDescent="0.2">
      <c r="A810" s="10">
        <v>749</v>
      </c>
      <c r="D810" s="2" t="str">
        <f t="shared" si="11"/>
        <v>OK</v>
      </c>
    </row>
    <row r="811" spans="1:4" x14ac:dyDescent="0.2">
      <c r="A811" s="5">
        <v>750</v>
      </c>
      <c r="B811" s="138">
        <f>'Expenditures 15-22'!D72</f>
        <v>44046</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924318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1273838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53762</v>
      </c>
      <c r="C836" s="2" t="s">
        <v>573</v>
      </c>
      <c r="D836" s="2" t="str">
        <f t="shared" si="12"/>
        <v>Error?</v>
      </c>
    </row>
    <row r="837" spans="1:4" x14ac:dyDescent="0.2">
      <c r="A837" s="5">
        <v>776</v>
      </c>
      <c r="B837" s="138">
        <f>'Expenditures 15-22'!E36</f>
        <v>1417</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14574</v>
      </c>
      <c r="D840" s="2" t="str">
        <f t="shared" si="12"/>
        <v>Error?</v>
      </c>
    </row>
    <row r="841" spans="1:4" x14ac:dyDescent="0.2">
      <c r="A841" s="5">
        <v>780</v>
      </c>
      <c r="B841" s="138">
        <f>'Expenditures 15-22'!E40</f>
        <v>31244</v>
      </c>
      <c r="D841" s="2" t="str">
        <f t="shared" si="12"/>
        <v>Error?</v>
      </c>
    </row>
    <row r="842" spans="1:4" x14ac:dyDescent="0.2">
      <c r="A842" s="5">
        <v>781</v>
      </c>
      <c r="B842" s="138">
        <f>'Expenditures 15-22'!E41</f>
        <v>78</v>
      </c>
      <c r="D842" s="2" t="str">
        <f t="shared" si="12"/>
        <v>Error?</v>
      </c>
    </row>
    <row r="843" spans="1:4" x14ac:dyDescent="0.2">
      <c r="A843" s="5">
        <v>782</v>
      </c>
      <c r="B843" s="138">
        <f>'Expenditures 15-22'!E42</f>
        <v>47313</v>
      </c>
      <c r="C843" s="2" t="s">
        <v>573</v>
      </c>
      <c r="D843" s="2" t="str">
        <f t="shared" si="12"/>
        <v>Error?</v>
      </c>
    </row>
    <row r="844" spans="1:4" x14ac:dyDescent="0.2">
      <c r="A844" s="5">
        <v>783</v>
      </c>
      <c r="B844" s="138">
        <f>'Expenditures 15-22'!E44</f>
        <v>34998</v>
      </c>
      <c r="D844" s="2" t="str">
        <f t="shared" si="12"/>
        <v>Error?</v>
      </c>
    </row>
    <row r="845" spans="1:4" x14ac:dyDescent="0.2">
      <c r="A845" s="5">
        <v>784</v>
      </c>
      <c r="B845" s="138">
        <f>'Expenditures 15-22'!E45</f>
        <v>0</v>
      </c>
      <c r="D845" s="2" t="str">
        <f t="shared" si="12"/>
        <v>Error?</v>
      </c>
    </row>
    <row r="846" spans="1:4" x14ac:dyDescent="0.2">
      <c r="A846" s="5">
        <v>785</v>
      </c>
      <c r="B846" s="138">
        <f>'Expenditures 15-22'!E46</f>
        <v>3485</v>
      </c>
      <c r="D846" s="2" t="str">
        <f t="shared" si="12"/>
        <v>Error?</v>
      </c>
    </row>
    <row r="847" spans="1:4" x14ac:dyDescent="0.2">
      <c r="A847" s="5">
        <v>786</v>
      </c>
      <c r="B847" s="138">
        <f>'Expenditures 15-22'!E47</f>
        <v>38483</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136877</v>
      </c>
      <c r="D849" s="2" t="str">
        <f t="shared" si="12"/>
        <v>Error?</v>
      </c>
    </row>
    <row r="850" spans="1:4" x14ac:dyDescent="0.2">
      <c r="A850" s="5">
        <v>789</v>
      </c>
      <c r="B850" s="138">
        <f>'Expenditures 15-22'!E53</f>
        <v>163395</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6283</v>
      </c>
      <c r="D855" s="2" t="str">
        <f t="shared" si="12"/>
        <v>Error?</v>
      </c>
    </row>
    <row r="856" spans="1:4" x14ac:dyDescent="0.2">
      <c r="A856" s="5">
        <v>795</v>
      </c>
      <c r="B856" s="138">
        <f>'Expenditures 15-22'!E61</f>
        <v>55062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34427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95772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4594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39738</v>
      </c>
      <c r="D867" s="2" t="str">
        <f t="shared" si="12"/>
        <v>Error?</v>
      </c>
    </row>
    <row r="868" spans="1:4" x14ac:dyDescent="0.2">
      <c r="A868" s="10">
        <v>807</v>
      </c>
      <c r="D868" s="2" t="str">
        <f t="shared" si="12"/>
        <v>OK</v>
      </c>
    </row>
    <row r="869" spans="1:4" x14ac:dyDescent="0.2">
      <c r="A869" s="5">
        <v>808</v>
      </c>
      <c r="B869" s="138">
        <f>'Expenditures 15-22'!E72</f>
        <v>44332</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389295</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443057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17200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1479</v>
      </c>
      <c r="D898" s="2" t="str">
        <f t="shared" si="13"/>
        <v>Error?</v>
      </c>
    </row>
    <row r="899" spans="1:4" x14ac:dyDescent="0.2">
      <c r="A899" s="5">
        <v>838</v>
      </c>
      <c r="B899" s="138">
        <f>'Expenditures 15-22'!F40</f>
        <v>9615</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11094</v>
      </c>
      <c r="C901" s="2" t="s">
        <v>573</v>
      </c>
      <c r="D901" s="2" t="str">
        <f t="shared" si="13"/>
        <v>Error?</v>
      </c>
    </row>
    <row r="902" spans="1:4" x14ac:dyDescent="0.2">
      <c r="A902" s="5">
        <v>841</v>
      </c>
      <c r="B902" s="138">
        <f>'Expenditures 15-22'!F44</f>
        <v>9563</v>
      </c>
      <c r="D902" s="2" t="str">
        <f t="shared" si="13"/>
        <v>Error?</v>
      </c>
    </row>
    <row r="903" spans="1:4" x14ac:dyDescent="0.2">
      <c r="A903" s="5">
        <v>842</v>
      </c>
      <c r="B903" s="138">
        <f>'Expenditures 15-22'!F45</f>
        <v>0</v>
      </c>
      <c r="D903" s="2" t="str">
        <f t="shared" si="13"/>
        <v>Error?</v>
      </c>
    </row>
    <row r="904" spans="1:4" x14ac:dyDescent="0.2">
      <c r="A904" s="5">
        <v>843</v>
      </c>
      <c r="B904" s="138">
        <f>'Expenditures 15-22'!F46</f>
        <v>315</v>
      </c>
      <c r="D904" s="2" t="str">
        <f t="shared" si="13"/>
        <v>Error?</v>
      </c>
    </row>
    <row r="905" spans="1:4" x14ac:dyDescent="0.2">
      <c r="A905" s="5">
        <v>844</v>
      </c>
      <c r="B905" s="138">
        <f>'Expenditures 15-22'!F47</f>
        <v>9878</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617</v>
      </c>
      <c r="D907" s="2" t="str">
        <f t="shared" si="13"/>
        <v>Error?</v>
      </c>
    </row>
    <row r="908" spans="1:4" x14ac:dyDescent="0.2">
      <c r="A908" s="5">
        <v>847</v>
      </c>
      <c r="B908" s="138">
        <f>'Expenditures 15-22'!F53</f>
        <v>2518</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42</v>
      </c>
      <c r="D913" s="2" t="str">
        <f t="shared" si="13"/>
        <v>Error?</v>
      </c>
    </row>
    <row r="914" spans="1:4" x14ac:dyDescent="0.2">
      <c r="A914" s="5">
        <v>853</v>
      </c>
      <c r="B914" s="138">
        <f>'Expenditures 15-22'!F61</f>
        <v>51953</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9331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61326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129</v>
      </c>
      <c r="D922" s="2" t="str">
        <f t="shared" si="13"/>
        <v>Error?</v>
      </c>
    </row>
    <row r="923" spans="1:4" x14ac:dyDescent="0.2">
      <c r="A923" s="5">
        <v>862</v>
      </c>
      <c r="B923" s="138">
        <f>'Expenditures 15-22'!F70</f>
        <v>162</v>
      </c>
      <c r="D923" s="2" t="str">
        <f t="shared" si="13"/>
        <v>Error?</v>
      </c>
    </row>
    <row r="924" spans="1:4" x14ac:dyDescent="0.2">
      <c r="A924" s="10">
        <v>863</v>
      </c>
      <c r="D924" s="2" t="str">
        <f t="shared" si="13"/>
        <v>OK</v>
      </c>
    </row>
    <row r="925" spans="1:4" x14ac:dyDescent="0.2">
      <c r="A925" s="5">
        <v>864</v>
      </c>
      <c r="B925" s="138">
        <f>'Expenditures 15-22'!F71</f>
        <v>4582</v>
      </c>
      <c r="D925" s="2" t="str">
        <f t="shared" si="13"/>
        <v>Error?</v>
      </c>
    </row>
    <row r="926" spans="1:4" x14ac:dyDescent="0.2">
      <c r="A926" s="10">
        <v>865</v>
      </c>
      <c r="D926" s="2" t="str">
        <f t="shared" si="13"/>
        <v>OK</v>
      </c>
    </row>
    <row r="927" spans="1:4" x14ac:dyDescent="0.2">
      <c r="A927" s="5">
        <v>866</v>
      </c>
      <c r="B927" s="138">
        <f>'Expenditures 15-22'!F72</f>
        <v>4873</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89689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106889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10641</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10641</v>
      </c>
      <c r="C959" s="2" t="s">
        <v>573</v>
      </c>
      <c r="D959" s="2" t="str">
        <f t="shared" ref="D959:D1022" si="14">IF(ISBLANK(B959),"OK",IF(A959-B959=0,"OK","Error?"))</f>
        <v>Error?</v>
      </c>
    </row>
    <row r="960" spans="1:4" x14ac:dyDescent="0.2">
      <c r="A960" s="5">
        <v>899</v>
      </c>
      <c r="B960" s="138">
        <f>'Expenditures 15-22'!G44</f>
        <v>2500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2500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10886</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10886</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14907</v>
      </c>
      <c r="D983" s="2" t="str">
        <f t="shared" si="14"/>
        <v>Error?</v>
      </c>
    </row>
    <row r="984" spans="1:4" x14ac:dyDescent="0.2">
      <c r="A984" s="10">
        <v>923</v>
      </c>
      <c r="D984" s="2" t="str">
        <f t="shared" si="14"/>
        <v>OK</v>
      </c>
    </row>
    <row r="985" spans="1:4" x14ac:dyDescent="0.2">
      <c r="A985" s="5">
        <v>924</v>
      </c>
      <c r="B985" s="138">
        <f>'Expenditures 15-22'!G72</f>
        <v>14907</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38934</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38934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13121</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13121</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1149</v>
      </c>
      <c r="D1023" s="2" t="str">
        <f t="shared" ref="D1023:D1086" si="15">IF(ISBLANK(B1023),"OK",IF(A1023-B1023=0,"OK","Error?"))</f>
        <v>Error?</v>
      </c>
    </row>
    <row r="1024" spans="1:4" x14ac:dyDescent="0.2">
      <c r="A1024" s="5">
        <v>963</v>
      </c>
      <c r="B1024" s="138">
        <f>'Expenditures 15-22'!H53</f>
        <v>4271</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17392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4377576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4394968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1257679</v>
      </c>
      <c r="C1108" s="2" t="s">
        <v>573</v>
      </c>
      <c r="D1108" s="2" t="str">
        <f t="shared" si="16"/>
        <v>Error?</v>
      </c>
    </row>
    <row r="1109" spans="1:4" x14ac:dyDescent="0.2">
      <c r="A1109" s="5">
        <v>1048</v>
      </c>
      <c r="B1109" s="138">
        <f>'Expenditures 15-22'!K36</f>
        <v>199512</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108015</v>
      </c>
      <c r="C1112" s="2" t="s">
        <v>573</v>
      </c>
      <c r="D1112" s="2" t="str">
        <f t="shared" si="16"/>
        <v>Error?</v>
      </c>
    </row>
    <row r="1113" spans="1:4" x14ac:dyDescent="0.2">
      <c r="A1113" s="5">
        <v>1052</v>
      </c>
      <c r="B1113" s="138">
        <f>'Expenditures 15-22'!K40</f>
        <v>1280314</v>
      </c>
      <c r="C1113" s="2" t="s">
        <v>573</v>
      </c>
      <c r="D1113" s="2" t="str">
        <f t="shared" si="16"/>
        <v>Error?</v>
      </c>
    </row>
    <row r="1114" spans="1:4" x14ac:dyDescent="0.2">
      <c r="A1114" s="5">
        <v>1053</v>
      </c>
      <c r="B1114" s="138">
        <f>'Expenditures 15-22'!K41</f>
        <v>78</v>
      </c>
      <c r="C1114" s="2" t="s">
        <v>573</v>
      </c>
      <c r="D1114" s="2" t="str">
        <f t="shared" si="16"/>
        <v>Error?</v>
      </c>
    </row>
    <row r="1115" spans="1:4" x14ac:dyDescent="0.2">
      <c r="A1115" s="5">
        <v>1054</v>
      </c>
      <c r="B1115" s="138">
        <f>'Expenditures 15-22'!K42</f>
        <v>1587919</v>
      </c>
      <c r="C1115" s="2" t="s">
        <v>573</v>
      </c>
      <c r="D1115" s="2" t="str">
        <f t="shared" si="16"/>
        <v>Error?</v>
      </c>
    </row>
    <row r="1116" spans="1:4" x14ac:dyDescent="0.2">
      <c r="A1116" s="5">
        <v>1055</v>
      </c>
      <c r="B1116" s="138">
        <f>'Expenditures 15-22'!K44</f>
        <v>804003</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172291</v>
      </c>
      <c r="C1118" s="2" t="s">
        <v>573</v>
      </c>
      <c r="D1118" s="2" t="str">
        <f t="shared" si="16"/>
        <v>Error?</v>
      </c>
    </row>
    <row r="1119" spans="1:4" x14ac:dyDescent="0.2">
      <c r="A1119" s="5">
        <v>1058</v>
      </c>
      <c r="B1119" s="138">
        <f>'Expenditures 15-22'!K47</f>
        <v>976294</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574648</v>
      </c>
      <c r="C1121" s="2" t="s">
        <v>573</v>
      </c>
      <c r="D1121" s="2" t="str">
        <f t="shared" si="16"/>
        <v>Error?</v>
      </c>
    </row>
    <row r="1122" spans="1:4" x14ac:dyDescent="0.2">
      <c r="A1122" s="5">
        <v>1061</v>
      </c>
      <c r="B1122" s="138">
        <f>'Expenditures 15-22'!K53</f>
        <v>774246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88709</v>
      </c>
      <c r="C1127" s="2" t="s">
        <v>573</v>
      </c>
      <c r="D1127" s="2" t="str">
        <f t="shared" si="16"/>
        <v>Error?</v>
      </c>
    </row>
    <row r="1128" spans="1:4" x14ac:dyDescent="0.2">
      <c r="A1128" s="5">
        <v>1067</v>
      </c>
      <c r="B1128" s="138">
        <f>'Expenditures 15-22'!K61</f>
        <v>278576</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43758</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411043</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114904</v>
      </c>
      <c r="C1136" s="2" t="s">
        <v>573</v>
      </c>
      <c r="D1136" s="2" t="str">
        <f t="shared" si="16"/>
        <v>Error?</v>
      </c>
    </row>
    <row r="1137" spans="1:4" x14ac:dyDescent="0.2">
      <c r="A1137" s="5">
        <v>1076</v>
      </c>
      <c r="B1137" s="138">
        <f>'Expenditures 15-22'!K70</f>
        <v>162</v>
      </c>
      <c r="C1137" s="2" t="s">
        <v>573</v>
      </c>
      <c r="D1137" s="2" t="str">
        <f t="shared" si="16"/>
        <v>Error?</v>
      </c>
    </row>
    <row r="1138" spans="1:4" x14ac:dyDescent="0.2">
      <c r="A1138" s="10">
        <v>1077</v>
      </c>
      <c r="D1138" s="2" t="str">
        <f t="shared" si="16"/>
        <v>OK</v>
      </c>
    </row>
    <row r="1139" spans="1:4" x14ac:dyDescent="0.2">
      <c r="A1139" s="5">
        <v>1078</v>
      </c>
      <c r="B1139" s="138">
        <f>'Expenditures 15-22'!K71</f>
        <v>87502</v>
      </c>
      <c r="C1139" s="2" t="s">
        <v>573</v>
      </c>
      <c r="D1139" s="2" t="str">
        <f t="shared" si="16"/>
        <v>Error?</v>
      </c>
    </row>
    <row r="1140" spans="1:4" x14ac:dyDescent="0.2">
      <c r="A1140" s="10">
        <v>1079</v>
      </c>
      <c r="D1140" s="2" t="str">
        <f t="shared" si="16"/>
        <v>OK</v>
      </c>
    </row>
    <row r="1141" spans="1:4" x14ac:dyDescent="0.2">
      <c r="A1141" s="5">
        <v>1080</v>
      </c>
      <c r="B1141" s="138">
        <f>'Expenditures 15-22'!K72</f>
        <v>202568</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3952070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4377576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9587325</v>
      </c>
      <c r="C1152" s="2" t="s">
        <v>573</v>
      </c>
      <c r="D1152" s="2" t="str">
        <f t="shared" si="17"/>
        <v>Error?</v>
      </c>
    </row>
    <row r="1153" spans="1:4" x14ac:dyDescent="0.2">
      <c r="A1153" s="5">
        <v>1092</v>
      </c>
      <c r="B1153" s="138">
        <f>'Expenditures 15-22'!K115</f>
        <v>168219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960221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1130990</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35000</v>
      </c>
      <c r="D2008" s="2" t="str">
        <f t="shared" si="30"/>
        <v>Error?</v>
      </c>
    </row>
    <row r="2009" spans="1:4" x14ac:dyDescent="0.2">
      <c r="A2009" s="5">
        <v>1948</v>
      </c>
      <c r="B2009" s="138">
        <f>'Cap Outlay Deprec 26'!C8</f>
        <v>2311384</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301645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2762471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15949</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15949</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7725</v>
      </c>
      <c r="C2025" s="2" t="s">
        <v>573</v>
      </c>
      <c r="D2025" s="2" t="str">
        <f t="shared" si="30"/>
        <v>Error?</v>
      </c>
    </row>
    <row r="2026" spans="1:4" x14ac:dyDescent="0.2">
      <c r="A2026" s="5">
        <v>1965</v>
      </c>
      <c r="B2026" s="138">
        <f>'Cap Outlay Deprec 26'!F5</f>
        <v>35000</v>
      </c>
      <c r="C2026" s="2" t="s">
        <v>573</v>
      </c>
      <c r="D2026" s="2" t="str">
        <f t="shared" si="30"/>
        <v>Error?</v>
      </c>
    </row>
    <row r="2027" spans="1:4" x14ac:dyDescent="0.2">
      <c r="A2027" s="5">
        <v>1966</v>
      </c>
      <c r="B2027" s="138">
        <f>'Cap Outlay Deprec 26'!F8</f>
        <v>2311384</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317594</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2770695</v>
      </c>
      <c r="C2031" s="2" t="s">
        <v>573</v>
      </c>
      <c r="D2031" s="2" t="str">
        <f t="shared" si="30"/>
        <v>Error?</v>
      </c>
    </row>
    <row r="2032" spans="1:4" x14ac:dyDescent="0.2">
      <c r="A2032" s="10">
        <v>1971</v>
      </c>
      <c r="D2032" s="2" t="str">
        <f t="shared" si="30"/>
        <v>OK</v>
      </c>
    </row>
    <row r="2033" spans="1:4" x14ac:dyDescent="0.2">
      <c r="A2033" s="5">
        <v>1972</v>
      </c>
      <c r="B2033" s="138">
        <f>'Cap Outlay Deprec 26'!H8</f>
        <v>519536</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227411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861210</v>
      </c>
      <c r="C2037" s="2" t="s">
        <v>573</v>
      </c>
      <c r="D2037" s="2" t="str">
        <f t="shared" si="30"/>
        <v>Error?</v>
      </c>
    </row>
    <row r="2038" spans="1:4" x14ac:dyDescent="0.2">
      <c r="A2038" s="10">
        <v>1977</v>
      </c>
      <c r="D2038" s="2" t="str">
        <f t="shared" si="30"/>
        <v>OK</v>
      </c>
    </row>
    <row r="2039" spans="1:4" x14ac:dyDescent="0.2">
      <c r="A2039" s="5">
        <v>1978</v>
      </c>
      <c r="B2039" s="138">
        <f>'Cap Outlay Deprec 26'!I8</f>
        <v>51867</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30654</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82700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7725</v>
      </c>
      <c r="C2049" s="2" t="s">
        <v>573</v>
      </c>
      <c r="D2049" s="2" t="str">
        <f t="shared" si="31"/>
        <v>Error?</v>
      </c>
    </row>
    <row r="2050" spans="1:4" x14ac:dyDescent="0.2">
      <c r="A2050" s="10">
        <v>1989</v>
      </c>
      <c r="D2050" s="2" t="str">
        <f t="shared" si="31"/>
        <v>OK</v>
      </c>
    </row>
    <row r="2051" spans="1:4" x14ac:dyDescent="0.2">
      <c r="A2051" s="5">
        <v>1990</v>
      </c>
      <c r="B2051" s="138">
        <f>'Cap Outlay Deprec 26'!K8</f>
        <v>571403</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258065</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936185</v>
      </c>
      <c r="C2055" s="2" t="s">
        <v>573</v>
      </c>
      <c r="D2055" s="2" t="str">
        <f t="shared" si="31"/>
        <v>Error?</v>
      </c>
    </row>
    <row r="2056" spans="1:4" x14ac:dyDescent="0.2">
      <c r="A2056" s="5">
        <v>1995</v>
      </c>
      <c r="B2056" s="138">
        <f>'Cap Outlay Deprec 26'!L5</f>
        <v>35000</v>
      </c>
      <c r="C2056" s="2" t="s">
        <v>573</v>
      </c>
      <c r="D2056" s="2" t="str">
        <f t="shared" si="31"/>
        <v>Error?</v>
      </c>
    </row>
    <row r="2057" spans="1:4" x14ac:dyDescent="0.2">
      <c r="A2057" s="5">
        <v>1996</v>
      </c>
      <c r="B2057" s="138">
        <f>'Cap Outlay Deprec 26'!L8</f>
        <v>1739981</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59529</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1834510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4377576</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4377576</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4007370</v>
      </c>
      <c r="C2551" s="2" t="s">
        <v>573</v>
      </c>
      <c r="D2551" s="2" t="str">
        <f t="shared" si="38"/>
        <v>Error?</v>
      </c>
    </row>
    <row r="2552" spans="1:4" x14ac:dyDescent="0.2">
      <c r="A2552" s="10">
        <v>2491</v>
      </c>
      <c r="D2552" s="2" t="str">
        <f t="shared" si="38"/>
        <v>OK</v>
      </c>
    </row>
    <row r="2553" spans="1:4" x14ac:dyDescent="0.2">
      <c r="A2553" s="5">
        <v>2492</v>
      </c>
      <c r="B2553" s="138">
        <f>'Acct Summary 7-8'!C6</f>
        <v>395732</v>
      </c>
      <c r="C2553" s="2" t="s">
        <v>573</v>
      </c>
      <c r="D2553" s="2" t="str">
        <f t="shared" si="38"/>
        <v>Error?</v>
      </c>
    </row>
    <row r="2554" spans="1:4" x14ac:dyDescent="0.2">
      <c r="A2554" s="5">
        <v>2493</v>
      </c>
      <c r="B2554" s="138">
        <f>'Acct Summary 7-8'!C7</f>
        <v>4393128</v>
      </c>
      <c r="C2554" s="2" t="s">
        <v>573</v>
      </c>
      <c r="D2554" s="2" t="str">
        <f t="shared" si="38"/>
        <v>Error?</v>
      </c>
    </row>
    <row r="2555" spans="1:4" x14ac:dyDescent="0.2">
      <c r="A2555" s="5">
        <v>2494</v>
      </c>
      <c r="B2555" s="138">
        <f>'Acct Summary 7-8'!C8</f>
        <v>9755544</v>
      </c>
      <c r="C2555" s="2" t="s">
        <v>573</v>
      </c>
      <c r="D2555" s="2" t="str">
        <f t="shared" si="38"/>
        <v>Error?</v>
      </c>
    </row>
    <row r="2556" spans="1:4" x14ac:dyDescent="0.2">
      <c r="A2556" s="5">
        <v>2495</v>
      </c>
      <c r="B2556" s="138">
        <f>'Acct Summary 7-8'!C12</f>
        <v>1257679</v>
      </c>
      <c r="C2556" s="2" t="s">
        <v>573</v>
      </c>
      <c r="D2556" s="2" t="str">
        <f t="shared" si="38"/>
        <v>Error?</v>
      </c>
    </row>
    <row r="2557" spans="1:4" x14ac:dyDescent="0.2">
      <c r="A2557" s="5">
        <v>2496</v>
      </c>
      <c r="B2557" s="138">
        <f>'Acct Summary 7-8'!C13</f>
        <v>3952070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4377576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9587325</v>
      </c>
      <c r="C2561" s="2" t="s">
        <v>573</v>
      </c>
      <c r="D2561" s="2" t="str">
        <f t="shared" si="39"/>
        <v>Error?</v>
      </c>
    </row>
    <row r="2562" spans="1:4" x14ac:dyDescent="0.2">
      <c r="A2562" s="5">
        <v>2501</v>
      </c>
      <c r="B2562" s="138">
        <f>'Acct Summary 7-8'!C20</f>
        <v>168219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120799</v>
      </c>
      <c r="D2718" s="2" t="str">
        <f t="shared" si="41"/>
        <v>Error?</v>
      </c>
    </row>
    <row r="2719" spans="1:4" x14ac:dyDescent="0.2">
      <c r="A2719" s="5">
        <v>2658</v>
      </c>
      <c r="B2719" s="138">
        <f>'Expenditures 15-22'!D51</f>
        <v>47258</v>
      </c>
      <c r="D2719" s="2" t="str">
        <f t="shared" si="41"/>
        <v>Error?</v>
      </c>
    </row>
    <row r="2720" spans="1:4" x14ac:dyDescent="0.2">
      <c r="A2720" s="5">
        <v>2659</v>
      </c>
      <c r="B2720" s="138">
        <f>'Expenditures 15-22'!E51</f>
        <v>26518</v>
      </c>
      <c r="D2720" s="2" t="str">
        <f t="shared" si="41"/>
        <v>Error?</v>
      </c>
    </row>
    <row r="2721" spans="1:4" x14ac:dyDescent="0.2">
      <c r="A2721" s="5">
        <v>2660</v>
      </c>
      <c r="B2721" s="138">
        <f>'Expenditures 15-22'!F51</f>
        <v>1901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3122</v>
      </c>
      <c r="D2723" s="2" t="str">
        <f t="shared" si="41"/>
        <v>Error?</v>
      </c>
    </row>
    <row r="2724" spans="1:4" x14ac:dyDescent="0.2">
      <c r="A2724" s="5">
        <v>2663</v>
      </c>
      <c r="B2724" s="138">
        <f>'Expenditures 15-22'!K51</f>
        <v>199598</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3138</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3138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3138</v>
      </c>
      <c r="D2914" s="2" t="str">
        <f t="shared" si="44"/>
        <v>Error?</v>
      </c>
    </row>
    <row r="2915" spans="1:4" x14ac:dyDescent="0.2">
      <c r="A2915" s="10">
        <v>2854</v>
      </c>
      <c r="D2915" s="2" t="str">
        <f t="shared" si="44"/>
        <v>OK</v>
      </c>
    </row>
    <row r="2916" spans="1:4" x14ac:dyDescent="0.2">
      <c r="A2916" s="5">
        <v>2855</v>
      </c>
      <c r="B2916" s="138">
        <f>'Assets-Liab 5-6'!L34</f>
        <v>3138</v>
      </c>
      <c r="C2916" s="2" t="s">
        <v>573</v>
      </c>
      <c r="D2916" s="2" t="str">
        <f t="shared" si="44"/>
        <v>Error?</v>
      </c>
    </row>
    <row r="2917" spans="1:4" x14ac:dyDescent="0.2">
      <c r="A2917" s="5">
        <v>2856</v>
      </c>
      <c r="B2917" s="138">
        <f>'Assets-Liab 5-6'!L41</f>
        <v>3138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4377576</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4377576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2550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2550</v>
      </c>
      <c r="C3232" s="2" t="s">
        <v>573</v>
      </c>
      <c r="D3232" s="2" t="str">
        <f t="shared" si="49"/>
        <v>Error?</v>
      </c>
    </row>
    <row r="3233" spans="1:4" x14ac:dyDescent="0.2">
      <c r="A3233" s="5">
        <v>3172</v>
      </c>
      <c r="B3233" s="138">
        <f>'Acct Summary 7-8'!C78</f>
        <v>170769</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837197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349520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53762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17200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1257679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959314</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2550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41629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282911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10038455</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282911</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9870236</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1935</v>
      </c>
    </row>
    <row r="4236" spans="1:5" x14ac:dyDescent="0.2">
      <c r="A4236" s="10">
        <v>4175</v>
      </c>
      <c r="D4236" s="2" t="str">
        <f t="shared" si="65"/>
        <v>OK</v>
      </c>
      <c r="E4236" s="4" t="s">
        <v>1935</v>
      </c>
    </row>
    <row r="4237" spans="1:5" x14ac:dyDescent="0.2">
      <c r="A4237" s="10">
        <v>4176</v>
      </c>
      <c r="D4237" s="2" t="str">
        <f t="shared" si="65"/>
        <v>OK</v>
      </c>
      <c r="E4237" s="4" t="s">
        <v>1935</v>
      </c>
    </row>
    <row r="4238" spans="1:5" x14ac:dyDescent="0.2">
      <c r="A4238" s="10">
        <v>4177</v>
      </c>
      <c r="D4238" s="2" t="str">
        <f t="shared" si="65"/>
        <v>OK</v>
      </c>
      <c r="E4238" s="4" t="s">
        <v>1935</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1130990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19185</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29242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80652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1935</v>
      </c>
    </row>
    <row r="4400" spans="1:5" x14ac:dyDescent="0.2">
      <c r="A4400" s="10">
        <v>4339</v>
      </c>
      <c r="D4400" s="2" t="str">
        <f t="shared" si="67"/>
        <v>OK</v>
      </c>
      <c r="E4400" s="4" t="s">
        <v>1935</v>
      </c>
    </row>
    <row r="4401" spans="1:5" x14ac:dyDescent="0.2">
      <c r="A4401" s="10">
        <v>4340</v>
      </c>
      <c r="D4401" s="2" t="str">
        <f t="shared" si="67"/>
        <v>OK</v>
      </c>
      <c r="E4401" s="4" t="s">
        <v>1935</v>
      </c>
    </row>
    <row r="4402" spans="1:5" x14ac:dyDescent="0.2">
      <c r="A4402" s="10">
        <v>4341</v>
      </c>
      <c r="D4402" s="2" t="str">
        <f t="shared" si="67"/>
        <v>OK</v>
      </c>
      <c r="E4402" s="4" t="s">
        <v>1935</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2503643</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2503643</v>
      </c>
      <c r="C5087" s="2" t="s">
        <v>573</v>
      </c>
      <c r="D5087" s="2" t="str">
        <f t="shared" si="78"/>
        <v>Error?</v>
      </c>
    </row>
    <row r="5088" spans="1:4" x14ac:dyDescent="0.2">
      <c r="A5088" s="5">
        <v>5027</v>
      </c>
      <c r="B5088" s="138">
        <f>'Revenues 9-14'!C65</f>
        <v>11179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11179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33180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18790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1389984</v>
      </c>
      <c r="D5118" s="2" t="str">
        <f t="shared" si="78"/>
        <v>Error?</v>
      </c>
    </row>
    <row r="5119" spans="1:4" x14ac:dyDescent="0.2">
      <c r="A5119" s="5">
        <v>5058</v>
      </c>
      <c r="B5119" s="138">
        <f>'Revenues 9-14'!C107</f>
        <v>50594</v>
      </c>
      <c r="D5119" s="2" t="str">
        <f t="shared" ref="D5119:D5182" si="79">IF(ISBLANK(B5119),"OK",IF(A5119-B5119=0,"OK","Error?"))</f>
        <v>Error?</v>
      </c>
    </row>
    <row r="5120" spans="1:4" x14ac:dyDescent="0.2">
      <c r="A5120" s="5">
        <v>5059</v>
      </c>
      <c r="B5120" s="138">
        <f>'Revenues 9-14'!C108</f>
        <v>1492548</v>
      </c>
      <c r="C5120" s="2" t="s">
        <v>573</v>
      </c>
      <c r="D5120" s="2" t="str">
        <f t="shared" si="79"/>
        <v>Error?</v>
      </c>
    </row>
    <row r="5121" spans="1:4" x14ac:dyDescent="0.2">
      <c r="A5121" s="5">
        <v>5060</v>
      </c>
      <c r="B5121" s="138">
        <f>'Revenues 9-14'!C109</f>
        <v>4007370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959314</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959314</v>
      </c>
      <c r="C5125" s="2" t="s">
        <v>573</v>
      </c>
      <c r="D5125" s="2" t="str">
        <f t="shared" si="79"/>
        <v>Error?</v>
      </c>
    </row>
    <row r="5126" spans="1:4" x14ac:dyDescent="0.2">
      <c r="A5126" s="5">
        <v>5065</v>
      </c>
      <c r="B5126" s="138">
        <f>'Revenues 9-14'!C117</f>
        <v>375766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375766</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19185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781</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1935</v>
      </c>
    </row>
    <row r="5200" spans="1:5" x14ac:dyDescent="0.2">
      <c r="A5200" s="10">
        <v>5139</v>
      </c>
      <c r="D5200" s="2" t="str">
        <f t="shared" si="80"/>
        <v>OK</v>
      </c>
      <c r="E5200" s="4" t="s">
        <v>1935</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19966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395732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26627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15003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41630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1935</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151637</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4089967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4241604</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1935</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4393128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4393128</v>
      </c>
      <c r="C5326" s="2" t="s">
        <v>573</v>
      </c>
      <c r="D5326" s="2" t="str">
        <f t="shared" si="82"/>
        <v>Error?</v>
      </c>
    </row>
    <row r="5327" spans="1:5" x14ac:dyDescent="0.2">
      <c r="A5327" s="5">
        <v>5266</v>
      </c>
      <c r="B5327" s="138">
        <f>'Revenues 9-14'!C268</f>
        <v>9755544</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1935</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1935</v>
      </c>
    </row>
    <row r="5631" spans="1:5" x14ac:dyDescent="0.2">
      <c r="A5631" s="10">
        <v>5570</v>
      </c>
      <c r="D5631" s="2" t="str">
        <f t="shared" ref="D5631:D5694" si="87">IF(ISBLANK(B5631),"OK",IF(A5631-B5631=0,"OK","Error?"))</f>
        <v>OK</v>
      </c>
      <c r="E5631" s="4" t="s">
        <v>1935</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1935</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1935</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1935</v>
      </c>
    </row>
    <row r="5768" spans="1:5" x14ac:dyDescent="0.2">
      <c r="A5768" s="10">
        <v>5707</v>
      </c>
      <c r="D5768" s="2" t="str">
        <f t="shared" si="89"/>
        <v>OK</v>
      </c>
      <c r="E5768" s="4" t="s">
        <v>1935</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1935</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1935</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2582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287377</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170769</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0.15099072494009674</v>
      </c>
      <c r="D6276" s="2" t="str">
        <f t="shared" si="97"/>
        <v>Error?</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1934</v>
      </c>
    </row>
    <row r="6383" spans="1:6" x14ac:dyDescent="0.2">
      <c r="A6383" s="129">
        <v>6322</v>
      </c>
      <c r="D6383" s="2" t="str">
        <f t="shared" si="98"/>
        <v>OK</v>
      </c>
      <c r="E6383" s="2" t="s">
        <v>190</v>
      </c>
      <c r="F6383" s="1" t="s">
        <v>1934</v>
      </c>
    </row>
    <row r="6384" spans="1:6" x14ac:dyDescent="0.2">
      <c r="A6384" s="129">
        <v>6323</v>
      </c>
      <c r="D6384" s="2" t="str">
        <f t="shared" si="98"/>
        <v>OK</v>
      </c>
      <c r="E6384" s="2" t="s">
        <v>190</v>
      </c>
      <c r="F6384" s="1" t="s">
        <v>1934</v>
      </c>
    </row>
    <row r="6385" spans="1:6" x14ac:dyDescent="0.2">
      <c r="A6385" s="129">
        <v>6324</v>
      </c>
      <c r="D6385" s="2" t="str">
        <f t="shared" si="98"/>
        <v>OK</v>
      </c>
      <c r="E6385" s="2" t="s">
        <v>190</v>
      </c>
      <c r="F6385" s="1" t="s">
        <v>1934</v>
      </c>
    </row>
    <row r="6386" spans="1:6" x14ac:dyDescent="0.2">
      <c r="A6386" s="129">
        <v>6325</v>
      </c>
      <c r="D6386" s="2" t="str">
        <f t="shared" si="98"/>
        <v>OK</v>
      </c>
      <c r="E6386" s="2" t="s">
        <v>190</v>
      </c>
      <c r="F6386" s="1" t="s">
        <v>1934</v>
      </c>
    </row>
    <row r="6387" spans="1:6" x14ac:dyDescent="0.2">
      <c r="A6387" s="129">
        <v>6326</v>
      </c>
      <c r="D6387" s="2" t="str">
        <f t="shared" si="98"/>
        <v>OK</v>
      </c>
      <c r="E6387" s="2" t="s">
        <v>190</v>
      </c>
      <c r="F6387" s="1" t="s">
        <v>1934</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1934</v>
      </c>
    </row>
    <row r="6411" spans="1:6" x14ac:dyDescent="0.2">
      <c r="A6411" s="129">
        <v>6350</v>
      </c>
      <c r="D6411" s="2" t="str">
        <f t="shared" si="99"/>
        <v>OK</v>
      </c>
      <c r="E6411" s="2" t="s">
        <v>190</v>
      </c>
      <c r="F6411" s="1" t="s">
        <v>1934</v>
      </c>
    </row>
    <row r="6412" spans="1:6" x14ac:dyDescent="0.2">
      <c r="A6412" s="129">
        <v>6351</v>
      </c>
      <c r="D6412" s="2" t="str">
        <f t="shared" si="99"/>
        <v>OK</v>
      </c>
      <c r="E6412" s="2" t="s">
        <v>190</v>
      </c>
      <c r="F6412" s="1" t="s">
        <v>1934</v>
      </c>
    </row>
    <row r="6413" spans="1:6" x14ac:dyDescent="0.2">
      <c r="A6413" s="129">
        <v>6352</v>
      </c>
      <c r="D6413" s="2" t="str">
        <f t="shared" si="99"/>
        <v>OK</v>
      </c>
      <c r="E6413" s="2" t="s">
        <v>190</v>
      </c>
      <c r="F6413" s="1" t="s">
        <v>1934</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1934</v>
      </c>
    </row>
    <row r="6842" spans="1:5" x14ac:dyDescent="0.2">
      <c r="A6842" s="129">
        <v>6781</v>
      </c>
      <c r="D6842" s="2" t="str">
        <f t="shared" si="105"/>
        <v>OK</v>
      </c>
      <c r="E6842" s="1" t="s">
        <v>1934</v>
      </c>
    </row>
    <row r="6843" spans="1:5" x14ac:dyDescent="0.2">
      <c r="A6843" s="129">
        <v>6782</v>
      </c>
      <c r="D6843" s="2" t="str">
        <f t="shared" si="105"/>
        <v>OK</v>
      </c>
      <c r="E6843" s="1" t="s">
        <v>1934</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114442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7725</v>
      </c>
      <c r="D7617" s="2" t="str">
        <f t="shared" si="124"/>
        <v>Error?</v>
      </c>
      <c r="E7617" s="2" t="s">
        <v>19</v>
      </c>
    </row>
    <row r="7618" spans="1:5" x14ac:dyDescent="0.2">
      <c r="A7618">
        <f t="shared" si="123"/>
        <v>7557</v>
      </c>
      <c r="B7618" s="138">
        <f>'Cap Outlay Deprec 26'!F14</f>
        <v>106717</v>
      </c>
      <c r="D7618" s="2" t="str">
        <f t="shared" si="124"/>
        <v>Error?</v>
      </c>
      <c r="E7618" s="2" t="s">
        <v>19</v>
      </c>
    </row>
    <row r="7619" spans="1:5" x14ac:dyDescent="0.2">
      <c r="A7619">
        <f t="shared" si="123"/>
        <v>7558</v>
      </c>
      <c r="B7619" s="138">
        <f>'Cap Outlay Deprec 26'!H14</f>
        <v>114263</v>
      </c>
      <c r="D7619" s="2" t="str">
        <f t="shared" si="124"/>
        <v>Error?</v>
      </c>
      <c r="E7619" s="2" t="s">
        <v>19</v>
      </c>
    </row>
    <row r="7620" spans="1:5" x14ac:dyDescent="0.2">
      <c r="A7620">
        <f t="shared" si="123"/>
        <v>7559</v>
      </c>
      <c r="B7620" s="138">
        <f>'Cap Outlay Deprec 26'!I14</f>
        <v>179</v>
      </c>
      <c r="D7620" s="2" t="str">
        <f t="shared" si="124"/>
        <v>Error?</v>
      </c>
      <c r="E7620" s="2" t="s">
        <v>19</v>
      </c>
    </row>
    <row r="7621" spans="1:5" x14ac:dyDescent="0.2">
      <c r="A7621">
        <f t="shared" si="123"/>
        <v>7560</v>
      </c>
      <c r="B7621" s="138">
        <f>'Cap Outlay Deprec 26'!J14</f>
        <v>7725</v>
      </c>
      <c r="D7621" s="2" t="str">
        <f t="shared" si="124"/>
        <v>Error?</v>
      </c>
      <c r="E7621" s="2" t="s">
        <v>19</v>
      </c>
    </row>
    <row r="7622" spans="1:5" x14ac:dyDescent="0.2">
      <c r="A7622">
        <f t="shared" si="123"/>
        <v>7561</v>
      </c>
      <c r="B7622" s="138">
        <f>'Cap Outlay Deprec 26'!K14</f>
        <v>106717</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82700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1851</v>
      </c>
    </row>
    <row r="7775" spans="1:5" x14ac:dyDescent="0.2">
      <c r="A7775">
        <v>7714</v>
      </c>
      <c r="B7775" s="138">
        <f>'Expenditures 15-22'!H133</f>
        <v>0</v>
      </c>
      <c r="D7775" s="2" t="str">
        <f t="shared" si="127"/>
        <v>Error?</v>
      </c>
      <c r="E7775" s="4" t="s">
        <v>1851</v>
      </c>
    </row>
    <row r="7776" spans="1:5" x14ac:dyDescent="0.2">
      <c r="A7776">
        <v>7715</v>
      </c>
      <c r="B7776" s="138">
        <f>'Expenditures 15-22'!K133</f>
        <v>0</v>
      </c>
      <c r="D7776" s="2" t="str">
        <f t="shared" si="127"/>
        <v>Error?</v>
      </c>
      <c r="E7776" s="4" t="s">
        <v>1851</v>
      </c>
    </row>
    <row r="7777" spans="1:5" x14ac:dyDescent="0.2">
      <c r="A7777">
        <v>7716</v>
      </c>
      <c r="B7777" s="138">
        <f>'Expenditures 15-22'!H157</f>
        <v>0</v>
      </c>
      <c r="D7777" s="2" t="str">
        <f t="shared" si="127"/>
        <v>Error?</v>
      </c>
      <c r="E7777" s="4" t="s">
        <v>1851</v>
      </c>
    </row>
    <row r="7778" spans="1:5" x14ac:dyDescent="0.2">
      <c r="A7778">
        <v>7717</v>
      </c>
      <c r="B7778" s="138">
        <f>'Expenditures 15-22'!K157</f>
        <v>0</v>
      </c>
      <c r="D7778" s="2" t="str">
        <f t="shared" si="127"/>
        <v>Error?</v>
      </c>
      <c r="E7778" s="4" t="s">
        <v>1851</v>
      </c>
    </row>
    <row r="7779" spans="1:5" x14ac:dyDescent="0.2">
      <c r="A7779">
        <v>7718</v>
      </c>
      <c r="B7779" s="138">
        <f>'Expenditures 15-22'!H158</f>
        <v>0</v>
      </c>
      <c r="D7779" s="2" t="str">
        <f t="shared" si="127"/>
        <v>Error?</v>
      </c>
      <c r="E7779" s="4" t="s">
        <v>1851</v>
      </c>
    </row>
    <row r="7780" spans="1:5" x14ac:dyDescent="0.2">
      <c r="A7780">
        <v>7719</v>
      </c>
      <c r="B7780" s="138">
        <f>'Expenditures 15-22'!K158</f>
        <v>0</v>
      </c>
      <c r="D7780" s="2" t="str">
        <f t="shared" si="127"/>
        <v>Error?</v>
      </c>
      <c r="E7780" s="4" t="s">
        <v>1851</v>
      </c>
    </row>
    <row r="7781" spans="1:5" x14ac:dyDescent="0.2">
      <c r="A7781">
        <v>7720</v>
      </c>
      <c r="B7781" s="138">
        <f>'Expenditures 15-22'!H159</f>
        <v>0</v>
      </c>
      <c r="D7781" s="2" t="str">
        <f t="shared" si="127"/>
        <v>Error?</v>
      </c>
      <c r="E7781" s="4" t="s">
        <v>1851</v>
      </c>
    </row>
    <row r="7782" spans="1:5" x14ac:dyDescent="0.2">
      <c r="A7782">
        <v>7721</v>
      </c>
      <c r="B7782" s="138">
        <f>'Expenditures 15-22'!K159</f>
        <v>0</v>
      </c>
      <c r="D7782" s="2" t="str">
        <f t="shared" si="127"/>
        <v>Error?</v>
      </c>
      <c r="E7782" s="4" t="s">
        <v>1851</v>
      </c>
    </row>
    <row r="7783" spans="1:5" x14ac:dyDescent="0.2">
      <c r="A7783">
        <v>7722</v>
      </c>
      <c r="B7783" s="138">
        <f>'Expenditures 15-22'!D282</f>
        <v>0</v>
      </c>
      <c r="D7783" s="2" t="str">
        <f t="shared" si="127"/>
        <v>Error?</v>
      </c>
      <c r="E7783" s="4" t="s">
        <v>1851</v>
      </c>
    </row>
    <row r="7784" spans="1:5" x14ac:dyDescent="0.2">
      <c r="A7784">
        <v>7723</v>
      </c>
      <c r="B7784" s="138">
        <f>'Expenditures 15-22'!K282</f>
        <v>0</v>
      </c>
      <c r="D7784" s="2" t="str">
        <f t="shared" si="127"/>
        <v>Error?</v>
      </c>
      <c r="E7784" s="4" t="s">
        <v>1851</v>
      </c>
    </row>
    <row r="7785" spans="1:5" x14ac:dyDescent="0.2">
      <c r="A7785">
        <v>7724</v>
      </c>
      <c r="B7785" s="138">
        <f>'Expenditures 15-22'!H332</f>
        <v>0</v>
      </c>
      <c r="D7785" s="2" t="str">
        <f t="shared" si="127"/>
        <v>Error?</v>
      </c>
      <c r="E7785" s="4" t="s">
        <v>1851</v>
      </c>
    </row>
    <row r="7786" spans="1:5" x14ac:dyDescent="0.2">
      <c r="A7786">
        <v>7725</v>
      </c>
      <c r="B7786" s="138">
        <f>'Expenditures 15-22'!K332</f>
        <v>0</v>
      </c>
      <c r="D7786" s="2" t="str">
        <f t="shared" si="127"/>
        <v>Error?</v>
      </c>
      <c r="E7786" s="4" t="s">
        <v>1851</v>
      </c>
    </row>
    <row r="7787" spans="1:5" x14ac:dyDescent="0.2">
      <c r="A7787">
        <v>7726</v>
      </c>
      <c r="B7787" s="138">
        <f>'Expenditures 15-22'!H333</f>
        <v>0</v>
      </c>
      <c r="D7787" s="2" t="str">
        <f t="shared" si="127"/>
        <v>Error?</v>
      </c>
      <c r="E7787" s="4" t="s">
        <v>1851</v>
      </c>
    </row>
    <row r="7788" spans="1:5" x14ac:dyDescent="0.2">
      <c r="A7788">
        <v>7727</v>
      </c>
      <c r="B7788" s="138">
        <f>'Expenditures 15-22'!K333</f>
        <v>0</v>
      </c>
      <c r="D7788" s="2" t="str">
        <f t="shared" si="127"/>
        <v>Error?</v>
      </c>
      <c r="E7788" s="4" t="s">
        <v>1851</v>
      </c>
    </row>
    <row r="7789" spans="1:5" x14ac:dyDescent="0.2">
      <c r="A7789">
        <v>7728</v>
      </c>
      <c r="B7789" s="138">
        <f>'Expenditures 15-22'!H334</f>
        <v>0</v>
      </c>
      <c r="D7789" s="2" t="str">
        <f t="shared" si="127"/>
        <v>Error?</v>
      </c>
      <c r="E7789" s="4" t="s">
        <v>1851</v>
      </c>
    </row>
    <row r="7790" spans="1:5" x14ac:dyDescent="0.2">
      <c r="A7790">
        <v>7729</v>
      </c>
      <c r="B7790" s="138">
        <f>'Expenditures 15-22'!K334</f>
        <v>0</v>
      </c>
      <c r="D7790" s="2" t="str">
        <f t="shared" si="127"/>
        <v>Error?</v>
      </c>
      <c r="E7790" s="4" t="s">
        <v>1851</v>
      </c>
    </row>
    <row r="7791" spans="1:5" x14ac:dyDescent="0.2">
      <c r="A7791">
        <v>7730</v>
      </c>
      <c r="B7791" s="138">
        <f>'Expenditures 15-22'!H354</f>
        <v>0</v>
      </c>
      <c r="D7791" s="2" t="str">
        <f t="shared" si="127"/>
        <v>Error?</v>
      </c>
      <c r="E7791" s="4" t="s">
        <v>1851</v>
      </c>
    </row>
    <row r="7792" spans="1:5" x14ac:dyDescent="0.2">
      <c r="A7792">
        <v>7731</v>
      </c>
      <c r="B7792" s="138">
        <f>'Expenditures 15-22'!K354</f>
        <v>0</v>
      </c>
      <c r="D7792" s="2" t="str">
        <f t="shared" si="127"/>
        <v>Error?</v>
      </c>
      <c r="E7792" s="4" t="s">
        <v>1851</v>
      </c>
    </row>
    <row r="7793" spans="1:5" x14ac:dyDescent="0.2">
      <c r="A7793">
        <v>7732</v>
      </c>
      <c r="B7793" s="138">
        <f>'Expenditures 15-22'!H355</f>
        <v>0</v>
      </c>
      <c r="D7793" s="2" t="str">
        <f t="shared" si="127"/>
        <v>Error?</v>
      </c>
      <c r="E7793" s="4" t="s">
        <v>1851</v>
      </c>
    </row>
    <row r="7794" spans="1:5" x14ac:dyDescent="0.2">
      <c r="A7794">
        <v>7733</v>
      </c>
      <c r="B7794" s="138">
        <f>'Expenditures 15-22'!K355</f>
        <v>0</v>
      </c>
      <c r="D7794" s="2" t="str">
        <f t="shared" si="127"/>
        <v>Error?</v>
      </c>
      <c r="E7794" s="4" t="s">
        <v>1851</v>
      </c>
    </row>
    <row r="7795" spans="1:5" x14ac:dyDescent="0.2">
      <c r="A7795">
        <v>7734</v>
      </c>
      <c r="B7795" s="138">
        <f>'Expenditures 15-22'!E138</f>
        <v>0</v>
      </c>
      <c r="D7795" s="2" t="str">
        <f t="shared" si="127"/>
        <v>Error?</v>
      </c>
      <c r="E7795" s="4" t="s">
        <v>1851</v>
      </c>
    </row>
    <row r="7796" spans="1:5" x14ac:dyDescent="0.2">
      <c r="A7796">
        <v>7735</v>
      </c>
      <c r="B7796" s="138">
        <f>'Acct Summary 7-8'!J15</f>
        <v>0</v>
      </c>
      <c r="D7796" s="2" t="str">
        <f t="shared" si="127"/>
        <v>Error?</v>
      </c>
      <c r="E7796" s="4" t="s">
        <v>1851</v>
      </c>
    </row>
    <row r="7797" spans="1:5" x14ac:dyDescent="0.2">
      <c r="A7797">
        <v>7736</v>
      </c>
      <c r="B7797" s="138">
        <f>'Contracts Paid in CY 29'!D141</f>
        <v>39421</v>
      </c>
      <c r="D7797" s="2" t="str">
        <f t="shared" si="127"/>
        <v>Error?</v>
      </c>
      <c r="E7797" s="4" t="s">
        <v>1900</v>
      </c>
    </row>
    <row r="7798" spans="1:5" x14ac:dyDescent="0.2">
      <c r="A7798">
        <v>7737</v>
      </c>
      <c r="B7798" s="138">
        <f>'Contracts Paid in CY 29'!F141</f>
        <v>39103</v>
      </c>
      <c r="D7798" s="2" t="str">
        <f t="shared" si="127"/>
        <v>Error?</v>
      </c>
      <c r="E7798" s="4" t="s">
        <v>1900</v>
      </c>
    </row>
    <row r="7799" spans="1:5" x14ac:dyDescent="0.2">
      <c r="A7799">
        <v>7738</v>
      </c>
      <c r="B7799" s="138">
        <f>'Contracts Paid in CY 29'!G141</f>
        <v>318</v>
      </c>
      <c r="D7799" s="2" t="str">
        <f t="shared" si="127"/>
        <v>Error?</v>
      </c>
      <c r="E7799" s="4" t="s">
        <v>1900</v>
      </c>
    </row>
    <row r="7800" spans="1:5" x14ac:dyDescent="0.2">
      <c r="A7800">
        <v>7739</v>
      </c>
      <c r="D7800" s="2" t="str">
        <f t="shared" si="127"/>
        <v>OK</v>
      </c>
    </row>
    <row r="7801" spans="1:5" x14ac:dyDescent="0.2">
      <c r="A7801">
        <v>7740</v>
      </c>
      <c r="B7801" s="138">
        <f>'Revenues 9-14'!C120</f>
        <v>0</v>
      </c>
      <c r="D7801" s="2" t="str">
        <f t="shared" si="127"/>
        <v>Error?</v>
      </c>
      <c r="E7801" s="4" t="s">
        <v>1936</v>
      </c>
    </row>
    <row r="7802" spans="1:5" x14ac:dyDescent="0.2">
      <c r="A7802">
        <v>7741</v>
      </c>
      <c r="B7802" s="138">
        <f>'Revenues 9-14'!D120</f>
        <v>0</v>
      </c>
      <c r="D7802" s="2" t="str">
        <f t="shared" si="127"/>
        <v>Error?</v>
      </c>
      <c r="E7802" s="4" t="s">
        <v>1936</v>
      </c>
    </row>
    <row r="7803" spans="1:5" x14ac:dyDescent="0.2">
      <c r="A7803">
        <v>7742</v>
      </c>
      <c r="B7803" s="138">
        <f>'Revenues 9-14'!E120</f>
        <v>0</v>
      </c>
      <c r="D7803" s="2" t="str">
        <f t="shared" si="127"/>
        <v>Error?</v>
      </c>
      <c r="E7803" s="4" t="s">
        <v>1936</v>
      </c>
    </row>
    <row r="7804" spans="1:5" x14ac:dyDescent="0.2">
      <c r="A7804">
        <v>7743</v>
      </c>
      <c r="B7804" s="138">
        <f>'Revenues 9-14'!F120</f>
        <v>0</v>
      </c>
      <c r="D7804" s="2" t="str">
        <f t="shared" si="127"/>
        <v>Error?</v>
      </c>
      <c r="E7804" s="4" t="s">
        <v>1936</v>
      </c>
    </row>
    <row r="7805" spans="1:5" x14ac:dyDescent="0.2">
      <c r="A7805">
        <v>7744</v>
      </c>
      <c r="B7805" s="138">
        <f>'Revenues 9-14'!G120</f>
        <v>0</v>
      </c>
      <c r="D7805" s="2" t="str">
        <f t="shared" si="127"/>
        <v>Error?</v>
      </c>
      <c r="E7805" s="4" t="s">
        <v>1936</v>
      </c>
    </row>
    <row r="7806" spans="1:5" x14ac:dyDescent="0.2">
      <c r="A7806">
        <v>7745</v>
      </c>
      <c r="B7806" s="138">
        <f>'Revenues 9-14'!H120</f>
        <v>0</v>
      </c>
      <c r="D7806" s="2" t="str">
        <f t="shared" si="127"/>
        <v>Error?</v>
      </c>
      <c r="E7806" s="4" t="s">
        <v>1936</v>
      </c>
    </row>
    <row r="7807" spans="1:5" x14ac:dyDescent="0.2">
      <c r="A7807">
        <v>7746</v>
      </c>
      <c r="B7807" s="138">
        <f>'Revenues 9-14'!J120</f>
        <v>0</v>
      </c>
      <c r="D7807" s="2" t="str">
        <f t="shared" ref="D7807:D7816" si="128">IF(ISBLANK(B7807),"OK",IF(A7807-B7807=0,"OK","Error?"))</f>
        <v>Error?</v>
      </c>
      <c r="E7807" s="4" t="s">
        <v>1936</v>
      </c>
    </row>
    <row r="7808" spans="1:5" x14ac:dyDescent="0.2">
      <c r="A7808">
        <v>7747</v>
      </c>
      <c r="B7808" s="138">
        <f>'Revenues 9-14'!K120</f>
        <v>0</v>
      </c>
      <c r="D7808" s="2" t="str">
        <f t="shared" si="128"/>
        <v>Error?</v>
      </c>
      <c r="E7808" s="4" t="s">
        <v>1936</v>
      </c>
    </row>
    <row r="7809" spans="1:5" x14ac:dyDescent="0.2">
      <c r="A7809">
        <v>7748</v>
      </c>
      <c r="B7809" s="138">
        <f>'Revenues 9-14'!C261</f>
        <v>0</v>
      </c>
      <c r="D7809" s="2" t="str">
        <f t="shared" si="128"/>
        <v>Error?</v>
      </c>
      <c r="E7809" s="4" t="s">
        <v>1937</v>
      </c>
    </row>
    <row r="7810" spans="1:5" x14ac:dyDescent="0.2">
      <c r="A7810">
        <v>7749</v>
      </c>
      <c r="B7810" s="138">
        <f>'Revenues 9-14'!D261</f>
        <v>0</v>
      </c>
      <c r="D7810" s="2" t="str">
        <f t="shared" si="128"/>
        <v>Error?</v>
      </c>
      <c r="E7810" s="4" t="s">
        <v>1937</v>
      </c>
    </row>
    <row r="7811" spans="1:5" x14ac:dyDescent="0.2">
      <c r="A7811">
        <v>7750</v>
      </c>
      <c r="B7811" s="138">
        <f>'Revenues 9-14'!F261</f>
        <v>0</v>
      </c>
      <c r="D7811" s="2" t="str">
        <f t="shared" si="128"/>
        <v>Error?</v>
      </c>
      <c r="E7811" s="4" t="s">
        <v>1937</v>
      </c>
    </row>
    <row r="7812" spans="1:5" x14ac:dyDescent="0.2">
      <c r="A7812">
        <v>7751</v>
      </c>
      <c r="B7812" s="138">
        <f>'Revenues 9-14'!G261</f>
        <v>0</v>
      </c>
      <c r="D7812" s="2" t="str">
        <f t="shared" si="128"/>
        <v>Error?</v>
      </c>
      <c r="E7812" s="4" t="s">
        <v>1937</v>
      </c>
    </row>
    <row r="7813" spans="1:5" x14ac:dyDescent="0.2">
      <c r="A7813">
        <v>7752</v>
      </c>
      <c r="B7813" s="138">
        <f>'Revenues 9-14'!C262</f>
        <v>0</v>
      </c>
      <c r="D7813" s="2" t="str">
        <f t="shared" si="128"/>
        <v>Error?</v>
      </c>
      <c r="E7813" s="4" t="s">
        <v>1938</v>
      </c>
    </row>
    <row r="7814" spans="1:5" x14ac:dyDescent="0.2">
      <c r="A7814">
        <v>7753</v>
      </c>
      <c r="B7814" s="138">
        <f>'Revenues 9-14'!D262</f>
        <v>0</v>
      </c>
      <c r="D7814" s="2" t="str">
        <f t="shared" si="128"/>
        <v>Error?</v>
      </c>
      <c r="E7814" s="4" t="s">
        <v>1938</v>
      </c>
    </row>
    <row r="7815" spans="1:5" x14ac:dyDescent="0.2">
      <c r="A7815">
        <v>7754</v>
      </c>
      <c r="B7815" s="138">
        <f>'Revenues 9-14'!F262</f>
        <v>0</v>
      </c>
      <c r="D7815" s="2" t="str">
        <f t="shared" si="128"/>
        <v>Error?</v>
      </c>
      <c r="E7815" s="4" t="s">
        <v>1938</v>
      </c>
    </row>
    <row r="7816" spans="1:5" x14ac:dyDescent="0.2">
      <c r="A7816">
        <v>7755</v>
      </c>
      <c r="B7816" s="138">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6" zoomScale="110" zoomScaleNormal="110" workbookViewId="0">
      <selection activeCell="I44" sqref="I4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91" t="s">
        <v>1191</v>
      </c>
      <c r="B2" s="2391"/>
      <c r="C2" s="2391"/>
      <c r="D2" s="2391"/>
      <c r="E2" s="2391"/>
      <c r="F2" s="2391"/>
      <c r="G2" s="2391"/>
      <c r="H2" s="2391"/>
      <c r="I2" s="2391"/>
      <c r="J2" s="2391"/>
      <c r="K2" s="2391"/>
      <c r="L2" s="2391"/>
    </row>
    <row r="3" spans="1:29" ht="13.5" customHeight="1" x14ac:dyDescent="0.2">
      <c r="A3" s="2422" t="s">
        <v>1190</v>
      </c>
      <c r="B3" s="2422"/>
      <c r="C3" s="2422"/>
      <c r="D3" s="2422"/>
      <c r="E3" s="2422"/>
      <c r="F3" s="2422"/>
      <c r="G3" s="2422"/>
      <c r="H3" s="2422"/>
      <c r="I3" s="2422"/>
      <c r="J3" s="2422"/>
      <c r="K3" s="2422"/>
      <c r="L3" s="2422"/>
    </row>
    <row r="4" spans="1:29" ht="13.5" customHeight="1" x14ac:dyDescent="0.2">
      <c r="A4" s="2391" t="s">
        <v>1984</v>
      </c>
      <c r="B4" s="2412"/>
      <c r="C4" s="2412"/>
      <c r="D4" s="2412"/>
      <c r="E4" s="2412"/>
      <c r="F4" s="2412"/>
      <c r="G4" s="2412"/>
      <c r="H4" s="2412"/>
      <c r="I4" s="2412"/>
      <c r="J4" s="2412"/>
      <c r="K4" s="2412"/>
      <c r="L4" s="2412"/>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13" t="str">
        <f>COVER!A17</f>
        <v>LaSalle Putnam Alliance</v>
      </c>
      <c r="B7" s="2414"/>
      <c r="C7" s="2414"/>
      <c r="D7" s="2415"/>
      <c r="E7" s="2416">
        <f>COVER!A13</f>
        <v>35050000061</v>
      </c>
      <c r="F7" s="2417"/>
      <c r="G7" s="2423" t="str">
        <f>COVER!T23</f>
        <v>066-005100</v>
      </c>
      <c r="H7" s="2424"/>
      <c r="I7" s="2424"/>
      <c r="J7" s="2424"/>
      <c r="K7" s="2424"/>
      <c r="L7" s="242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26"/>
      <c r="B9" s="2427"/>
      <c r="C9" s="2427"/>
      <c r="D9" s="2427"/>
      <c r="E9" s="2427"/>
      <c r="F9" s="2428"/>
      <c r="G9" s="2397" t="str">
        <f>COVER!T13</f>
        <v>Mack &amp; Associates, P.C.</v>
      </c>
      <c r="H9" s="2429"/>
      <c r="I9" s="2429"/>
      <c r="J9" s="2429"/>
      <c r="K9" s="2429"/>
      <c r="L9" s="2430"/>
    </row>
    <row r="10" spans="1:29" ht="13.5" customHeight="1" x14ac:dyDescent="0.2">
      <c r="A10" s="2403" t="str">
        <f>COVER!A38</f>
        <v>Mary Jane Chapman</v>
      </c>
      <c r="B10" s="2404"/>
      <c r="C10" s="2404"/>
      <c r="D10" s="2404"/>
      <c r="E10" s="2404"/>
      <c r="F10" s="2405"/>
      <c r="G10" s="2397" t="str">
        <f>COVER!T17</f>
        <v>116 E. Washington St., Suite One</v>
      </c>
      <c r="H10" s="2398"/>
      <c r="I10" s="2398"/>
      <c r="J10" s="2398"/>
      <c r="K10" s="2398"/>
      <c r="L10" s="2399"/>
    </row>
    <row r="11" spans="1:29" ht="13.5" customHeight="1" x14ac:dyDescent="0.2">
      <c r="A11" s="1184" t="s">
        <v>1519</v>
      </c>
      <c r="B11" s="1185"/>
      <c r="C11" s="1186"/>
      <c r="D11" s="1191"/>
      <c r="E11" s="1186"/>
      <c r="F11" s="1190"/>
      <c r="G11" s="2397" t="str">
        <f>COVER!T19</f>
        <v>Morris</v>
      </c>
      <c r="H11" s="2398"/>
      <c r="I11" s="2398"/>
      <c r="J11" s="2398"/>
      <c r="K11" s="2398"/>
      <c r="L11" s="2399"/>
    </row>
    <row r="12" spans="1:29" ht="13.5" customHeight="1" x14ac:dyDescent="0.2">
      <c r="A12" s="2406" t="s">
        <v>1518</v>
      </c>
      <c r="B12" s="2407"/>
      <c r="C12" s="2407"/>
      <c r="D12" s="2407"/>
      <c r="E12" s="2407"/>
      <c r="F12" s="2408"/>
      <c r="G12" s="2400"/>
      <c r="H12" s="2401"/>
      <c r="I12" s="2401"/>
      <c r="J12" s="2401"/>
      <c r="K12" s="2401"/>
      <c r="L12" s="2402"/>
    </row>
    <row r="13" spans="1:29" ht="13.5" customHeight="1" x14ac:dyDescent="0.2">
      <c r="A13" s="2397"/>
      <c r="B13" s="2398"/>
      <c r="C13" s="2398"/>
      <c r="D13" s="2398"/>
      <c r="E13" s="2398"/>
      <c r="F13" s="2399"/>
      <c r="G13" s="2392" t="s">
        <v>1520</v>
      </c>
      <c r="H13" s="2393"/>
      <c r="I13" s="2409" t="str">
        <f>COVER!T25</f>
        <v>tmack@mackcpas.com</v>
      </c>
      <c r="J13" s="2410"/>
      <c r="K13" s="2410"/>
      <c r="L13" s="2411"/>
    </row>
    <row r="14" spans="1:29" ht="13.5" customHeight="1" x14ac:dyDescent="0.2">
      <c r="A14" s="2397" t="str">
        <f>COVER!A19</f>
        <v>1009 Boyce Memorial Dr</v>
      </c>
      <c r="B14" s="2398"/>
      <c r="C14" s="2398"/>
      <c r="D14" s="2398"/>
      <c r="E14" s="2398"/>
      <c r="F14" s="2399"/>
      <c r="G14" s="1195" t="s">
        <v>1185</v>
      </c>
      <c r="H14" s="1193"/>
      <c r="I14" s="1193"/>
      <c r="J14" s="1193"/>
      <c r="K14" s="1193"/>
      <c r="L14" s="1194"/>
    </row>
    <row r="15" spans="1:29" ht="13.5" customHeight="1" x14ac:dyDescent="0.2">
      <c r="A15" s="2397" t="str">
        <f>COVER!A21</f>
        <v>Ottawa</v>
      </c>
      <c r="B15" s="2398"/>
      <c r="C15" s="2398"/>
      <c r="D15" s="2398"/>
      <c r="E15" s="2398"/>
      <c r="F15" s="2399"/>
      <c r="G15" s="2394" t="str">
        <f>COVER!T15</f>
        <v>Tawnya Mack, CPA</v>
      </c>
      <c r="H15" s="2395"/>
      <c r="I15" s="2395"/>
      <c r="J15" s="2395"/>
      <c r="K15" s="2395"/>
      <c r="L15" s="2396"/>
    </row>
    <row r="16" spans="1:29" ht="12.2" customHeight="1" x14ac:dyDescent="0.2">
      <c r="A16" s="2419">
        <f>COVER!A25</f>
        <v>61350</v>
      </c>
      <c r="B16" s="2420"/>
      <c r="C16" s="2420"/>
      <c r="D16" s="2420"/>
      <c r="E16" s="2420"/>
      <c r="F16" s="2421"/>
      <c r="G16" s="2431"/>
      <c r="H16" s="2432"/>
      <c r="I16" s="2432"/>
      <c r="J16" s="2432"/>
      <c r="K16" s="2432"/>
      <c r="L16" s="2433"/>
    </row>
    <row r="17" spans="1:13" ht="12.2" customHeight="1" x14ac:dyDescent="0.2">
      <c r="A17" s="2434"/>
      <c r="B17" s="2420"/>
      <c r="C17" s="2420"/>
      <c r="D17" s="2420"/>
      <c r="E17" s="2420"/>
      <c r="F17" s="2421"/>
      <c r="G17" s="1195" t="s">
        <v>1184</v>
      </c>
      <c r="H17" s="1193"/>
      <c r="I17" s="1193"/>
      <c r="J17" s="1193"/>
      <c r="K17" s="1197" t="s">
        <v>1183</v>
      </c>
      <c r="L17" s="1190"/>
      <c r="M17" s="1183"/>
    </row>
    <row r="18" spans="1:13" ht="12.2" customHeight="1" x14ac:dyDescent="0.2">
      <c r="A18" s="2403"/>
      <c r="B18" s="2404"/>
      <c r="C18" s="2404"/>
      <c r="D18" s="2404"/>
      <c r="E18" s="2404"/>
      <c r="F18" s="2405"/>
      <c r="G18" s="2413" t="str">
        <f>COVER!T21</f>
        <v>815-942-3306</v>
      </c>
      <c r="H18" s="2414"/>
      <c r="I18" s="2414"/>
      <c r="J18" s="2414"/>
      <c r="K18" s="2413" t="str">
        <f>COVER!X21</f>
        <v>815-942-9430</v>
      </c>
      <c r="L18" s="241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t="s">
        <v>2094</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2094</v>
      </c>
      <c r="C26" s="1202" t="s">
        <v>1699</v>
      </c>
    </row>
    <row r="27" spans="1:13" s="1198" customFormat="1" ht="9" customHeight="1" x14ac:dyDescent="0.2">
      <c r="B27" s="1203"/>
      <c r="C27" s="1202"/>
    </row>
    <row r="28" spans="1:13" s="1198" customFormat="1" ht="12.2" customHeight="1" x14ac:dyDescent="0.2">
      <c r="A28" s="1205"/>
      <c r="B28" s="1201" t="s">
        <v>2094</v>
      </c>
      <c r="C28" s="1202" t="s">
        <v>1700</v>
      </c>
    </row>
    <row r="29" spans="1:13" s="1198" customFormat="1" ht="9" customHeight="1" x14ac:dyDescent="0.2">
      <c r="A29" s="1205"/>
      <c r="B29" s="1203"/>
      <c r="C29" s="1202"/>
    </row>
    <row r="30" spans="1:13" s="1198" customFormat="1" ht="12.2" customHeight="1" x14ac:dyDescent="0.2">
      <c r="B30" s="1201" t="s">
        <v>2094</v>
      </c>
      <c r="C30" s="1202" t="s">
        <v>1562</v>
      </c>
      <c r="D30" s="1196"/>
      <c r="E30" s="1196"/>
    </row>
    <row r="31" spans="1:13" s="1198" customFormat="1" ht="9" customHeight="1" x14ac:dyDescent="0.2">
      <c r="B31" s="1203"/>
      <c r="C31" s="1202"/>
      <c r="D31" s="1196"/>
      <c r="E31" s="1196"/>
    </row>
    <row r="32" spans="1:13" s="1198" customFormat="1" ht="12.2" customHeight="1" x14ac:dyDescent="0.2">
      <c r="B32" s="1201" t="s">
        <v>2094</v>
      </c>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t="s">
        <v>2094</v>
      </c>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t="s">
        <v>2094</v>
      </c>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t="s">
        <v>2094</v>
      </c>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64"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5" t="str">
        <f>'Single Audit Cover'!A7</f>
        <v>LaSalle Putnam Alliance</v>
      </c>
      <c r="B1" s="2412"/>
      <c r="C1" s="2412"/>
      <c r="D1" s="2412"/>
    </row>
    <row r="2" spans="1:11" s="1212" customFormat="1" ht="12.75" x14ac:dyDescent="0.2">
      <c r="A2" s="2436">
        <f>'Single Audit Cover'!E7</f>
        <v>35050000061</v>
      </c>
      <c r="B2" s="2437"/>
      <c r="C2" s="2437"/>
      <c r="D2" s="2437"/>
    </row>
    <row r="3" spans="1:11" s="1212" customFormat="1" ht="12.75" x14ac:dyDescent="0.2">
      <c r="A3" s="2435" t="s">
        <v>1513</v>
      </c>
      <c r="B3" s="2412"/>
      <c r="C3" s="2412"/>
      <c r="D3" s="2412"/>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1834</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topLeftCell="A19" zoomScale="110" zoomScaleNormal="110" zoomScaleSheetLayoutView="100" workbookViewId="0">
      <selection activeCell="D26" sqref="D26"/>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9" t="str">
        <f>'Single Audit Cover'!A7</f>
        <v>LaSalle Putnam Alliance</v>
      </c>
      <c r="B1" s="2439"/>
      <c r="C1" s="2439"/>
      <c r="D1" s="2439"/>
      <c r="E1" s="2439"/>
    </row>
    <row r="2" spans="1:5" x14ac:dyDescent="0.2">
      <c r="A2" s="2440">
        <f>'Single Audit Cover'!E7</f>
        <v>35050000061</v>
      </c>
      <c r="B2" s="2440"/>
      <c r="C2" s="2440"/>
      <c r="D2" s="2440"/>
      <c r="E2" s="2440"/>
    </row>
    <row r="3" spans="1:5" ht="4.5" customHeight="1" x14ac:dyDescent="0.2"/>
    <row r="4" spans="1:5" x14ac:dyDescent="0.2">
      <c r="A4" s="2439" t="s">
        <v>1245</v>
      </c>
      <c r="B4" s="2439"/>
      <c r="C4" s="2439"/>
      <c r="D4" s="2439"/>
      <c r="E4" s="2439"/>
    </row>
    <row r="5" spans="1:5" x14ac:dyDescent="0.2">
      <c r="A5" s="2441" t="str">
        <f>'Single Audit Cover'!A4</f>
        <v>Year Ending June 30, 2019</v>
      </c>
      <c r="B5" s="2441"/>
      <c r="C5" s="2441"/>
      <c r="D5" s="2441"/>
      <c r="E5" s="2441"/>
    </row>
    <row r="6" spans="1:5" x14ac:dyDescent="0.2">
      <c r="A6" s="2439" t="s">
        <v>1244</v>
      </c>
      <c r="B6" s="2439"/>
      <c r="C6" s="2439"/>
      <c r="D6" s="2439"/>
      <c r="E6" s="2439"/>
    </row>
    <row r="8" spans="1:5" x14ac:dyDescent="0.2">
      <c r="A8" s="1257" t="s">
        <v>1243</v>
      </c>
    </row>
    <row r="10" spans="1:5" x14ac:dyDescent="0.2">
      <c r="A10" s="1258" t="s">
        <v>1242</v>
      </c>
      <c r="B10" s="1259" t="s">
        <v>1241</v>
      </c>
      <c r="C10" s="1259"/>
      <c r="D10" s="1260">
        <f>SUM('Acct Summary 7-8'!C7:K7)</f>
        <v>4393128</v>
      </c>
    </row>
    <row r="11" spans="1:5" ht="18" customHeight="1" x14ac:dyDescent="0.2">
      <c r="A11" s="1258" t="s">
        <v>1240</v>
      </c>
      <c r="B11" s="1259"/>
      <c r="C11" s="1259"/>
    </row>
    <row r="12" spans="1:5" x14ac:dyDescent="0.2">
      <c r="A12" s="1258" t="s">
        <v>1239</v>
      </c>
      <c r="B12" s="1259" t="s">
        <v>1238</v>
      </c>
      <c r="C12" s="1259"/>
      <c r="D12" s="1261">
        <f>SUM('Revenues 9-14'!C112:D112,'Revenues 9-14'!F112:G112)</f>
        <v>959314</v>
      </c>
    </row>
    <row r="13" spans="1:5" x14ac:dyDescent="0.2">
      <c r="A13" s="1258" t="s">
        <v>1237</v>
      </c>
      <c r="B13" s="1259"/>
      <c r="C13" s="1259"/>
    </row>
    <row r="14" spans="1:5" x14ac:dyDescent="0.2">
      <c r="A14" s="1258" t="s">
        <v>1727</v>
      </c>
      <c r="B14" s="1259"/>
      <c r="C14" s="1259"/>
      <c r="D14" s="1261">
        <f>'ICR Computation 30'!E11</f>
        <v>2582</v>
      </c>
    </row>
    <row r="15" spans="1:5" x14ac:dyDescent="0.2">
      <c r="A15" s="1258"/>
      <c r="B15" s="1259"/>
      <c r="C15" s="1259"/>
    </row>
    <row r="16" spans="1:5" x14ac:dyDescent="0.2">
      <c r="A16" s="1258" t="s">
        <v>1840</v>
      </c>
      <c r="B16" s="1259"/>
      <c r="C16" s="1259"/>
    </row>
    <row r="17" spans="1:4" x14ac:dyDescent="0.2">
      <c r="A17" s="1258" t="s">
        <v>2056</v>
      </c>
      <c r="B17" s="1259" t="s">
        <v>1236</v>
      </c>
      <c r="C17" s="1259"/>
      <c r="D17" s="1261">
        <f>-SUM('Revenues 9-14'!C264:D264,'Revenues 9-14'!F264:G264)</f>
        <v>-80652</v>
      </c>
    </row>
    <row r="19" spans="1:4" ht="13.5" thickBot="1" x14ac:dyDescent="0.25">
      <c r="A19" s="1262" t="s">
        <v>1235</v>
      </c>
      <c r="D19" s="1263">
        <f>SUM(D10:D17)</f>
        <v>5274372</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2" t="s">
        <v>2129</v>
      </c>
      <c r="B24" s="2442"/>
      <c r="D24" s="1265">
        <v>-959314</v>
      </c>
    </row>
    <row r="25" spans="1:4" x14ac:dyDescent="0.2">
      <c r="A25" s="2438" t="s">
        <v>2130</v>
      </c>
      <c r="B25" s="2438"/>
      <c r="D25" s="1265">
        <v>-1</v>
      </c>
    </row>
    <row r="26" spans="1:4" x14ac:dyDescent="0.2">
      <c r="A26" s="2438"/>
      <c r="B26" s="2438"/>
      <c r="D26" s="1265"/>
    </row>
    <row r="27" spans="1:4" x14ac:dyDescent="0.2">
      <c r="A27" s="2438"/>
      <c r="B27" s="2438"/>
      <c r="D27" s="1265"/>
    </row>
    <row r="28" spans="1:4" x14ac:dyDescent="0.2">
      <c r="A28" s="2438"/>
      <c r="B28" s="2438"/>
      <c r="D28" s="1265"/>
    </row>
    <row r="29" spans="1:4" x14ac:dyDescent="0.2">
      <c r="A29" s="2438"/>
      <c r="B29" s="2438"/>
      <c r="D29" s="1265"/>
    </row>
    <row r="30" spans="1:4" x14ac:dyDescent="0.2">
      <c r="A30" s="2438"/>
      <c r="B30" s="2438"/>
      <c r="D30" s="1265"/>
    </row>
    <row r="32" spans="1:4" x14ac:dyDescent="0.2">
      <c r="A32" s="1257" t="s">
        <v>1233</v>
      </c>
      <c r="D32" s="1260">
        <f>SUM(D19:D30)</f>
        <v>4315057</v>
      </c>
    </row>
    <row r="33" spans="1:4" x14ac:dyDescent="0.2">
      <c r="D33" s="1266"/>
    </row>
    <row r="34" spans="1:4" x14ac:dyDescent="0.2">
      <c r="A34" s="317" t="s">
        <v>1232</v>
      </c>
    </row>
    <row r="35" spans="1:4" x14ac:dyDescent="0.2">
      <c r="A35" s="317" t="s">
        <v>1231</v>
      </c>
      <c r="B35" s="1255" t="s">
        <v>1230</v>
      </c>
      <c r="D35" s="1267">
        <v>4315057</v>
      </c>
    </row>
    <row r="37" spans="1:4" x14ac:dyDescent="0.2">
      <c r="A37" s="1257" t="s">
        <v>1229</v>
      </c>
    </row>
    <row r="39" spans="1:4" ht="13.35" customHeight="1" x14ac:dyDescent="0.2">
      <c r="A39" s="1264" t="s">
        <v>1228</v>
      </c>
    </row>
    <row r="40" spans="1:4" x14ac:dyDescent="0.2">
      <c r="A40" s="2438"/>
      <c r="B40" s="2438"/>
      <c r="D40" s="1265"/>
    </row>
    <row r="41" spans="1:4" x14ac:dyDescent="0.2">
      <c r="A41" s="2438"/>
      <c r="B41" s="2438"/>
      <c r="D41" s="1268"/>
    </row>
    <row r="42" spans="1:4" x14ac:dyDescent="0.2">
      <c r="A42" s="2438"/>
      <c r="B42" s="2438"/>
      <c r="D42" s="1268"/>
    </row>
    <row r="43" spans="1:4" x14ac:dyDescent="0.2">
      <c r="A43" s="2438"/>
      <c r="B43" s="2438"/>
      <c r="D43" s="1268"/>
    </row>
    <row r="44" spans="1:4" x14ac:dyDescent="0.2">
      <c r="A44" s="2438"/>
      <c r="B44" s="2438"/>
      <c r="D44" s="1268"/>
    </row>
    <row r="45" spans="1:4" x14ac:dyDescent="0.2">
      <c r="A45" s="2438"/>
      <c r="B45" s="2438"/>
      <c r="D45" s="1268"/>
    </row>
    <row r="47" spans="1:4" x14ac:dyDescent="0.2">
      <c r="B47" s="1269" t="s">
        <v>1227</v>
      </c>
      <c r="C47" s="1269"/>
      <c r="D47" s="1270">
        <f>SUM(D35:D45)</f>
        <v>4315057</v>
      </c>
    </row>
    <row r="49" spans="2:4" x14ac:dyDescent="0.2">
      <c r="B49" s="1269" t="s">
        <v>1226</v>
      </c>
      <c r="C49" s="1269"/>
      <c r="D49" s="1270">
        <f>D32-D47</f>
        <v>0</v>
      </c>
    </row>
  </sheetData>
  <sheetProtection sheet="1" objects="1" scenarios="1"/>
  <mergeCells count="18">
    <mergeCell ref="A27:B27"/>
    <mergeCell ref="A1:E1"/>
    <mergeCell ref="A2:E2"/>
    <mergeCell ref="A25:B25"/>
    <mergeCell ref="A26:B26"/>
    <mergeCell ref="A4:E4"/>
    <mergeCell ref="A5:E5"/>
    <mergeCell ref="A6:E6"/>
    <mergeCell ref="A24:B24"/>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Normal="100" workbookViewId="0">
      <selection activeCell="J17" sqref="J1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2" t="str">
        <f>'Single Audit Cover'!A7</f>
        <v>LaSalle Putnam Alliance</v>
      </c>
      <c r="C1" s="2443"/>
      <c r="D1" s="2443"/>
      <c r="E1" s="2443"/>
      <c r="F1" s="2443"/>
      <c r="G1" s="2443"/>
      <c r="H1" s="2443"/>
      <c r="I1" s="2443"/>
      <c r="J1" s="2443"/>
      <c r="K1" s="2443"/>
      <c r="L1" s="2443"/>
      <c r="M1" s="2443"/>
    </row>
    <row r="2" spans="2:14" ht="15" x14ac:dyDescent="0.2">
      <c r="B2" s="2444">
        <f>'Single Audit Cover'!E7</f>
        <v>35050000061</v>
      </c>
      <c r="C2" s="2444"/>
      <c r="D2" s="2444"/>
      <c r="E2" s="2444"/>
      <c r="F2" s="2444"/>
      <c r="G2" s="2444"/>
      <c r="H2" s="2444"/>
      <c r="I2" s="2444"/>
      <c r="J2" s="2444"/>
      <c r="K2" s="2444"/>
      <c r="L2" s="2444"/>
      <c r="M2" s="2444"/>
      <c r="N2" s="1299"/>
    </row>
    <row r="3" spans="2:14" ht="15" x14ac:dyDescent="0.2">
      <c r="B3" s="2445" t="s">
        <v>1219</v>
      </c>
      <c r="C3" s="2445"/>
      <c r="D3" s="2445"/>
      <c r="E3" s="2445"/>
      <c r="F3" s="2445"/>
      <c r="G3" s="2445"/>
      <c r="H3" s="2445"/>
      <c r="I3" s="2445"/>
      <c r="J3" s="2445"/>
      <c r="K3" s="2445"/>
      <c r="L3" s="2445"/>
      <c r="M3" s="2445"/>
      <c r="N3" s="1299"/>
    </row>
    <row r="4" spans="2:14" ht="15" x14ac:dyDescent="0.2">
      <c r="B4" s="2446" t="str">
        <f>'Single Audit Cover'!A4</f>
        <v>Year Ending June 30, 2019</v>
      </c>
      <c r="C4" s="2446"/>
      <c r="D4" s="2446"/>
      <c r="E4" s="2446"/>
      <c r="F4" s="2446"/>
      <c r="G4" s="2446"/>
      <c r="H4" s="2446"/>
      <c r="I4" s="2446"/>
      <c r="J4" s="2446"/>
      <c r="K4" s="2446"/>
      <c r="L4" s="2446"/>
      <c r="M4" s="2446"/>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2096</v>
      </c>
      <c r="C11" s="1335"/>
      <c r="D11" s="1336"/>
      <c r="E11" s="1337"/>
      <c r="F11" s="1337"/>
      <c r="G11" s="1337"/>
      <c r="H11" s="1337"/>
      <c r="I11" s="1337"/>
      <c r="J11" s="1337"/>
      <c r="K11" s="1337"/>
      <c r="L11" s="1337">
        <f>+G11+I11+K11</f>
        <v>0</v>
      </c>
      <c r="M11" s="1337"/>
    </row>
    <row r="12" spans="2:14" ht="20.100000000000001" customHeight="1" x14ac:dyDescent="0.2">
      <c r="B12" s="1334" t="s">
        <v>2097</v>
      </c>
      <c r="C12" s="1338"/>
      <c r="D12" s="1339"/>
      <c r="E12" s="1340"/>
      <c r="F12" s="1340"/>
      <c r="G12" s="1340"/>
      <c r="H12" s="1340"/>
      <c r="I12" s="1340"/>
      <c r="J12" s="1340"/>
      <c r="K12" s="1340"/>
      <c r="L12" s="1337">
        <f t="shared" ref="L12:L27" si="0">+G12+I12+K12</f>
        <v>0</v>
      </c>
      <c r="M12" s="1340"/>
    </row>
    <row r="13" spans="2:14" ht="20.100000000000001" customHeight="1" x14ac:dyDescent="0.2">
      <c r="B13" s="1334" t="s">
        <v>2099</v>
      </c>
      <c r="C13" s="1338" t="s">
        <v>2098</v>
      </c>
      <c r="D13" s="1339" t="s">
        <v>2100</v>
      </c>
      <c r="E13" s="1340">
        <v>115349</v>
      </c>
      <c r="F13" s="1340">
        <v>22200</v>
      </c>
      <c r="G13" s="1340">
        <v>137549</v>
      </c>
      <c r="H13" s="1340">
        <v>4277</v>
      </c>
      <c r="I13" s="1340"/>
      <c r="J13" s="1340"/>
      <c r="K13" s="1340"/>
      <c r="L13" s="1337">
        <f t="shared" si="0"/>
        <v>137549</v>
      </c>
      <c r="M13" s="1340">
        <v>174158</v>
      </c>
    </row>
    <row r="14" spans="2:14" ht="20.100000000000001" customHeight="1" x14ac:dyDescent="0.2">
      <c r="B14" s="1334" t="s">
        <v>2118</v>
      </c>
      <c r="C14" s="1338" t="s">
        <v>2098</v>
      </c>
      <c r="D14" s="1339" t="s">
        <v>2122</v>
      </c>
      <c r="E14" s="1340"/>
      <c r="F14" s="1340">
        <v>129437</v>
      </c>
      <c r="G14" s="1340"/>
      <c r="H14" s="1340"/>
      <c r="I14" s="1340">
        <v>153452</v>
      </c>
      <c r="J14" s="1340">
        <v>3998</v>
      </c>
      <c r="K14" s="1340"/>
      <c r="L14" s="1337">
        <f t="shared" si="0"/>
        <v>153452</v>
      </c>
      <c r="M14" s="1340">
        <v>167331</v>
      </c>
    </row>
    <row r="15" spans="2:14" ht="20.100000000000001" customHeight="1" x14ac:dyDescent="0.2">
      <c r="B15" s="1334" t="s">
        <v>2101</v>
      </c>
      <c r="C15" s="1338" t="s">
        <v>2095</v>
      </c>
      <c r="D15" s="1339" t="s">
        <v>2102</v>
      </c>
      <c r="E15" s="1340">
        <v>3640293</v>
      </c>
      <c r="F15" s="1340">
        <v>216482</v>
      </c>
      <c r="G15" s="1340">
        <v>3856775</v>
      </c>
      <c r="H15" s="1340">
        <v>2910805</v>
      </c>
      <c r="I15" s="1340"/>
      <c r="J15" s="1340"/>
      <c r="K15" s="1340"/>
      <c r="L15" s="1337">
        <f t="shared" si="0"/>
        <v>3856775</v>
      </c>
      <c r="M15" s="1340">
        <v>4295088</v>
      </c>
    </row>
    <row r="16" spans="2:14" ht="20.100000000000001" customHeight="1" x14ac:dyDescent="0.2">
      <c r="B16" s="1334" t="s">
        <v>2119</v>
      </c>
      <c r="C16" s="1338" t="s">
        <v>2095</v>
      </c>
      <c r="D16" s="1339" t="s">
        <v>2123</v>
      </c>
      <c r="E16" s="1340"/>
      <c r="F16" s="1340">
        <v>3873485</v>
      </c>
      <c r="G16" s="1340"/>
      <c r="H16" s="1340"/>
      <c r="I16" s="1340">
        <v>3978123</v>
      </c>
      <c r="J16" s="1340">
        <v>3012927</v>
      </c>
      <c r="K16" s="1340"/>
      <c r="L16" s="1337">
        <f t="shared" si="0"/>
        <v>3978123</v>
      </c>
      <c r="M16" s="1340">
        <v>4402662</v>
      </c>
    </row>
    <row r="17" spans="2:14" ht="20.100000000000001" customHeight="1" x14ac:dyDescent="0.2">
      <c r="B17" s="1334" t="s">
        <v>2103</v>
      </c>
      <c r="C17" s="1338"/>
      <c r="D17" s="1339"/>
      <c r="E17" s="1340">
        <f>SUM(E13:E16)</f>
        <v>3755642</v>
      </c>
      <c r="F17" s="1340">
        <f>SUM(F13:F16)</f>
        <v>4241604</v>
      </c>
      <c r="G17" s="1340">
        <f>SUM(G13:G16)</f>
        <v>3994324</v>
      </c>
      <c r="H17" s="1340">
        <f>H15+H13</f>
        <v>2915082</v>
      </c>
      <c r="I17" s="1340">
        <f>SUM(I13:I16)</f>
        <v>4131575</v>
      </c>
      <c r="J17" s="1340"/>
      <c r="K17" s="1340"/>
      <c r="L17" s="1337">
        <f t="shared" si="0"/>
        <v>8125899</v>
      </c>
      <c r="M17" s="1340">
        <f>SUM(M13:M16)</f>
        <v>9039239</v>
      </c>
    </row>
    <row r="18" spans="2:14" ht="20.100000000000001" customHeight="1" x14ac:dyDescent="0.2">
      <c r="B18" s="1334" t="s">
        <v>2104</v>
      </c>
      <c r="C18" s="1338"/>
      <c r="D18" s="1339"/>
      <c r="E18" s="1340"/>
      <c r="F18" s="1340"/>
      <c r="G18" s="1340"/>
      <c r="H18" s="1340"/>
      <c r="I18" s="1340"/>
      <c r="J18" s="1340"/>
      <c r="K18" s="1340"/>
      <c r="L18" s="1337">
        <f t="shared" si="0"/>
        <v>0</v>
      </c>
      <c r="M18" s="1340"/>
    </row>
    <row r="19" spans="2:14" ht="20.100000000000001" customHeight="1" x14ac:dyDescent="0.2">
      <c r="B19" s="1334" t="s">
        <v>2097</v>
      </c>
      <c r="C19" s="1338"/>
      <c r="D19" s="1339"/>
      <c r="E19" s="1340"/>
      <c r="F19" s="1340"/>
      <c r="G19" s="1340"/>
      <c r="H19" s="1340"/>
      <c r="I19" s="1340"/>
      <c r="J19" s="1340"/>
      <c r="K19" s="1340"/>
      <c r="L19" s="1337">
        <f t="shared" si="0"/>
        <v>0</v>
      </c>
      <c r="M19" s="1340"/>
    </row>
    <row r="20" spans="2:14" ht="20.100000000000001" customHeight="1" x14ac:dyDescent="0.2">
      <c r="B20" s="1334" t="s">
        <v>2106</v>
      </c>
      <c r="C20" s="1338">
        <v>10.555</v>
      </c>
      <c r="D20" s="1339" t="s">
        <v>2107</v>
      </c>
      <c r="E20" s="1340">
        <v>20869</v>
      </c>
      <c r="F20" s="1340">
        <v>4673</v>
      </c>
      <c r="G20" s="1340">
        <v>20869</v>
      </c>
      <c r="H20" s="1340"/>
      <c r="I20" s="1340">
        <v>4673</v>
      </c>
      <c r="J20" s="1340"/>
      <c r="K20" s="1340"/>
      <c r="L20" s="1337">
        <f t="shared" si="0"/>
        <v>25542</v>
      </c>
      <c r="M20" s="1340" t="s">
        <v>2105</v>
      </c>
    </row>
    <row r="21" spans="2:14" ht="20.100000000000001" customHeight="1" x14ac:dyDescent="0.2">
      <c r="B21" s="1334" t="s">
        <v>2120</v>
      </c>
      <c r="C21" s="1338">
        <v>10.555</v>
      </c>
      <c r="D21" s="1339" t="s">
        <v>2124</v>
      </c>
      <c r="E21" s="1340"/>
      <c r="F21" s="1340">
        <v>21953</v>
      </c>
      <c r="G21" s="1340"/>
      <c r="H21" s="1340"/>
      <c r="I21" s="1340">
        <v>21953</v>
      </c>
      <c r="J21" s="1340"/>
      <c r="K21" s="1340"/>
      <c r="L21" s="1337">
        <f t="shared" si="0"/>
        <v>21953</v>
      </c>
      <c r="M21" s="1340" t="s">
        <v>2105</v>
      </c>
    </row>
    <row r="22" spans="2:14" ht="20.100000000000001" customHeight="1" x14ac:dyDescent="0.2">
      <c r="B22" s="1334" t="s">
        <v>2108</v>
      </c>
      <c r="C22" s="1338">
        <v>10.555</v>
      </c>
      <c r="D22" s="1339" t="s">
        <v>2125</v>
      </c>
      <c r="E22" s="1340"/>
      <c r="F22" s="1340">
        <v>2582</v>
      </c>
      <c r="G22" s="1340"/>
      <c r="H22" s="1340"/>
      <c r="I22" s="1340">
        <v>2582</v>
      </c>
      <c r="J22" s="1340"/>
      <c r="K22" s="1340"/>
      <c r="L22" s="1337">
        <f t="shared" si="0"/>
        <v>2582</v>
      </c>
      <c r="M22" s="1340" t="s">
        <v>2105</v>
      </c>
    </row>
    <row r="23" spans="2:14" ht="20.100000000000001" customHeight="1" x14ac:dyDescent="0.2">
      <c r="B23" s="1334" t="s">
        <v>2109</v>
      </c>
      <c r="C23" s="1338">
        <v>10.553000000000001</v>
      </c>
      <c r="D23" s="1339" t="s">
        <v>2111</v>
      </c>
      <c r="E23" s="1340">
        <v>11901</v>
      </c>
      <c r="F23" s="1340">
        <v>2677</v>
      </c>
      <c r="G23" s="1340">
        <v>11901</v>
      </c>
      <c r="H23" s="1340"/>
      <c r="I23" s="1340">
        <v>2677</v>
      </c>
      <c r="J23" s="1340"/>
      <c r="K23" s="1340"/>
      <c r="L23" s="1337">
        <f t="shared" si="0"/>
        <v>14578</v>
      </c>
      <c r="M23" s="1340" t="s">
        <v>2105</v>
      </c>
    </row>
    <row r="24" spans="2:14" ht="20.100000000000001" customHeight="1" x14ac:dyDescent="0.2">
      <c r="B24" s="1334" t="s">
        <v>2121</v>
      </c>
      <c r="C24" s="1338">
        <v>10.553000000000001</v>
      </c>
      <c r="D24" s="1339" t="s">
        <v>2126</v>
      </c>
      <c r="E24" s="1340"/>
      <c r="F24" s="1340">
        <v>12326</v>
      </c>
      <c r="G24" s="1340"/>
      <c r="H24" s="1340"/>
      <c r="I24" s="1340">
        <v>12326</v>
      </c>
      <c r="J24" s="1340"/>
      <c r="K24" s="1340"/>
      <c r="L24" s="1337">
        <f t="shared" si="0"/>
        <v>12326</v>
      </c>
      <c r="M24" s="1340" t="s">
        <v>2105</v>
      </c>
    </row>
    <row r="25" spans="2:14" ht="20.100000000000001" customHeight="1" x14ac:dyDescent="0.2">
      <c r="B25" s="1334" t="s">
        <v>2110</v>
      </c>
      <c r="C25" s="1338"/>
      <c r="D25" s="1339"/>
      <c r="E25" s="1340">
        <f>SUM(E20:E24)</f>
        <v>32770</v>
      </c>
      <c r="F25" s="1340">
        <f>SUM(F20:F24)</f>
        <v>44211</v>
      </c>
      <c r="G25" s="1340">
        <f>SUM(G20:G24)</f>
        <v>32770</v>
      </c>
      <c r="H25" s="1340"/>
      <c r="I25" s="1340">
        <f>SUM(I20:I24)</f>
        <v>44211</v>
      </c>
      <c r="J25" s="1340"/>
      <c r="K25" s="1340"/>
      <c r="L25" s="1337">
        <f t="shared" si="0"/>
        <v>76981</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B1:N152"/>
  <sheetViews>
    <sheetView showGridLines="0" zoomScaleNormal="100" workbookViewId="0">
      <selection activeCell="I17" sqref="I17"/>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22" t="str">
        <f>'Single Audit Cover'!A7</f>
        <v>LaSalle Putnam Alliance</v>
      </c>
      <c r="C1" s="2443"/>
      <c r="D1" s="2443"/>
      <c r="E1" s="2443"/>
      <c r="F1" s="2443"/>
      <c r="G1" s="2443"/>
      <c r="H1" s="2443"/>
      <c r="I1" s="2443"/>
      <c r="J1" s="2443"/>
      <c r="K1" s="2443"/>
      <c r="L1" s="2443"/>
      <c r="M1" s="2443"/>
    </row>
    <row r="2" spans="2:14" ht="15" x14ac:dyDescent="0.2">
      <c r="B2" s="2444">
        <f>'Single Audit Cover'!E7</f>
        <v>35050000061</v>
      </c>
      <c r="C2" s="2444"/>
      <c r="D2" s="2444"/>
      <c r="E2" s="2444"/>
      <c r="F2" s="2444"/>
      <c r="G2" s="2444"/>
      <c r="H2" s="2444"/>
      <c r="I2" s="2444"/>
      <c r="J2" s="2444"/>
      <c r="K2" s="2444"/>
      <c r="L2" s="2444"/>
      <c r="M2" s="2444"/>
      <c r="N2" s="1299"/>
    </row>
    <row r="3" spans="2:14" ht="15" x14ac:dyDescent="0.2">
      <c r="B3" s="2445" t="s">
        <v>1219</v>
      </c>
      <c r="C3" s="2445"/>
      <c r="D3" s="2445"/>
      <c r="E3" s="2445"/>
      <c r="F3" s="2445"/>
      <c r="G3" s="2445"/>
      <c r="H3" s="2445"/>
      <c r="I3" s="2445"/>
      <c r="J3" s="2445"/>
      <c r="K3" s="2445"/>
      <c r="L3" s="2445"/>
      <c r="M3" s="2445"/>
      <c r="N3" s="1299"/>
    </row>
    <row r="4" spans="2:14" ht="15" x14ac:dyDescent="0.2">
      <c r="B4" s="2446" t="str">
        <f>'Single Audit Cover'!A4</f>
        <v>Year Ending June 30, 2019</v>
      </c>
      <c r="C4" s="2446"/>
      <c r="D4" s="2446"/>
      <c r="E4" s="2446"/>
      <c r="F4" s="2446"/>
      <c r="G4" s="2446"/>
      <c r="H4" s="2446"/>
      <c r="I4" s="2446"/>
      <c r="J4" s="2446"/>
      <c r="K4" s="2446"/>
      <c r="L4" s="2446"/>
      <c r="M4" s="2446"/>
      <c r="N4" s="1299"/>
    </row>
    <row r="6" spans="2:14" x14ac:dyDescent="0.2">
      <c r="B6" s="1300"/>
      <c r="C6" s="1301"/>
      <c r="D6" s="1302" t="s">
        <v>1265</v>
      </c>
      <c r="E6" s="1303" t="s">
        <v>527</v>
      </c>
      <c r="F6" s="1304"/>
      <c r="G6" s="1305" t="s">
        <v>1731</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1836</v>
      </c>
      <c r="I8" s="1316" t="s">
        <v>1262</v>
      </c>
      <c r="J8" s="1315" t="s">
        <v>1985</v>
      </c>
      <c r="K8" s="1316" t="s">
        <v>1261</v>
      </c>
      <c r="L8" s="1317" t="s">
        <v>1257</v>
      </c>
      <c r="M8" s="1318" t="s">
        <v>30</v>
      </c>
    </row>
    <row r="9" spans="2:14" ht="14.25" x14ac:dyDescent="0.2">
      <c r="B9" s="1322" t="s">
        <v>1259</v>
      </c>
      <c r="C9" s="1310" t="s">
        <v>1732</v>
      </c>
      <c r="D9" s="1311" t="s">
        <v>1733</v>
      </c>
      <c r="E9" s="1319" t="s">
        <v>1836</v>
      </c>
      <c r="F9" s="1320" t="s">
        <v>1985</v>
      </c>
      <c r="G9" s="1321" t="s">
        <v>1836</v>
      </c>
      <c r="H9" s="1314" t="s">
        <v>1582</v>
      </c>
      <c r="I9" s="1316" t="s">
        <v>1985</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t="s">
        <v>2112</v>
      </c>
      <c r="C11" s="1335"/>
      <c r="D11" s="1336"/>
      <c r="E11" s="1337"/>
      <c r="F11" s="1337"/>
      <c r="G11" s="1337"/>
      <c r="H11" s="1337"/>
      <c r="I11" s="1337"/>
      <c r="J11" s="1337"/>
      <c r="K11" s="1337"/>
      <c r="L11" s="1337">
        <f>+G11+I11+K11</f>
        <v>0</v>
      </c>
      <c r="M11" s="1337"/>
    </row>
    <row r="12" spans="2:14" ht="20.100000000000001" customHeight="1" x14ac:dyDescent="0.2">
      <c r="B12" s="1334" t="s">
        <v>2113</v>
      </c>
      <c r="C12" s="1338"/>
      <c r="D12" s="1339"/>
      <c r="E12" s="1340"/>
      <c r="F12" s="1340"/>
      <c r="G12" s="1340"/>
      <c r="H12" s="1340"/>
      <c r="I12" s="1340"/>
      <c r="J12" s="1340"/>
      <c r="K12" s="1340"/>
      <c r="L12" s="1337">
        <f t="shared" ref="L12:L27" si="0">+G12+I12+K12</f>
        <v>0</v>
      </c>
      <c r="M12" s="1340"/>
    </row>
    <row r="13" spans="2:14" ht="20.100000000000001" customHeight="1" x14ac:dyDescent="0.2">
      <c r="B13" s="1334" t="s">
        <v>2114</v>
      </c>
      <c r="C13" s="1338">
        <v>93.778000000000006</v>
      </c>
      <c r="D13" s="1339" t="s">
        <v>2115</v>
      </c>
      <c r="E13" s="1340">
        <v>16236</v>
      </c>
      <c r="F13" s="1340">
        <v>12991</v>
      </c>
      <c r="G13" s="1340">
        <v>30445</v>
      </c>
      <c r="H13" s="1340"/>
      <c r="I13" s="1340"/>
      <c r="J13" s="1340"/>
      <c r="K13" s="1340"/>
      <c r="L13" s="1337">
        <f t="shared" si="0"/>
        <v>30445</v>
      </c>
      <c r="M13" s="1340" t="s">
        <v>2105</v>
      </c>
    </row>
    <row r="14" spans="2:14" ht="20.100000000000001" customHeight="1" x14ac:dyDescent="0.2">
      <c r="B14" s="1334" t="s">
        <v>2127</v>
      </c>
      <c r="C14" s="1338">
        <v>93.778000000000006</v>
      </c>
      <c r="D14" s="1339" t="s">
        <v>2128</v>
      </c>
      <c r="E14" s="1340"/>
      <c r="F14" s="1340">
        <v>16251</v>
      </c>
      <c r="G14" s="1340"/>
      <c r="H14" s="1340"/>
      <c r="I14" s="1340">
        <v>28131</v>
      </c>
      <c r="J14" s="1340"/>
      <c r="K14" s="1340"/>
      <c r="L14" s="1337">
        <f t="shared" si="0"/>
        <v>28131</v>
      </c>
      <c r="M14" s="1340" t="s">
        <v>2105</v>
      </c>
    </row>
    <row r="15" spans="2:14" ht="20.100000000000001" customHeight="1" x14ac:dyDescent="0.2">
      <c r="B15" s="1334" t="s">
        <v>2116</v>
      </c>
      <c r="C15" s="1338"/>
      <c r="D15" s="1339"/>
      <c r="E15" s="1340">
        <f>SUM(E13:E14)</f>
        <v>16236</v>
      </c>
      <c r="F15" s="1340">
        <f>SUM(F13:F14)</f>
        <v>29242</v>
      </c>
      <c r="G15" s="1340">
        <f>SUM(G13:G14)</f>
        <v>30445</v>
      </c>
      <c r="H15" s="1340"/>
      <c r="I15" s="1340">
        <f>SUM(I13:I14)</f>
        <v>28131</v>
      </c>
      <c r="J15" s="1340"/>
      <c r="K15" s="1340"/>
      <c r="L15" s="1337">
        <f t="shared" si="0"/>
        <v>58576</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t="s">
        <v>2117</v>
      </c>
      <c r="C17" s="1338"/>
      <c r="D17" s="1339"/>
      <c r="E17" s="1340">
        <f>E15+' SEFA'!E25+' SEFA'!E17</f>
        <v>3804648</v>
      </c>
      <c r="F17" s="1340">
        <f>F15+' SEFA'!F25+' SEFA'!F17</f>
        <v>4315057</v>
      </c>
      <c r="G17" s="1340">
        <f>G15+' SEFA'!G25+' SEFA'!G17</f>
        <v>4057539</v>
      </c>
      <c r="H17" s="1340"/>
      <c r="I17" s="1340">
        <f>I15+' SEFA'!I25+' SEFA'!I17</f>
        <v>4203917</v>
      </c>
      <c r="J17" s="1340"/>
      <c r="K17" s="1340"/>
      <c r="L17" s="1337">
        <f t="shared" si="0"/>
        <v>8261456</v>
      </c>
      <c r="M17" s="1340">
        <f>M15+' SEFA'!M25+' SEFA'!M17</f>
        <v>9039239</v>
      </c>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1734</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1837</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1735</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1736</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1737</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1738</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zoomScale="120" zoomScaleNormal="120" workbookViewId="0">
      <selection activeCell="B23" sqref="B2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56" t="str">
        <f>'Single Audit Cover'!A7</f>
        <v>LaSalle Putnam Alliance</v>
      </c>
      <c r="B1" s="2456"/>
      <c r="C1" s="2456"/>
      <c r="D1" s="2456"/>
      <c r="E1" s="2456"/>
      <c r="F1" s="2456"/>
    </row>
    <row r="2" spans="1:7" ht="13.5" customHeight="1" x14ac:dyDescent="0.2">
      <c r="A2" s="2444">
        <f>'Single Audit Cover'!E7</f>
        <v>35050000061</v>
      </c>
      <c r="B2" s="2444"/>
      <c r="C2" s="2444"/>
      <c r="D2" s="2444"/>
      <c r="E2" s="2444"/>
      <c r="F2" s="2444"/>
      <c r="G2" s="1272"/>
    </row>
    <row r="3" spans="1:7" ht="15.75" customHeight="1" x14ac:dyDescent="0.2">
      <c r="A3" s="2457" t="s">
        <v>1271</v>
      </c>
      <c r="B3" s="2457"/>
      <c r="C3" s="2457"/>
      <c r="D3" s="2457"/>
      <c r="E3" s="2457"/>
      <c r="F3" s="2457"/>
    </row>
    <row r="4" spans="1:7" ht="13.5" customHeight="1" x14ac:dyDescent="0.2">
      <c r="A4" s="2458" t="str">
        <f>'Single Audit Cover'!A4</f>
        <v>Year Ending June 30, 2019</v>
      </c>
      <c r="B4" s="2458"/>
      <c r="C4" s="2458"/>
      <c r="D4" s="2458"/>
      <c r="E4" s="2458"/>
      <c r="F4" s="2458"/>
    </row>
    <row r="5" spans="1:7" ht="8.25" customHeight="1" x14ac:dyDescent="0.2">
      <c r="C5" s="317"/>
      <c r="D5" s="317"/>
    </row>
    <row r="6" spans="1:7" ht="13.5" customHeight="1" x14ac:dyDescent="0.2">
      <c r="A6" s="1273" t="s">
        <v>1728</v>
      </c>
      <c r="C6" s="317"/>
      <c r="D6" s="317"/>
    </row>
    <row r="7" spans="1:7" ht="60.95" customHeight="1" x14ac:dyDescent="0.2">
      <c r="A7" s="2455" t="s">
        <v>2131</v>
      </c>
      <c r="B7" s="2455"/>
      <c r="C7" s="2455"/>
      <c r="D7" s="2455"/>
      <c r="E7" s="2455"/>
      <c r="F7" s="2455"/>
    </row>
    <row r="8" spans="1:7" ht="12" customHeight="1" x14ac:dyDescent="0.2">
      <c r="A8" s="1273"/>
      <c r="B8" s="1279"/>
      <c r="C8" s="1279"/>
      <c r="D8" s="1279"/>
    </row>
    <row r="9" spans="1:7" ht="15" customHeight="1" x14ac:dyDescent="0.2">
      <c r="A9" s="1274" t="s">
        <v>1729</v>
      </c>
      <c r="B9" s="1277"/>
      <c r="C9" s="1277"/>
      <c r="D9" s="1277"/>
      <c r="E9" s="1275"/>
      <c r="F9" s="1275"/>
      <c r="G9" s="1275"/>
    </row>
    <row r="10" spans="1:7" ht="15" customHeight="1" x14ac:dyDescent="0.2">
      <c r="A10" s="1276" t="s">
        <v>1547</v>
      </c>
      <c r="B10" s="1277"/>
      <c r="C10" s="1278"/>
      <c r="D10" s="1277" t="s">
        <v>1548</v>
      </c>
      <c r="E10" s="1278" t="s">
        <v>2070</v>
      </c>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55" t="s">
        <v>2133</v>
      </c>
      <c r="B13" s="2455"/>
      <c r="C13" s="2455"/>
      <c r="D13" s="2455"/>
      <c r="E13" s="2455"/>
      <c r="F13" s="2455"/>
    </row>
    <row r="14" spans="1:7" ht="9.75" customHeight="1" x14ac:dyDescent="0.2">
      <c r="C14" s="1257"/>
      <c r="D14" s="1257"/>
    </row>
    <row r="15" spans="1:7" ht="13.5" customHeight="1" x14ac:dyDescent="0.2">
      <c r="C15" s="1846" t="s">
        <v>1270</v>
      </c>
      <c r="D15" s="2453" t="s">
        <v>1269</v>
      </c>
      <c r="E15" s="2453"/>
      <c r="F15" s="2453"/>
    </row>
    <row r="16" spans="1:7" ht="13.5" customHeight="1" x14ac:dyDescent="0.2">
      <c r="A16" s="1279"/>
      <c r="B16" s="1273" t="s">
        <v>1268</v>
      </c>
      <c r="C16" s="1846" t="s">
        <v>1267</v>
      </c>
      <c r="D16" s="2454" t="s">
        <v>1588</v>
      </c>
      <c r="E16" s="2454"/>
      <c r="F16" s="2454"/>
    </row>
    <row r="17" spans="1:6" ht="20.45" customHeight="1" x14ac:dyDescent="0.2">
      <c r="A17" s="1280"/>
      <c r="B17" s="1281" t="s">
        <v>2142</v>
      </c>
      <c r="C17" s="1282" t="s">
        <v>2095</v>
      </c>
      <c r="D17" s="2448">
        <v>3012927</v>
      </c>
      <c r="E17" s="2448"/>
      <c r="F17" s="2448"/>
    </row>
    <row r="18" spans="1:6" ht="20.65" customHeight="1" x14ac:dyDescent="0.2">
      <c r="A18" s="1280"/>
      <c r="B18" s="1947" t="s">
        <v>2142</v>
      </c>
      <c r="C18" s="1282" t="s">
        <v>2098</v>
      </c>
      <c r="D18" s="2448">
        <v>3998</v>
      </c>
      <c r="E18" s="2448"/>
      <c r="F18" s="2448"/>
    </row>
    <row r="19" spans="1:6" ht="20.65" customHeight="1" x14ac:dyDescent="0.2">
      <c r="A19" s="1280"/>
      <c r="B19" s="1281"/>
      <c r="C19" s="1282"/>
      <c r="D19" s="2448"/>
      <c r="E19" s="2448"/>
      <c r="F19" s="2448"/>
    </row>
    <row r="20" spans="1:6" ht="20.65" customHeight="1" x14ac:dyDescent="0.2">
      <c r="A20" s="1280"/>
      <c r="B20" s="1281"/>
      <c r="C20" s="1282"/>
      <c r="D20" s="2448"/>
      <c r="E20" s="2448"/>
      <c r="F20" s="2448"/>
    </row>
    <row r="21" spans="1:6" ht="20.65" customHeight="1" x14ac:dyDescent="0.2">
      <c r="A21" s="1280"/>
      <c r="B21" s="1281"/>
      <c r="C21" s="1282"/>
      <c r="D21" s="2448"/>
      <c r="E21" s="2448"/>
      <c r="F21" s="2448"/>
    </row>
    <row r="22" spans="1:6" ht="20.65" customHeight="1" x14ac:dyDescent="0.2">
      <c r="A22" s="1280"/>
      <c r="B22" s="1281"/>
      <c r="C22" s="1282"/>
      <c r="D22" s="2448"/>
      <c r="E22" s="2448"/>
      <c r="F22" s="2448"/>
    </row>
    <row r="23" spans="1:6" ht="20.65" customHeight="1" x14ac:dyDescent="0.2">
      <c r="A23" s="1280"/>
      <c r="B23" s="1281"/>
      <c r="C23" s="1282"/>
      <c r="D23" s="2448"/>
      <c r="E23" s="2448"/>
      <c r="F23" s="2448"/>
    </row>
    <row r="24" spans="1:6" ht="20.65" customHeight="1" x14ac:dyDescent="0.2">
      <c r="A24" s="1280"/>
      <c r="B24" s="1281"/>
      <c r="C24" s="1282"/>
      <c r="D24" s="2448"/>
      <c r="E24" s="2448"/>
      <c r="F24" s="2448"/>
    </row>
    <row r="25" spans="1:6" ht="20.65" customHeight="1" x14ac:dyDescent="0.2">
      <c r="A25" s="1280"/>
      <c r="B25" s="1281"/>
      <c r="C25" s="1282"/>
      <c r="D25" s="2448"/>
      <c r="E25" s="2448"/>
      <c r="F25" s="2448"/>
    </row>
    <row r="26" spans="1:6" ht="20.65" customHeight="1" x14ac:dyDescent="0.2">
      <c r="A26" s="1280"/>
      <c r="B26" s="1281"/>
      <c r="C26" s="1282"/>
      <c r="D26" s="2448"/>
      <c r="E26" s="2448"/>
      <c r="F26" s="2448"/>
    </row>
    <row r="27" spans="1:6" ht="20.65" customHeight="1" x14ac:dyDescent="0.2">
      <c r="A27" s="1280"/>
      <c r="B27" s="1281"/>
      <c r="C27" s="1282"/>
      <c r="D27" s="2448"/>
      <c r="E27" s="2448"/>
      <c r="F27" s="2448"/>
    </row>
    <row r="28" spans="1:6" ht="20.65" customHeight="1" x14ac:dyDescent="0.2">
      <c r="A28" s="1280"/>
      <c r="B28" s="1281"/>
      <c r="C28" s="1282"/>
      <c r="D28" s="2448"/>
      <c r="E28" s="2448"/>
      <c r="F28" s="2448"/>
    </row>
    <row r="29" spans="1:6" ht="20.65" customHeight="1" x14ac:dyDescent="0.2">
      <c r="A29" s="1280"/>
      <c r="B29" s="1281"/>
      <c r="C29" s="1282"/>
      <c r="D29" s="2448"/>
      <c r="E29" s="2448"/>
      <c r="F29" s="2448"/>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2132</v>
      </c>
      <c r="B32" s="2449"/>
      <c r="C32" s="2449"/>
      <c r="D32" s="2449"/>
      <c r="E32" s="2449"/>
      <c r="F32" s="2449"/>
    </row>
    <row r="33" spans="1:6" ht="13.5" customHeight="1" x14ac:dyDescent="0.2">
      <c r="A33" s="328" t="s">
        <v>1434</v>
      </c>
      <c r="B33" s="328"/>
      <c r="C33" s="1285">
        <v>2582</v>
      </c>
      <c r="D33" s="1903"/>
      <c r="E33" s="1283"/>
    </row>
    <row r="34" spans="1:6" ht="13.5" customHeight="1" x14ac:dyDescent="0.2">
      <c r="A34" s="328" t="s">
        <v>1835</v>
      </c>
      <c r="B34" s="328"/>
      <c r="C34" s="1286">
        <v>0</v>
      </c>
      <c r="D34" s="1903" t="s">
        <v>1589</v>
      </c>
      <c r="E34" s="2450">
        <f>+C33+C34</f>
        <v>2582</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v>0</v>
      </c>
      <c r="D38" s="1903"/>
      <c r="E38" s="1283"/>
    </row>
    <row r="39" spans="1:6" ht="14.25" customHeight="1" x14ac:dyDescent="0.2">
      <c r="A39" s="328"/>
      <c r="B39" s="328" t="s">
        <v>1436</v>
      </c>
      <c r="C39" s="1289">
        <v>0</v>
      </c>
      <c r="D39" s="1903"/>
      <c r="E39" s="1283"/>
    </row>
    <row r="40" spans="1:6" ht="14.25" customHeight="1" x14ac:dyDescent="0.2">
      <c r="A40" s="328"/>
      <c r="B40" s="328" t="s">
        <v>1437</v>
      </c>
      <c r="C40" s="1289">
        <v>0</v>
      </c>
      <c r="D40" s="1903"/>
      <c r="E40" s="1283"/>
    </row>
    <row r="41" spans="1:6" ht="14.25" customHeight="1" x14ac:dyDescent="0.2">
      <c r="A41" s="328"/>
      <c r="B41" s="328" t="s">
        <v>1438</v>
      </c>
      <c r="C41" s="1289">
        <v>0</v>
      </c>
      <c r="D41" s="1903"/>
      <c r="E41" s="1283"/>
    </row>
    <row r="42" spans="1:6" ht="14.25" customHeight="1" x14ac:dyDescent="0.2">
      <c r="A42" s="328" t="s">
        <v>1439</v>
      </c>
      <c r="B42" s="328"/>
      <c r="C42" s="1901">
        <v>0</v>
      </c>
      <c r="D42" s="1903"/>
      <c r="E42" s="1283"/>
    </row>
    <row r="43" spans="1:6" ht="14.25" customHeight="1" x14ac:dyDescent="0.2">
      <c r="A43" s="328" t="s">
        <v>1440</v>
      </c>
      <c r="B43" s="328"/>
      <c r="C43" s="1290" t="s">
        <v>383</v>
      </c>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1730</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7" t="s">
        <v>1551</v>
      </c>
      <c r="C51" s="2447"/>
      <c r="D51" s="2447"/>
    </row>
    <row r="52" spans="1:5" ht="14.25" customHeight="1" x14ac:dyDescent="0.2">
      <c r="A52" s="1298"/>
      <c r="B52" s="2447"/>
      <c r="C52" s="2447"/>
      <c r="D52" s="2447"/>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topLeftCell="A4" zoomScale="110" zoomScaleNormal="110" workbookViewId="0">
      <selection activeCell="I51" sqref="I5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0" t="str">
        <f>'Single Audit Cover'!A7</f>
        <v>LaSalle Putnam Alliance</v>
      </c>
      <c r="C1" s="2471"/>
      <c r="D1" s="2471"/>
      <c r="E1" s="2471"/>
      <c r="F1" s="2471"/>
      <c r="G1" s="2471"/>
      <c r="H1" s="2471"/>
      <c r="I1" s="2471"/>
      <c r="J1" s="1406"/>
    </row>
    <row r="2" spans="2:10" s="317" customFormat="1" ht="12.75" customHeight="1" x14ac:dyDescent="0.2">
      <c r="B2" s="2472">
        <f>'Single Audit Cover'!E7</f>
        <v>35050000061</v>
      </c>
      <c r="C2" s="2473"/>
      <c r="D2" s="2473"/>
      <c r="E2" s="2473"/>
      <c r="F2" s="2473"/>
      <c r="G2" s="2473"/>
      <c r="H2" s="2473"/>
      <c r="I2" s="2473"/>
      <c r="J2" s="1406"/>
    </row>
    <row r="3" spans="2:10" s="317" customFormat="1" ht="12.75" customHeight="1" x14ac:dyDescent="0.2">
      <c r="B3" s="2474" t="s">
        <v>1285</v>
      </c>
      <c r="C3" s="2475"/>
      <c r="D3" s="2475"/>
      <c r="E3" s="2475"/>
      <c r="F3" s="2475"/>
      <c r="G3" s="2475"/>
      <c r="H3" s="2475"/>
      <c r="I3" s="2475"/>
      <c r="J3" s="1407"/>
    </row>
    <row r="4" spans="2:10" s="317" customFormat="1" ht="12.75" customHeight="1" x14ac:dyDescent="0.2">
      <c r="B4" s="2474" t="str">
        <f>'Single Audit Cover'!A4</f>
        <v>Year Ending June 30, 2019</v>
      </c>
      <c r="C4" s="2475"/>
      <c r="D4" s="2475"/>
      <c r="E4" s="2475"/>
      <c r="F4" s="2475"/>
      <c r="G4" s="2475"/>
      <c r="H4" s="2475"/>
      <c r="I4" s="2475"/>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74" t="s">
        <v>1284</v>
      </c>
      <c r="C7" s="2475"/>
      <c r="D7" s="2475"/>
      <c r="E7" s="2475"/>
      <c r="F7" s="2475"/>
      <c r="G7" s="2475"/>
      <c r="H7" s="2475"/>
      <c r="I7" s="2475"/>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76" t="s">
        <v>1164</v>
      </c>
      <c r="D11" s="2476"/>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2070</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t="s">
        <v>2070</v>
      </c>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t="s">
        <v>2070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2070</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t="s">
        <v>2070</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77" t="s">
        <v>2134</v>
      </c>
      <c r="E29" s="2477"/>
      <c r="F29" s="2477"/>
      <c r="G29" s="2477"/>
      <c r="H29" s="2477"/>
      <c r="I29" s="2477"/>
    </row>
    <row r="30" spans="2:9" s="317" customFormat="1" x14ac:dyDescent="0.2">
      <c r="B30" s="1365"/>
      <c r="C30" s="322"/>
      <c r="D30" s="1417" t="s">
        <v>1745</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t="s">
        <v>2070</v>
      </c>
      <c r="H33" s="1297" t="s">
        <v>99</v>
      </c>
    </row>
    <row r="35" spans="2:9" x14ac:dyDescent="0.2">
      <c r="B35" s="1425" t="s">
        <v>1746</v>
      </c>
      <c r="C35" s="1426"/>
      <c r="D35" s="1264"/>
    </row>
    <row r="36" spans="2:9" ht="6" customHeight="1" x14ac:dyDescent="0.2">
      <c r="B36" s="1425"/>
      <c r="C36" s="1426"/>
      <c r="D36" s="1264"/>
    </row>
    <row r="37" spans="2:9" ht="17.25" customHeight="1" x14ac:dyDescent="0.2">
      <c r="B37" s="1427" t="s">
        <v>1747</v>
      </c>
      <c r="C37" s="2478" t="s">
        <v>1748</v>
      </c>
      <c r="D37" s="2479"/>
      <c r="E37" s="2479"/>
      <c r="F37" s="2480"/>
      <c r="G37" s="2478" t="s">
        <v>1592</v>
      </c>
      <c r="H37" s="2479"/>
      <c r="I37" s="2480"/>
    </row>
    <row r="38" spans="2:9" ht="16.5" customHeight="1" x14ac:dyDescent="0.2">
      <c r="B38" s="1428" t="s">
        <v>2135</v>
      </c>
      <c r="C38" s="2466" t="s">
        <v>2136</v>
      </c>
      <c r="D38" s="2467"/>
      <c r="E38" s="2467"/>
      <c r="F38" s="2468"/>
      <c r="G38" s="2481">
        <v>153452</v>
      </c>
      <c r="H38" s="2482"/>
      <c r="I38" s="2483"/>
    </row>
    <row r="39" spans="2:9" ht="16.5" customHeight="1" x14ac:dyDescent="0.2">
      <c r="B39" s="1428" t="s">
        <v>2095</v>
      </c>
      <c r="C39" s="2466" t="s">
        <v>2136</v>
      </c>
      <c r="D39" s="2467"/>
      <c r="E39" s="2467"/>
      <c r="F39" s="2468"/>
      <c r="G39" s="2469">
        <v>3978123</v>
      </c>
      <c r="H39" s="2469"/>
      <c r="I39" s="2469"/>
    </row>
    <row r="40" spans="2:9" ht="16.5" customHeight="1" x14ac:dyDescent="0.2">
      <c r="B40" s="1428"/>
      <c r="C40" s="2466"/>
      <c r="D40" s="2467"/>
      <c r="E40" s="2467"/>
      <c r="F40" s="2468"/>
      <c r="G40" s="2469"/>
      <c r="H40" s="2469"/>
      <c r="I40" s="2469"/>
    </row>
    <row r="41" spans="2:9" ht="16.5" customHeight="1" x14ac:dyDescent="0.2">
      <c r="B41" s="1428"/>
      <c r="C41" s="2466"/>
      <c r="D41" s="2467"/>
      <c r="E41" s="2467"/>
      <c r="F41" s="2468"/>
      <c r="G41" s="2469"/>
      <c r="H41" s="2469"/>
      <c r="I41" s="2469"/>
    </row>
    <row r="42" spans="2:9" ht="16.5" customHeight="1" x14ac:dyDescent="0.2">
      <c r="B42" s="1428"/>
      <c r="C42" s="2466"/>
      <c r="D42" s="2467"/>
      <c r="E42" s="2467"/>
      <c r="F42" s="2468"/>
      <c r="G42" s="2469"/>
      <c r="H42" s="2469"/>
      <c r="I42" s="2469"/>
    </row>
    <row r="43" spans="2:9" ht="16.5" customHeight="1" x14ac:dyDescent="0.2">
      <c r="B43" s="1428"/>
      <c r="C43" s="2459" t="s">
        <v>1593</v>
      </c>
      <c r="D43" s="2460"/>
      <c r="E43" s="2460"/>
      <c r="F43" s="2461"/>
      <c r="G43" s="2462">
        <f>SUM(G38:I42)</f>
        <v>4131575</v>
      </c>
      <c r="H43" s="2462"/>
      <c r="I43" s="2462"/>
    </row>
    <row r="44" spans="2:9" ht="12.75" customHeight="1" x14ac:dyDescent="0.2"/>
    <row r="45" spans="2:9" ht="12.75" customHeight="1" x14ac:dyDescent="0.2">
      <c r="B45" s="1419" t="s">
        <v>2059</v>
      </c>
      <c r="D45" s="2463">
        <v>4203917</v>
      </c>
      <c r="E45" s="2464"/>
    </row>
    <row r="46" spans="2:9" ht="5.25" customHeight="1" x14ac:dyDescent="0.2">
      <c r="B46" s="1429"/>
      <c r="D46" s="1430"/>
      <c r="E46" s="1431"/>
    </row>
    <row r="47" spans="2:9" ht="12.75" customHeight="1" x14ac:dyDescent="0.2">
      <c r="B47" s="1297" t="s">
        <v>1594</v>
      </c>
      <c r="C47" s="1297"/>
      <c r="D47" s="1432">
        <f>+G43/D45</f>
        <v>0.98279176301530213</v>
      </c>
      <c r="E47" s="1433"/>
      <c r="F47" s="1434"/>
      <c r="I47" s="1435"/>
    </row>
    <row r="48" spans="2:9" ht="9.9499999999999993" customHeight="1" x14ac:dyDescent="0.2"/>
    <row r="49" spans="1:9" x14ac:dyDescent="0.2">
      <c r="B49" s="1365" t="s">
        <v>1273</v>
      </c>
      <c r="C49" s="1279"/>
      <c r="D49" s="1279"/>
      <c r="E49" s="2465">
        <v>750000</v>
      </c>
      <c r="F49" s="2465"/>
      <c r="G49" s="2465"/>
      <c r="H49" s="322"/>
    </row>
    <row r="51" spans="1:9" ht="13.5" customHeight="1" x14ac:dyDescent="0.2">
      <c r="B51" s="1365" t="s">
        <v>1272</v>
      </c>
      <c r="C51" s="1279"/>
      <c r="E51" s="1422"/>
      <c r="F51" s="1297" t="s">
        <v>885</v>
      </c>
      <c r="G51" s="1422" t="s">
        <v>2070</v>
      </c>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1749</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1750</v>
      </c>
      <c r="C58" s="1448"/>
      <c r="D58" s="1448"/>
    </row>
    <row r="59" spans="1:9" s="1445" customFormat="1" ht="3.95" customHeight="1" x14ac:dyDescent="0.2">
      <c r="A59" s="1442"/>
      <c r="B59" s="1447"/>
      <c r="C59" s="1448"/>
      <c r="D59" s="1448"/>
    </row>
    <row r="60" spans="1:9" s="1445" customFormat="1" ht="13.5" customHeight="1" x14ac:dyDescent="0.2">
      <c r="A60" s="1442"/>
      <c r="B60" s="1447" t="s">
        <v>1751</v>
      </c>
      <c r="C60" s="1448"/>
      <c r="D60" s="1448"/>
    </row>
    <row r="61" spans="1:9" s="1445" customFormat="1" ht="3.95" customHeight="1" x14ac:dyDescent="0.2">
      <c r="A61" s="1442"/>
      <c r="B61" s="1447"/>
      <c r="C61" s="1448"/>
      <c r="D61" s="1448"/>
    </row>
    <row r="62" spans="1:9" s="1445" customFormat="1" ht="12.75" customHeight="1" x14ac:dyDescent="0.2">
      <c r="A62" s="1442"/>
      <c r="B62" s="1447" t="s">
        <v>1752</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B14" sqref="B14:K1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0" t="str">
        <f>'Single Audit Cover'!A7</f>
        <v>LaSalle Putnam Alliance</v>
      </c>
      <c r="C1" s="2470"/>
      <c r="D1" s="2470"/>
      <c r="E1" s="2470"/>
      <c r="F1" s="2470"/>
      <c r="G1" s="2470"/>
      <c r="H1" s="2470"/>
      <c r="I1" s="2470"/>
      <c r="J1" s="2470"/>
      <c r="K1" s="2470"/>
      <c r="L1" s="1371"/>
      <c r="M1" s="1371"/>
    </row>
    <row r="2" spans="1:13" ht="12" customHeight="1" x14ac:dyDescent="0.2">
      <c r="B2" s="2472">
        <f>'Single Audit Cover'!E7</f>
        <v>35050000061</v>
      </c>
      <c r="C2" s="2472"/>
      <c r="D2" s="2472"/>
      <c r="E2" s="2472"/>
      <c r="F2" s="2472"/>
      <c r="G2" s="2472"/>
      <c r="H2" s="2472"/>
      <c r="I2" s="2472"/>
      <c r="J2" s="2472"/>
      <c r="K2" s="2472"/>
      <c r="L2" s="1372"/>
      <c r="M2" s="1373"/>
    </row>
    <row r="3" spans="1:13" ht="10.35" customHeight="1" x14ac:dyDescent="0.2">
      <c r="B3" s="2486" t="s">
        <v>1285</v>
      </c>
      <c r="C3" s="2486"/>
      <c r="D3" s="2486"/>
      <c r="E3" s="2486"/>
      <c r="F3" s="2486"/>
      <c r="G3" s="2486"/>
      <c r="H3" s="2486"/>
      <c r="I3" s="2486"/>
      <c r="J3" s="2486"/>
      <c r="K3" s="2486"/>
      <c r="L3" s="1374"/>
      <c r="M3" s="1374"/>
    </row>
    <row r="4" spans="1:13" ht="14.25" customHeight="1" x14ac:dyDescent="0.2">
      <c r="B4" s="2487" t="str">
        <f>'Single Audit Cover'!A4</f>
        <v>Year Ending June 30, 2019</v>
      </c>
      <c r="C4" s="2487"/>
      <c r="D4" s="2487"/>
      <c r="E4" s="2487"/>
      <c r="F4" s="2487"/>
      <c r="G4" s="2487"/>
      <c r="H4" s="2487"/>
      <c r="I4" s="2487"/>
      <c r="J4" s="2487"/>
      <c r="K4" s="2487"/>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7" t="s">
        <v>1296</v>
      </c>
      <c r="C7" s="2487"/>
      <c r="D7" s="2488"/>
      <c r="E7" s="2488"/>
      <c r="F7" s="2488"/>
      <c r="G7" s="2488"/>
      <c r="H7" s="2488"/>
      <c r="I7" s="2488"/>
      <c r="J7" s="2488"/>
      <c r="K7" s="2488"/>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1739</v>
      </c>
      <c r="C10" s="1382" t="s">
        <v>1986</v>
      </c>
      <c r="D10" s="1383" t="s">
        <v>2105</v>
      </c>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5"/>
      <c r="C14" s="2485"/>
      <c r="D14" s="2485"/>
      <c r="E14" s="2485"/>
      <c r="F14" s="2485"/>
      <c r="G14" s="2485"/>
      <c r="H14" s="2485"/>
      <c r="I14" s="2485"/>
      <c r="J14" s="2485"/>
      <c r="K14" s="2485"/>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5"/>
      <c r="C17" s="2485"/>
      <c r="D17" s="2485"/>
      <c r="E17" s="2485"/>
      <c r="F17" s="2485"/>
      <c r="G17" s="2485"/>
      <c r="H17" s="2485"/>
      <c r="I17" s="2485"/>
      <c r="J17" s="2485"/>
      <c r="K17" s="2485"/>
      <c r="L17" s="1378"/>
    </row>
    <row r="18" spans="2:12" ht="4.5" customHeight="1" x14ac:dyDescent="0.2">
      <c r="B18" s="1395"/>
      <c r="C18" s="1395"/>
      <c r="L18" s="1378"/>
    </row>
    <row r="19" spans="2:12" s="1279" customFormat="1" ht="13.5" customHeight="1" x14ac:dyDescent="0.2">
      <c r="B19" s="1390" t="s">
        <v>1740</v>
      </c>
      <c r="C19" s="1390"/>
      <c r="D19" s="1391"/>
      <c r="E19" s="1391"/>
      <c r="F19" s="1391"/>
      <c r="G19" s="1392"/>
      <c r="H19" s="1391"/>
      <c r="I19" s="1392"/>
      <c r="J19" s="1391"/>
      <c r="K19" s="1391"/>
      <c r="L19" s="1393"/>
    </row>
    <row r="20" spans="2:12" ht="45.75" customHeight="1" x14ac:dyDescent="0.2">
      <c r="B20" s="2489"/>
      <c r="C20" s="2489"/>
      <c r="D20" s="2485"/>
      <c r="E20" s="2485"/>
      <c r="F20" s="2485"/>
      <c r="G20" s="2485"/>
      <c r="H20" s="2485"/>
      <c r="I20" s="2485"/>
      <c r="J20" s="2485"/>
      <c r="K20" s="2485"/>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5"/>
      <c r="C23" s="2485"/>
      <c r="D23" s="2485"/>
      <c r="E23" s="2485"/>
      <c r="F23" s="2485"/>
      <c r="G23" s="2485"/>
      <c r="H23" s="2485"/>
      <c r="I23" s="2485"/>
      <c r="J23" s="2485"/>
      <c r="K23" s="2485"/>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85"/>
      <c r="C26" s="2485"/>
      <c r="D26" s="2485"/>
      <c r="E26" s="2485"/>
      <c r="F26" s="2485"/>
      <c r="G26" s="2485"/>
      <c r="H26" s="2485"/>
      <c r="I26" s="2485"/>
      <c r="J26" s="2485"/>
      <c r="K26" s="2485"/>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84"/>
      <c r="C29" s="2484"/>
      <c r="D29" s="2485"/>
      <c r="E29" s="2485"/>
      <c r="F29" s="2485"/>
      <c r="G29" s="2485"/>
      <c r="H29" s="2485"/>
      <c r="I29" s="2485"/>
      <c r="J29" s="2485"/>
      <c r="K29" s="2485"/>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1741</v>
      </c>
      <c r="C31" s="1400"/>
      <c r="D31" s="1375"/>
      <c r="E31" s="1376"/>
      <c r="F31" s="1376"/>
      <c r="G31" s="1377"/>
      <c r="H31" s="1376"/>
      <c r="I31" s="1377"/>
      <c r="J31" s="1376"/>
      <c r="K31" s="1376"/>
      <c r="L31" s="1378"/>
    </row>
    <row r="32" spans="2:12" s="322" customFormat="1" ht="44.25" customHeight="1" x14ac:dyDescent="0.2">
      <c r="B32" s="2484"/>
      <c r="C32" s="2484"/>
      <c r="D32" s="2485"/>
      <c r="E32" s="2485"/>
      <c r="F32" s="2485"/>
      <c r="G32" s="2485"/>
      <c r="H32" s="2485"/>
      <c r="I32" s="2485"/>
      <c r="J32" s="2485"/>
      <c r="K32" s="2485"/>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1742</v>
      </c>
      <c r="C35" s="1403"/>
      <c r="D35" s="322"/>
      <c r="E35" s="322"/>
      <c r="F35" s="322"/>
      <c r="L35" s="1378"/>
    </row>
    <row r="36" spans="1:13" ht="9.6" customHeight="1" x14ac:dyDescent="0.2">
      <c r="B36" s="1297" t="s">
        <v>1838</v>
      </c>
      <c r="C36" s="1297"/>
      <c r="L36" s="1378"/>
    </row>
    <row r="37" spans="1:13" ht="9.6" customHeight="1" x14ac:dyDescent="0.2">
      <c r="B37" s="1297" t="s">
        <v>1839</v>
      </c>
      <c r="C37" s="1297"/>
    </row>
    <row r="38" spans="1:13" ht="11.85" customHeight="1" x14ac:dyDescent="0.2">
      <c r="B38" s="1404" t="s">
        <v>1743</v>
      </c>
      <c r="C38" s="1404"/>
    </row>
    <row r="39" spans="1:13" ht="9.6" customHeight="1" x14ac:dyDescent="0.2">
      <c r="B39" s="1297" t="s">
        <v>1286</v>
      </c>
      <c r="C39" s="1297"/>
      <c r="M39" s="1405"/>
    </row>
    <row r="40" spans="1:13" ht="12.6" customHeight="1" x14ac:dyDescent="0.2">
      <c r="B40" s="1404" t="s">
        <v>1744</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L48"/>
  <sheetViews>
    <sheetView showGridLines="0" zoomScale="110" zoomScaleNormal="110" workbookViewId="0">
      <selection activeCell="D8" sqref="D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3" t="str">
        <f>'Single Audit Cover'!A7</f>
        <v>LaSalle Putnam Alliance</v>
      </c>
      <c r="C1" s="2493"/>
      <c r="D1" s="2493"/>
      <c r="E1" s="2493"/>
      <c r="F1" s="2493"/>
      <c r="G1" s="2493"/>
      <c r="H1" s="2493"/>
      <c r="I1" s="2493"/>
      <c r="J1" s="2493"/>
      <c r="K1" s="2493"/>
      <c r="L1" s="1449"/>
    </row>
    <row r="2" spans="1:12" ht="12.75" customHeight="1" x14ac:dyDescent="0.2">
      <c r="B2" s="2494">
        <f>'Single Audit Cover'!E7</f>
        <v>35050000061</v>
      </c>
      <c r="C2" s="2494"/>
      <c r="D2" s="2494"/>
      <c r="E2" s="2494"/>
      <c r="F2" s="2494"/>
      <c r="G2" s="2494"/>
      <c r="H2" s="2494"/>
      <c r="I2" s="2494"/>
      <c r="J2" s="2494"/>
      <c r="K2" s="2494"/>
      <c r="L2" s="1450"/>
    </row>
    <row r="3" spans="1:12" ht="12.75" customHeight="1" x14ac:dyDescent="0.2">
      <c r="B3" s="2486" t="s">
        <v>1285</v>
      </c>
      <c r="C3" s="2486"/>
      <c r="D3" s="2486"/>
      <c r="E3" s="2486"/>
      <c r="F3" s="2486"/>
      <c r="G3" s="2486"/>
      <c r="H3" s="2486"/>
      <c r="I3" s="2486"/>
      <c r="J3" s="2486"/>
      <c r="K3" s="2486"/>
      <c r="L3" s="1374"/>
    </row>
    <row r="4" spans="1:12" ht="12.75" customHeight="1" x14ac:dyDescent="0.2">
      <c r="B4" s="2486" t="str">
        <f>'Single Audit Cover'!A4</f>
        <v>Year Ending June 30, 2019</v>
      </c>
      <c r="C4" s="2486"/>
      <c r="D4" s="2486"/>
      <c r="E4" s="2486"/>
      <c r="F4" s="2486"/>
      <c r="G4" s="2486"/>
      <c r="H4" s="2486"/>
      <c r="I4" s="2486"/>
      <c r="J4" s="2486"/>
      <c r="K4" s="2486"/>
      <c r="L4" s="1374"/>
    </row>
    <row r="5" spans="1:12" ht="5.25" customHeight="1" x14ac:dyDescent="0.2">
      <c r="B5" s="1257" t="s">
        <v>1169</v>
      </c>
      <c r="C5" s="1257"/>
      <c r="L5" s="322"/>
    </row>
    <row r="6" spans="1:12" ht="30.75" customHeight="1" x14ac:dyDescent="0.2">
      <c r="A6" s="322"/>
      <c r="B6" s="2495" t="s">
        <v>1308</v>
      </c>
      <c r="C6" s="2495"/>
      <c r="D6" s="2495"/>
      <c r="E6" s="2495"/>
      <c r="F6" s="2495"/>
      <c r="G6" s="2495"/>
      <c r="H6" s="2495"/>
      <c r="I6" s="2495"/>
      <c r="J6" s="2495"/>
      <c r="K6" s="2495"/>
      <c r="L6" s="322"/>
    </row>
    <row r="7" spans="1:12" ht="4.5" customHeight="1" x14ac:dyDescent="0.2">
      <c r="B7" s="1376"/>
      <c r="C7" s="1376"/>
      <c r="D7" s="1376"/>
      <c r="E7" s="1376"/>
      <c r="F7" s="1376"/>
      <c r="G7" s="1377"/>
      <c r="H7" s="1376"/>
      <c r="I7" s="1377"/>
      <c r="J7" s="1376"/>
      <c r="K7" s="1376"/>
      <c r="L7" s="322"/>
    </row>
    <row r="8" spans="1:12" ht="13.5" customHeight="1" x14ac:dyDescent="0.2">
      <c r="B8" s="1384" t="s">
        <v>1753</v>
      </c>
      <c r="C8" s="1451" t="s">
        <v>1986</v>
      </c>
      <c r="D8" s="1452" t="s">
        <v>2105</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77"/>
      <c r="G12" s="2477"/>
      <c r="H12" s="2477"/>
      <c r="I12" s="2477"/>
      <c r="J12" s="2477"/>
      <c r="K12" s="2477"/>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0"/>
      <c r="E14" s="2490"/>
      <c r="F14" s="2490"/>
      <c r="H14" s="1459" t="s">
        <v>1303</v>
      </c>
      <c r="I14" s="2491"/>
      <c r="J14" s="2491"/>
      <c r="K14" s="2491"/>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1"/>
      <c r="E16" s="2491"/>
      <c r="F16" s="2491"/>
      <c r="G16" s="2491"/>
      <c r="H16" s="2491"/>
      <c r="I16" s="2491"/>
      <c r="J16" s="2491"/>
      <c r="K16" s="2491"/>
      <c r="L16" s="322"/>
    </row>
    <row r="17" spans="2:12" ht="13.5" customHeight="1" x14ac:dyDescent="0.2">
      <c r="B17" s="1384" t="s">
        <v>1301</v>
      </c>
      <c r="C17" s="1384"/>
      <c r="D17" s="2492"/>
      <c r="E17" s="2492"/>
      <c r="F17" s="2492"/>
      <c r="G17" s="2492"/>
      <c r="H17" s="2492"/>
      <c r="I17" s="2492"/>
      <c r="J17" s="2492"/>
      <c r="K17" s="2492"/>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5"/>
      <c r="C20" s="2485"/>
      <c r="D20" s="2485"/>
      <c r="E20" s="2485"/>
      <c r="F20" s="2485"/>
      <c r="G20" s="2485"/>
      <c r="H20" s="2485"/>
      <c r="I20" s="2485"/>
      <c r="J20" s="2485"/>
      <c r="K20" s="2485"/>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1754</v>
      </c>
      <c r="C22" s="1461"/>
      <c r="D22" s="322"/>
      <c r="E22" s="322"/>
      <c r="F22" s="322"/>
      <c r="G22" s="1380"/>
      <c r="H22" s="322"/>
      <c r="I22" s="1380"/>
      <c r="J22" s="322"/>
      <c r="K22" s="322"/>
      <c r="L22" s="322"/>
    </row>
    <row r="23" spans="2:12" ht="37.5" customHeight="1" x14ac:dyDescent="0.2">
      <c r="B23" s="2485"/>
      <c r="C23" s="2485"/>
      <c r="D23" s="2485"/>
      <c r="E23" s="2485"/>
      <c r="F23" s="2485"/>
      <c r="G23" s="2485"/>
      <c r="H23" s="2485"/>
      <c r="I23" s="2485"/>
      <c r="J23" s="2485"/>
      <c r="K23" s="2485"/>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1755</v>
      </c>
      <c r="C25" s="1461"/>
      <c r="D25" s="322"/>
      <c r="E25" s="322"/>
      <c r="F25" s="322"/>
      <c r="G25" s="1380"/>
      <c r="H25" s="322"/>
      <c r="I25" s="1380"/>
      <c r="J25" s="322"/>
      <c r="K25" s="322"/>
      <c r="L25" s="322"/>
    </row>
    <row r="26" spans="2:12" ht="37.5" customHeight="1" x14ac:dyDescent="0.2">
      <c r="B26" s="2485"/>
      <c r="C26" s="2485"/>
      <c r="D26" s="2485"/>
      <c r="E26" s="2485"/>
      <c r="F26" s="2485"/>
      <c r="G26" s="2485"/>
      <c r="H26" s="2485"/>
      <c r="I26" s="2485"/>
      <c r="J26" s="2485"/>
      <c r="K26" s="2485"/>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1756</v>
      </c>
      <c r="C28" s="1461"/>
      <c r="D28" s="322"/>
      <c r="E28" s="322"/>
      <c r="F28" s="322"/>
      <c r="G28" s="1380"/>
      <c r="H28" s="322"/>
      <c r="I28" s="1380"/>
      <c r="J28" s="322"/>
      <c r="K28" s="322"/>
      <c r="L28" s="322"/>
    </row>
    <row r="29" spans="2:12" ht="37.5" customHeight="1" x14ac:dyDescent="0.2">
      <c r="B29" s="2485"/>
      <c r="C29" s="2485"/>
      <c r="D29" s="2485"/>
      <c r="E29" s="2485"/>
      <c r="F29" s="2485"/>
      <c r="G29" s="2485"/>
      <c r="H29" s="2485"/>
      <c r="I29" s="2485"/>
      <c r="J29" s="2485"/>
      <c r="K29" s="2485"/>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5"/>
      <c r="C32" s="2485"/>
      <c r="D32" s="2485"/>
      <c r="E32" s="2485"/>
      <c r="F32" s="2485"/>
      <c r="G32" s="2485"/>
      <c r="H32" s="2485"/>
      <c r="I32" s="2485"/>
      <c r="J32" s="2485"/>
      <c r="K32" s="2485"/>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5"/>
      <c r="C35" s="2485"/>
      <c r="D35" s="2485"/>
      <c r="E35" s="2485"/>
      <c r="F35" s="2485"/>
      <c r="G35" s="2485"/>
      <c r="H35" s="2485"/>
      <c r="I35" s="2485"/>
      <c r="J35" s="2485"/>
      <c r="K35" s="2485"/>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5"/>
      <c r="C38" s="2485"/>
      <c r="D38" s="2485"/>
      <c r="E38" s="2485"/>
      <c r="F38" s="2485"/>
      <c r="G38" s="2485"/>
      <c r="H38" s="2485"/>
      <c r="I38" s="2485"/>
      <c r="J38" s="2485"/>
      <c r="K38" s="2485"/>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1757</v>
      </c>
      <c r="C40" s="1400"/>
      <c r="D40" s="1375"/>
      <c r="E40" s="1376"/>
      <c r="F40" s="1376"/>
      <c r="G40" s="1377"/>
      <c r="H40" s="1376"/>
      <c r="I40" s="1377"/>
      <c r="J40" s="1376"/>
      <c r="K40" s="1376"/>
    </row>
    <row r="41" spans="2:12" s="322" customFormat="1" ht="33.75" customHeight="1" x14ac:dyDescent="0.2">
      <c r="B41" s="2485"/>
      <c r="C41" s="2485"/>
      <c r="D41" s="2485"/>
      <c r="E41" s="2485"/>
      <c r="F41" s="2485"/>
      <c r="G41" s="2485"/>
      <c r="H41" s="2485"/>
      <c r="I41" s="2485"/>
      <c r="J41" s="2485"/>
      <c r="K41" s="2485"/>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1758</v>
      </c>
      <c r="C44" s="1403"/>
      <c r="D44" s="322"/>
      <c r="E44" s="322"/>
      <c r="F44" s="322"/>
    </row>
    <row r="45" spans="2:12" ht="10.5" customHeight="1" x14ac:dyDescent="0.2">
      <c r="B45" s="1404" t="s">
        <v>1759</v>
      </c>
      <c r="C45" s="1404"/>
      <c r="G45" s="317"/>
      <c r="I45" s="317"/>
    </row>
    <row r="46" spans="2:12" ht="11.1" customHeight="1" x14ac:dyDescent="0.2">
      <c r="B46" s="1404" t="s">
        <v>1760</v>
      </c>
      <c r="C46" s="1404"/>
      <c r="G46" s="317"/>
      <c r="I46" s="317"/>
    </row>
    <row r="47" spans="2:12" ht="11.1" customHeight="1" x14ac:dyDescent="0.2">
      <c r="B47" s="1404" t="s">
        <v>1761</v>
      </c>
      <c r="C47" s="1404"/>
      <c r="G47" s="317"/>
      <c r="I47" s="317"/>
    </row>
    <row r="48" spans="2:12" ht="11.1" customHeight="1" x14ac:dyDescent="0.2">
      <c r="B48" s="1404" t="s">
        <v>1762</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B1:E73"/>
  <sheetViews>
    <sheetView showGridLines="0" zoomScale="110" zoomScaleNormal="110" workbookViewId="0">
      <selection activeCell="B8" sqref="B8"/>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70" t="str">
        <f>'Single Audit Cover'!A7</f>
        <v>LaSalle Putnam Alliance</v>
      </c>
      <c r="C1" s="2470"/>
      <c r="D1" s="2470"/>
      <c r="E1" s="1469"/>
    </row>
    <row r="2" spans="2:5" s="1279" customFormat="1" ht="12.75" customHeight="1" x14ac:dyDescent="0.2">
      <c r="B2" s="2472">
        <f>'Single Audit Cover'!E7</f>
        <v>35050000061</v>
      </c>
      <c r="C2" s="2472"/>
      <c r="D2" s="2472"/>
      <c r="E2" s="1470"/>
    </row>
    <row r="3" spans="2:5" ht="12.75" customHeight="1" x14ac:dyDescent="0.2">
      <c r="B3" s="2486" t="s">
        <v>1763</v>
      </c>
      <c r="C3" s="2486"/>
      <c r="D3" s="2486"/>
      <c r="E3" s="1271"/>
    </row>
    <row r="4" spans="2:5" s="1279" customFormat="1" ht="12.75" customHeight="1" x14ac:dyDescent="0.2">
      <c r="B4" s="2496" t="str">
        <f>'Single Audit Cover'!A4</f>
        <v>Year Ending June 30, 2019</v>
      </c>
      <c r="C4" s="2496"/>
      <c r="D4" s="2496"/>
      <c r="E4" s="1471"/>
    </row>
    <row r="5" spans="2:5" s="1279" customFormat="1" ht="40.15" customHeight="1" x14ac:dyDescent="0.2">
      <c r="B5" s="1472" t="s">
        <v>1764</v>
      </c>
      <c r="C5" s="328"/>
      <c r="D5" s="328"/>
      <c r="E5" s="328"/>
    </row>
    <row r="6" spans="2:5" s="1279" customFormat="1" ht="13.5" customHeight="1" x14ac:dyDescent="0.2">
      <c r="B6" s="1473" t="s">
        <v>1315</v>
      </c>
      <c r="C6" s="1473" t="s">
        <v>1314</v>
      </c>
      <c r="D6" s="1473" t="s">
        <v>1765</v>
      </c>
    </row>
    <row r="7" spans="2:5" ht="13.5" customHeight="1" x14ac:dyDescent="0.2">
      <c r="B7" s="1474" t="s">
        <v>2137</v>
      </c>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1766</v>
      </c>
    </row>
    <row r="46" spans="2:5" ht="12.2" customHeight="1" x14ac:dyDescent="0.2">
      <c r="B46" s="1483" t="s">
        <v>1767</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06D1DBCF-7ECF-4109-B0E1-DC71667BB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purl.org/dc/terms/"/>
    <ds:schemaRef ds:uri="http://schemas.microsoft.com/office/2006/documentManagement/types"/>
    <ds:schemaRef ds:uri="http://schemas.microsoft.com/sharepoint/v3"/>
    <ds:schemaRef ds:uri="4d435f69-8686-490b-bd6d-b153bf22ab50"/>
    <ds:schemaRef ds:uri="http://www.w3.org/XML/1998/namespace"/>
    <ds:schemaRef ds:uri="http://purl.org/dc/elements/1.1/"/>
    <ds:schemaRef ds:uri="http://schemas.microsoft.com/office/2006/metadata/properties"/>
    <ds:schemaRef ds:uri="http://schemas.microsoft.com/office/infopath/2007/PartnerControls"/>
    <ds:schemaRef ds:uri="d21dc803-237d-4c68-8692-8d731fd29118"/>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(v4).xlsm</dc:title>
  <dc:creator>HEMBERGER DEBRA</dc:creator>
  <cp:lastModifiedBy>BAXTER CHRISTOPHER</cp:lastModifiedBy>
  <cp:lastPrinted>2019-09-27T12:57:52Z</cp:lastPrinted>
  <dcterms:created xsi:type="dcterms:W3CDTF">2003-10-29T19:06:34Z</dcterms:created>
  <dcterms:modified xsi:type="dcterms:W3CDTF">2019-11-04T21:09:49Z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orkbook id">
    <vt:lpwstr>af5fa459-e813-40d0-a4a0-04e2c55a0d8a</vt:lpwstr>
  </property>
  <property fmtid="{D5CDD505-2E9C-101B-9397-08002B2CF9AE}" pid="5" name="Workbook type">
    <vt:lpwstr>Custom</vt:lpwstr>
  </property>
  <property fmtid="{D5CDD505-2E9C-101B-9397-08002B2CF9AE}" pid="6" name="Workbook version">
    <vt:lpwstr>Custom</vt:lpwstr>
  </property>
  <property fmtid="{D5CDD505-2E9C-101B-9397-08002B2CF9AE}" pid="7" name="WPCSUniqueID">
    <vt:lpwstr>4098f33f-0252-406f-9fd2-f23eefcca453</vt:lpwstr>
  </property>
</Properties>
</file>