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Joint Agreements 19\"/>
    </mc:Choice>
  </mc:AlternateContent>
  <bookViews>
    <workbookView xWindow="-15" yWindow="13710" windowWidth="20730" windowHeight="639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7">' SEFA'!$B$1:$M$46</definedName>
    <definedName name="_xlnm.Print_Area" localSheetId="28">' SEFA (2)'!$B$1:$M$46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G38" i="174" l="1"/>
  <c r="D21" i="173"/>
  <c r="J20" i="183"/>
  <c r="J17" i="183"/>
  <c r="J15" i="179"/>
  <c r="I15" i="179"/>
  <c r="C8" i="29" l="1"/>
  <c r="L27" i="183"/>
  <c r="L26" i="183"/>
  <c r="L25" i="183"/>
  <c r="L24" i="183"/>
  <c r="L23" i="183"/>
  <c r="L22" i="183"/>
  <c r="L21" i="183"/>
  <c r="L20" i="183"/>
  <c r="L19" i="183"/>
  <c r="L18" i="183"/>
  <c r="L17" i="183"/>
  <c r="L16" i="183"/>
  <c r="L15" i="183"/>
  <c r="L14" i="183"/>
  <c r="L13" i="183"/>
  <c r="L12" i="183"/>
  <c r="L11" i="183"/>
  <c r="B4" i="183"/>
  <c r="D234" i="29"/>
  <c r="D236" i="29"/>
  <c r="D235" i="29"/>
  <c r="D240" i="29"/>
  <c r="E8" i="29"/>
  <c r="H83" i="29"/>
  <c r="E52" i="29"/>
  <c r="D68" i="29"/>
  <c r="E60" i="29"/>
  <c r="F46" i="29"/>
  <c r="E44" i="29"/>
  <c r="E46" i="29"/>
  <c r="F40" i="29"/>
  <c r="C40" i="29"/>
  <c r="C38" i="29"/>
  <c r="G8" i="29"/>
  <c r="F8" i="29"/>
  <c r="H8" i="29"/>
  <c r="D8" i="29"/>
  <c r="E41" i="29"/>
  <c r="C39" i="29"/>
  <c r="D38" i="29"/>
  <c r="D44" i="29"/>
  <c r="D40" i="29"/>
  <c r="D39" i="29"/>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82" i="36"/>
  <c r="D78" i="36"/>
  <c r="K75" i="29"/>
  <c r="K130" i="29"/>
  <c r="B2805" i="106" s="1"/>
  <c r="D2805" i="106" s="1"/>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c r="D1865" i="106" s="1"/>
  <c r="B1866" i="106"/>
  <c r="D1866" i="106" s="1"/>
  <c r="F6" i="8"/>
  <c r="F7" i="8"/>
  <c r="B1868" i="106" s="1"/>
  <c r="D1868" i="106" s="1"/>
  <c r="F12" i="8"/>
  <c r="B1869" i="106" s="1"/>
  <c r="D1869" i="106" s="1"/>
  <c r="F11" i="8"/>
  <c r="H28" i="118"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4" i="106"/>
  <c r="D3254"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J77" i="4" s="1"/>
  <c r="B6262" i="106" s="1"/>
  <c r="D6262"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64" i="127"/>
  <c r="B65" i="127"/>
  <c r="D26" i="108"/>
  <c r="E26" i="108"/>
  <c r="F26" i="108"/>
  <c r="G26" i="108"/>
  <c r="D27" i="108"/>
  <c r="E27" i="108"/>
  <c r="F27" i="108"/>
  <c r="G27" i="108"/>
  <c r="F31" i="108"/>
  <c r="F36" i="108"/>
  <c r="G28" i="108"/>
  <c r="E29" i="108"/>
  <c r="E30" i="108"/>
  <c r="G30" i="108"/>
  <c r="D31" i="108"/>
  <c r="D36" i="108"/>
  <c r="E31" i="108"/>
  <c r="G31" i="108"/>
  <c r="E33" i="108"/>
  <c r="G33" i="108"/>
  <c r="E34" i="108"/>
  <c r="G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F14" i="4"/>
  <c r="B2597" i="106" s="1"/>
  <c r="D2597" i="106" s="1"/>
  <c r="B2633" i="106"/>
  <c r="D2633" i="106" s="1"/>
  <c r="N22" i="3"/>
  <c r="B283" i="106" s="1"/>
  <c r="D283" i="106" s="1"/>
  <c r="D7" i="118"/>
  <c r="D8" i="118"/>
  <c r="D9" i="118"/>
  <c r="H14" i="118"/>
  <c r="H19" i="118"/>
  <c r="H24" i="118"/>
  <c r="H29" i="118"/>
  <c r="H33" i="118"/>
  <c r="D11" i="37"/>
  <c r="D22" i="37"/>
  <c r="J22" i="37"/>
  <c r="L5" i="11"/>
  <c r="B2056" i="106" s="1"/>
  <c r="D2056" i="106" s="1"/>
  <c r="B5752" i="106"/>
  <c r="D5752" i="106" s="1"/>
  <c r="L22" i="37" l="1"/>
  <c r="D14" i="4"/>
  <c r="B2570" i="106" s="1"/>
  <c r="D2570" i="106" s="1"/>
  <c r="G29" i="108"/>
  <c r="B6238" i="106"/>
  <c r="D6238" i="106" s="1"/>
  <c r="D6103" i="106"/>
  <c r="B3647" i="106"/>
  <c r="D3647" i="106" s="1"/>
  <c r="H44" i="4"/>
  <c r="I24" i="12"/>
  <c r="B1870" i="106"/>
  <c r="D1870" i="106" s="1"/>
  <c r="F56" i="34"/>
  <c r="D17" i="7"/>
  <c r="B4104" i="106" s="1"/>
  <c r="D4104" i="106" s="1"/>
  <c r="D37" i="108"/>
  <c r="F37" i="108"/>
  <c r="B7235" i="106"/>
  <c r="D7235" i="106" s="1"/>
  <c r="F19" i="7"/>
  <c r="B1807" i="106" s="1"/>
  <c r="D1807" i="106" s="1"/>
  <c r="G39" i="108"/>
  <c r="C352" i="29"/>
  <c r="K76" i="4"/>
  <c r="B3586" i="106" s="1"/>
  <c r="D3586" i="106" s="1"/>
  <c r="G15" i="145"/>
  <c r="D9" i="7"/>
  <c r="B1767" i="106" s="1"/>
  <c r="D1767" i="106" s="1"/>
  <c r="K28" i="118"/>
  <c r="O27" i="118" s="1"/>
  <c r="O29" i="118" s="1"/>
  <c r="L342" i="29"/>
  <c r="D69" i="36"/>
  <c r="K184" i="29"/>
  <c r="F13" i="4" s="1"/>
  <c r="B2596" i="106" s="1"/>
  <c r="D2596" i="106" s="1"/>
  <c r="G210" i="29"/>
  <c r="F28" i="108"/>
  <c r="D24" i="37"/>
  <c r="B4270" i="106" s="1"/>
  <c r="D4270" i="106" s="1"/>
  <c r="E28" i="108"/>
  <c r="D54" i="36"/>
  <c r="K41" i="3"/>
  <c r="L13" i="11"/>
  <c r="B2060" i="106" s="1"/>
  <c r="D2060" i="106" s="1"/>
  <c r="B1308" i="106"/>
  <c r="D1308" i="106" s="1"/>
  <c r="E174" i="29"/>
  <c r="B1309" i="106" s="1"/>
  <c r="D1309" i="106" s="1"/>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174" i="34" s="1"/>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3447" i="106"/>
  <c r="D3447" i="106" s="1"/>
  <c r="B7270" i="106"/>
  <c r="B1996" i="106" l="1"/>
  <c r="D1996" i="106" s="1"/>
  <c r="I26" i="12"/>
  <c r="B7741" i="106" s="1"/>
  <c r="D7741" i="106" s="1"/>
  <c r="D7252" i="106"/>
  <c r="B3568" i="106"/>
  <c r="D3568" i="106" s="1"/>
  <c r="D52" i="36"/>
  <c r="D7255" i="106"/>
  <c r="D7256" i="106"/>
  <c r="D7251" i="106"/>
  <c r="B1365" i="106"/>
  <c r="D1365" i="106" s="1"/>
  <c r="F65" i="34"/>
  <c r="L16" i="11"/>
  <c r="B2061" i="106" s="1"/>
  <c r="D2061" i="106" s="1"/>
  <c r="C114" i="29"/>
  <c r="B757" i="106" s="1"/>
  <c r="D757" i="106" s="1"/>
  <c r="L114" i="29"/>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6" i="34" l="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3588" i="106" l="1"/>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<sst xmlns="http://schemas.openxmlformats.org/spreadsheetml/2006/main" count="5176" uniqueCount="2124">
  <si>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</si>
  <si>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</si>
  <si>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</si>
  <si>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</si>
  <si>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</si>
  <si>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</si>
  <si>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</si>
  <si>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</si>
  <si>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</si>
  <si>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</si>
  <si>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</si>
  <si>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</si>
  <si>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</si>
  <si>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</si>
  <si>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</si>
  <si>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</si>
  <si>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</si>
  <si>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</si>
  <si>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</si>
  <si>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</si>
  <si>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</si>
  <si>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</si>
  <si>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</si>
  <si>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</si>
  <si>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</si>
  <si>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</si>
  <si>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</si>
  <si>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</si>
  <si>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</si>
  <si>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</si>
  <si>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</si>
  <si>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</si>
  <si>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</si>
  <si>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</si>
  <si>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</si>
  <si>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</si>
  <si>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</si>
  <si>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</si>
  <si>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</si>
  <si>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</si>
  <si>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</si>
  <si>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</si>
  <si>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</si>
  <si>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</si>
  <si>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</si>
  <si>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</si>
  <si>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</si>
  <si>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</si>
  <si>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</si>
  <si>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</si>
  <si>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</si>
  <si>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</si>
  <si>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</si>
  <si>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</si>
  <si>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</si>
  <si>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</si>
  <si>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</si>
  <si>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</si>
  <si>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</si>
  <si>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</si>
  <si>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</si>
  <si>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</si>
  <si>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</si>
  <si>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</si>
  <si>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</si>
  <si>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</si>
  <si>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</si>
  <si>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</si>
  <si>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</si>
  <si>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</si>
  <si>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</si>
  <si>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</si>
  <si>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</si>
  <si>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</si>
  <si>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</si>
  <si>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</si>
  <si>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</si>
  <si>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</si>
  <si>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</si>
  <si>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</si>
  <si>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</si>
  <si>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</si>
  <si>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</si>
  <si>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</si>
  <si>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</si>
  <si>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</si>
  <si>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</si>
  <si>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</si>
  <si>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</si>
  <si>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</si>
  <si>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</si>
  <si>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</si>
  <si>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</si>
  <si>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</si>
  <si>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</si>
  <si>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</si>
  <si>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</si>
  <si>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</si>
  <si>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</si>
  <si>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</si>
  <si>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</si>
  <si>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</si>
  <si>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</si>
  <si>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</si>
  <si>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</si>
  <si>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</si>
  <si>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</si>
  <si>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</si>
  <si>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</si>
  <si>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</si>
  <si>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</si>
  <si>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</si>
  <si>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</si>
  <si>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</si>
  <si>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</si>
  <si>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</si>
  <si>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</si>
  <si>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</si>
  <si>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</si>
  <si>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</si>
  <si>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</si>
  <si>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</si>
  <si>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</si>
  <si>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</si>
  <si>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</si>
  <si>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</si>
  <si>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</si>
  <si>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</si>
  <si>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</si>
  <si>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</si>
  <si>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</si>
  <si>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</si>
  <si>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</si>
  <si>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</si>
  <si>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</si>
  <si>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</si>
  <si>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</si>
  <si>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</si>
  <si>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</si>
  <si>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</si>
  <si>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</si>
  <si>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</si>
  <si>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</si>
  <si>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</si>
  <si>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</si>
  <si>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</si>
  <si>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</si>
  <si>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</si>
  <si>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</si>
  <si>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</si>
  <si>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</si>
  <si>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</si>
  <si>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</si>
  <si>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</si>
  <si>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</si>
  <si>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</si>
  <si>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</si>
  <si>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</si>
  <si>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</si>
  <si>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</si>
  <si>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</si>
  <si>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</si>
  <si>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</si>
  <si>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</si>
  <si>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</si>
  <si>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</si>
  <si>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</si>
  <si>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</si>
  <si>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</si>
  <si>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</si>
  <si>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</si>
  <si>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</si>
  <si>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</si>
  <si>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</si>
  <si>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</si>
  <si>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</si>
  <si>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</si>
  <si>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</si>
  <si>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</si>
  <si>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</si>
  <si>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</si>
  <si>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</si>
  <si>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</si>
  <si>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</si>
  <si>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</si>
  <si>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</si>
  <si>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</si>
  <si>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</si>
  <si>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</si>
  <si>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</si>
  <si>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</si>
  <si>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</si>
  <si>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</si>
  <si>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</si>
  <si>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</si>
  <si>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</si>
  <si>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</si>
  <si>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</si>
  <si>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</si>
  <si>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</si>
  <si>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</si>
  <si>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</si>
  <si>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</si>
  <si>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</si>
  <si>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</si>
  <si>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</si>
  <si>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</si>
  <si>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</si>
  <si>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</si>
  <si>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</si>
  <si>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</si>
  <si>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</si>
  <si>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</si>
  <si>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</si>
  <si>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</si>
  <si>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</si>
  <si>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</si>
  <si>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</si>
  <si>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</si>
  <si>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</si>
  <si>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</si>
  <si>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</si>
  <si>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</si>
  <si>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</si>
  <si>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</si>
  <si>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</si>
  <si>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</si>
  <si>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</si>
  <si>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</si>
  <si>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</si>
  <si>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</si>
  <si>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</si>
  <si>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</si>
  <si>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</si>
  <si>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</si>
  <si>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</si>
  <si>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</si>
  <si>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</si>
  <si>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</si>
  <si>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</si>
  <si>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</si>
  <si>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</si>
  <si>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</si>
  <si>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</si>
  <si>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</si>
  <si>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</si>
  <si>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</si>
  <si>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</si>
  <si>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</si>
  <si>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</si>
  <si>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</si>
  <si>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</si>
  <si>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</si>
  <si>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</si>
  <si>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</si>
  <si>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</si>
  <si>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</si>
  <si>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</si>
  <si>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</si>
  <si>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</si>
  <si>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</si>
  <si>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</si>
  <si>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</si>
  <si>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</si>
  <si>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</si>
  <si>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</si>
  <si>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</si>
  <si>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</si>
  <si>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</si>
  <si>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</si>
  <si>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</si>
  <si>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</si>
  <si>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</si>
  <si>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</si>
  <si>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</si>
  <si>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</si>
  <si>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</si>
  <si>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</si>
  <si>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</si>
  <si>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</si>
  <si>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</si>
  <si>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</si>
  <si>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</si>
  <si>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</si>
  <si>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</si>
  <si>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</si>
  <si>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</si>
  <si>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</si>
  <si>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</si>
  <si>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</si>
  <si>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</si>
  <si>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</si>
  <si>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</si>
  <si>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</si>
  <si>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</si>
  <si>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</si>
  <si>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</si>
  <si>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</si>
  <si>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</si>
  <si>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</si>
  <si>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</si>
  <si>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</si>
  <si>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</si>
  <si>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</si>
  <si>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</si>
  <si>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</si>
  <si>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</si>
  <si>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</si>
  <si>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</si>
  <si>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</si>
  <si>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</si>
  <si>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</si>
  <si>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</si>
  <si>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</si>
  <si>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</si>
  <si>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</si>
  <si>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</si>
  <si>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</si>
  <si>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</si>
  <si>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</si>
  <si>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</si>
  <si>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</si>
  <si>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</si>
  <si>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</si>
  <si>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</si>
  <si>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</si>
  <si>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</si>
  <si>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</si>
  <si>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</si>
  <si>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</si>
  <si>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</si>
  <si>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</si>
  <si>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</si>
  <si>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</si>
  <si>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</si>
  <si>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</si>
  <si>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</si>
  <si>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</si>
  <si>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</si>
  <si>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</si>
  <si>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</si>
  <si>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</si>
  <si>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</si>
  <si>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</si>
  <si>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</si>
  <si>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</si>
  <si>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</si>
  <si>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</si>
  <si>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</si>
  <si>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</si>
  <si>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</si>
  <si>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</si>
  <si>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</si>
  <si>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</si>
  <si>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</si>
  <si>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</si>
  <si>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</si>
  <si>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</si>
  <si>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</si>
  <si>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</si>
  <si>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</si>
  <si>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</si>
  <si>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</si>
  <si>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</si>
  <si>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</si>
  <si>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</si>
  <si>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</si>
  <si>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</si>
  <si>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</si>
  <si>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</si>
  <si>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</si>
  <si>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</si>
  <si>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</si>
  <si>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</si>
  <si>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</si>
  <si>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</si>
  <si>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</si>
  <si>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</si>
  <si>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</si>
  <si>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</si>
  <si>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</si>
  <si>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</si>
  <si>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</si>
  <si>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</si>
  <si>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</si>
  <si>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</si>
  <si>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</si>
  <si>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</si>
  <si>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</si>
  <si>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</si>
  <si>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</si>
  <si>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</si>
  <si>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</si>
  <si>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</si>
  <si>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</si>
  <si>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</si>
  <si>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</si>
  <si>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</si>
  <si>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</si>
  <si>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</si>
  <si>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</si>
  <si>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</si>
  <si>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</si>
  <si>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</si>
  <si>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</si>
  <si>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</si>
  <si>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</si>
  <si>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</si>
  <si>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</si>
  <si>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</si>
  <si>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</si>
  <si>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</si>
  <si>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</si>
  <si>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</si>
  <si>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</si>
  <si>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</si>
  <si>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</si>
  <si>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</si>
  <si>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</si>
  <si>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</si>
  <si>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</si>
  <si>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</si>
  <si>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</si>
  <si>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</si>
  <si>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</si>
  <si>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</si>
  <si>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</si>
  <si>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</si>
  <si>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</si>
  <si>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</si>
  <si>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</si>
  <si>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</si>
  <si>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</si>
  <si>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</si>
  <si>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</si>
  <si>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</si>
  <si>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</si>
  <si>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</si>
  <si>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</si>
  <si>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</si>
  <si>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</si>
  <si>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</si>
  <si>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</si>
  <si>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</si>
  <si>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</si>
  <si>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</si>
  <si>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</si>
  <si>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</si>
  <si>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</si>
  <si>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</si>
  <si>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</si>
  <si>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</si>
  <si>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</si>
  <si>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</si>
  <si>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</si>
  <si>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</si>
  <si>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</si>
  <si>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</si>
  <si>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</si>
  <si>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</si>
  <si>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</si>
  <si>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</si>
  <si>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</si>
  <si>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</si>
  <si>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</si>
  <si>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</si>
  <si>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</si>
  <si>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</si>
  <si>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</si>
  <si>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</si>
  <si>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</si>
  <si>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</si>
  <si>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</si>
  <si>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</si>
  <si>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</si>
  <si>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</si>
  <si>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</si>
  <si>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</si>
  <si>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</si>
  <si>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</si>
  <si>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</si>
  <si>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</si>
  <si>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</si>
  <si>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</si>
  <si>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</si>
  <si>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</si>
  <si>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</si>
  <si>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</si>
  <si>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</si>
  <si>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</si>
  <si>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</si>
  <si>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</si>
  <si>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</si>
  <si>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</si>
  <si>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</si>
  <si>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</si>
  <si>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</si>
  <si>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</si>
  <si>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</si>
  <si>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</si>
  <si>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</si>
  <si>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</si>
  <si>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</si>
  <si>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</si>
  <si>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</si>
  <si>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</si>
  <si>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</si>
  <si>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</si>
  <si>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</si>
  <si>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</si>
  <si>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</si>
  <si>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</si>
  <si>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</si>
  <si>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</si>
  <si>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</si>
  <si>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</si>
  <si>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</si>
  <si>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</si>
  <si>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</si>
  <si>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</si>
  <si>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</si>
  <si>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</si>
  <si>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</si>
  <si>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</si>
  <si>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</si>
  <si>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</si>
  <si>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</si>
  <si>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</si>
  <si>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</si>
  <si>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</si>
  <si>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</si>
  <si>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</si>
  <si>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</si>
  <si>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</si>
  <si>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</si>
  <si>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</si>
  <si>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</si>
  <si>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</si>
  <si>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</si>
  <si>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</si>
  <si>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</si>
  <si>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</si>
  <si>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</si>
  <si>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</si>
  <si>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</si>
  <si>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</si>
  <si>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</si>
  <si>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</si>
  <si>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</si>
  <si>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</si>
  <si>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</si>
  <si>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</si>
  <si>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</si>
  <si>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</si>
  <si>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</si>
  <si>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</si>
  <si>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</si>
  <si>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</si>
  <si>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</si>
  <si>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</si>
  <si>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</si>
  <si>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</si>
  <si>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</si>
  <si>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</si>
  <si>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</si>
  <si>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</si>
  <si>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</si>
  <si>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</si>
  <si>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</si>
  <si>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</si>
  <si>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</si>
  <si>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</si>
  <si>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</si>
  <si>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</si>
  <si>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</si>
  <si>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</si>
  <si>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</si>
  <si>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</si>
  <si>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</si>
  <si>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</si>
  <si>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</si>
  <si>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</si>
  <si>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</si>
  <si>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</si>
  <si>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</si>
  <si>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</si>
  <si>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</si>
  <si>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</si>
  <si>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</si>
  <si>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</si>
  <si>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</si>
  <si>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</si>
  <si>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</si>
  <si>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</si>
  <si>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</si>
  <si>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</si>
  <si>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</si>
  <si>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</si>
  <si>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</si>
  <si>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</si>
  <si>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</si>
  <si>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</si>
  <si>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</si>
  <si>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</si>
  <si>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</si>
  <si>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</si>
  <si>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</si>
  <si>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</si>
  <si>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</si>
  <si>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</si>
  <si>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</si>
  <si>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</si>
  <si>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</si>
  <si>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</si>
  <si>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</si>
  <si>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</si>
  <si>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</si>
  <si>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</si>
  <si>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</si>
  <si>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</si>
  <si>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</si>
  <si>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</si>
  <si>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</si>
  <si>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</si>
  <si>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</si>
  <si>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</si>
  <si>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</si>
  <si>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</si>
  <si>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</si>
  <si>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</si>
  <si>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</si>
  <si>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</si>
  <si>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</si>
  <si>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</si>
  <si>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</si>
  <si>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</si>
  <si>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</si>
  <si>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</si>
  <si>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</si>
  <si>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</si>
  <si>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</si>
  <si>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</si>
  <si>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</si>
  <si>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</si>
  <si>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</si>
  <si>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</si>
  <si>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</si>
  <si>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</si>
  <si>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</si>
  <si>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</si>
  <si>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</si>
  <si>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</si>
  <si>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</si>
  <si>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</si>
  <si>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</si>
  <si>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</si>
  <si>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</si>
  <si>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</si>
  <si>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</si>
  <si>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</si>
  <si>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</si>
  <si>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</si>
  <si>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</si>
  <si>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</si>
  <si>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</si>
  <si>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</si>
  <si>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</si>
  <si>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</si>
  <si>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</si>
  <si>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</si>
  <si>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</si>
  <si>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</si>
  <si>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</si>
  <si>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</si>
  <si>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</si>
  <si>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</si>
  <si>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</si>
  <si>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</si>
  <si>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</si>
  <si>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</si>
  <si>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</si>
  <si>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</si>
  <si>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</si>
  <si>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</si>
  <si>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</si>
  <si>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</si>
  <si>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</si>
  <si>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</si>
  <si>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</si>
  <si>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</si>
  <si>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</si>
  <si>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</si>
  <si>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</si>
  <si>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</si>
  <si>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</si>
  <si>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</si>
  <si>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</si>
  <si>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</si>
  <si>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</si>
  <si>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</si>
  <si>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</si>
  <si>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</si>
  <si>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</si>
  <si>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</si>
  <si>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</si>
  <si>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</si>
  <si>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</si>
  <si>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</si>
  <si>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</si>
  <si>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</si>
  <si>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</si>
  <si>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</si>
  <si>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</si>
  <si>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</si>
  <si>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</si>
  <si>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</si>
  <si>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</si>
  <si>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</si>
  <si>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</si>
  <si>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</si>
  <si>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</si>
  <si>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</si>
  <si>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</si>
  <si>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</si>
  <si>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</si>
  <si>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</si>
  <si>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</si>
  <si>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</si>
  <si>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</si>
  <si>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</si>
  <si>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</si>
  <si>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</si>
  <si>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</si>
  <si>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</si>
  <si>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</si>
  <si>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</si>
  <si>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</si>
  <si>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</si>
  <si>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</si>
  <si>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</si>
  <si>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</si>
  <si>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</si>
  <si>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</si>
  <si>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</si>
  <si>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</si>
  <si>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</si>
  <si>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</si>
  <si>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</si>
  <si>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</si>
  <si>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</si>
  <si>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</si>
  <si>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</si>
  <si>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</si>
  <si>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</si>
  <si>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</si>
  <si>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</si>
  <si>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</si>
  <si>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</si>
  <si>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</si>
  <si>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</si>
  <si>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</si>
  <si>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</si>
  <si>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</si>
  <si>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</si>
  <si>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</si>
  <si>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</si>
  <si>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</si>
  <si>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</si>
  <si>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</si>
  <si>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</si>
  <si>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</si>
  <si>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</si>
  <si>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</si>
  <si>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</si>
  <si>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</si>
  <si>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</si>
  <si>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</si>
  <si>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</si>
  <si>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</si>
  <si>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</si>
  <si>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</si>
  <si>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</si>
  <si>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</si>
  <si>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</si>
  <si>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</si>
  <si>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</si>
  <si>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</si>
  <si>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</si>
  <si>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</si>
  <si>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</si>
  <si>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</si>
  <si>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</si>
  <si>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</si>
  <si>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</si>
  <si>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</si>
  <si>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</si>
  <si>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</si>
  <si>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</si>
  <si>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</si>
  <si>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</si>
  <si>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</si>
  <si>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</si>
  <si>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</si>
  <si>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</si>
  <si>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</si>
  <si>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</si>
  <si>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</si>
  <si>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</si>
  <si>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</si>
  <si>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</si>
  <si>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</si>
  <si>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</si>
  <si>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</si>
  <si>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</si>
  <si>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</si>
  <si>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</si>
  <si>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</si>
  <si>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</si>
  <si>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</si>
  <si>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</si>
  <si>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</si>
  <si>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</si>
  <si>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</si>
  <si>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</si>
  <si>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</si>
  <si>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</si>
  <si>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</si>
  <si>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</si>
  <si>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</si>
  <si>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</si>
  <si>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</si>
  <si>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</si>
  <si>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</si>
  <si>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</si>
  <si>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</si>
  <si>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</si>
  <si>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</si>
  <si>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</si>
  <si>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</si>
  <si>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</si>
  <si>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</si>
  <si>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</si>
  <si>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</si>
  <si>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</si>
  <si>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</si>
  <si>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</si>
  <si>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</si>
  <si>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</si>
  <si>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</si>
  <si>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</si>
  <si>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</si>
  <si>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</si>
  <si>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</si>
  <si>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</si>
  <si>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</si>
  <si>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</si>
  <si>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</si>
  <si>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</si>
  <si>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</si>
  <si>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</si>
  <si>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</si>
  <si>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</si>
  <si>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</si>
  <si>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</si>
  <si>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</si>
  <si>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</si>
  <si>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</si>
  <si>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</si>
  <si>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</si>
  <si>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</si>
  <si>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</si>
  <si>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</si>
  <si>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</si>
  <si>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</si>
  <si>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</si>
  <si>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</si>
  <si>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</si>
  <si>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</si>
  <si>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</si>
  <si>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</si>
  <si>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</si>
  <si>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</si>
  <si>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</si>
  <si>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</si>
  <si>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</si>
  <si>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</si>
  <si>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</si>
  <si>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</si>
  <si>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</si>
  <si>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</si>
  <si>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</si>
  <si>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</si>
  <si>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</si>
  <si>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</si>
  <si>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</si>
  <si>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</si>
  <si>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</si>
  <si>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</si>
  <si>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</si>
  <si>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</si>
  <si>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</si>
  <si>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</si>
  <si>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</si>
  <si>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</si>
  <si>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</si>
  <si>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</si>
  <si>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</si>
  <si>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</si>
  <si>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</si>
  <si>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</si>
  <si>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</si>
  <si>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</si>
  <si>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</si>
  <si>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</si>
  <si>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</si>
  <si>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</si>
  <si>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</si>
  <si>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</si>
  <si>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</si>
  <si>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</si>
  <si>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</si>
  <si>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</si>
  <si>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</si>
  <si>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</si>
  <si>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</si>
  <si>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</si>
  <si>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</si>
  <si>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</si>
  <si>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</si>
  <si>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</si>
  <si>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</si>
  <si>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</si>
  <si>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</si>
  <si>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</si>
  <si>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</si>
  <si>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</si>
  <si>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</si>
  <si>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</si>
  <si>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</si>
  <si>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</si>
  <si>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</si>
  <si>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</si>
  <si>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</si>
  <si>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</si>
  <si>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</si>
  <si>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</si>
  <si>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</si>
  <si>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</si>
  <si>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</si>
  <si>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</si>
  <si>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</si>
  <si>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</si>
  <si>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</si>
  <si>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</si>
  <si>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</si>
  <si>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</si>
  <si>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</si>
  <si>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</si>
  <si>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</si>
  <si>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</si>
  <si>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</si>
  <si>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</si>
  <si>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</si>
  <si>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</si>
  <si>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</si>
  <si>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</si>
  <si>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</si>
  <si>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</si>
  <si>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</si>
  <si>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</si>
  <si>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</si>
  <si>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</si>
  <si>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</si>
  <si>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</si>
  <si>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</si>
  <si>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</si>
  <si>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</si>
  <si>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</si>
  <si>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</si>
  <si>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</si>
  <si>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</si>
  <si>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</si>
  <si>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</si>
  <si>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</si>
  <si>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</si>
  <si>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</si>
  <si>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</si>
  <si>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</si>
  <si>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</si>
  <si>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</si>
  <si>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</si>
  <si>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</si>
  <si>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</si>
  <si>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</si>
  <si>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</si>
  <si>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</si>
  <si>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</si>
  <si>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</si>
  <si>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</si>
  <si>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</si>
  <si>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</si>
  <si>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</si>
  <si>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</si>
  <si>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</si>
  <si>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</si>
  <si>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</si>
  <si>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</si>
  <si>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</si>
  <si>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</si>
  <si>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</si>
  <si>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</si>
  <si>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</si>
  <si>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</si>
  <si>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</si>
  <si>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</si>
  <si>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</si>
  <si>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</si>
  <si>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</si>
  <si>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</si>
  <si>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</si>
  <si>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</si>
  <si>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</si>
  <si>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</si>
  <si>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</si>
  <si>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</si>
  <si>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</si>
  <si>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</si>
  <si>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</si>
  <si>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</si>
  <si>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</si>
  <si>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</si>
  <si>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</si>
  <si>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</si>
  <si>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</si>
  <si>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</si>
  <si>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</si>
  <si>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</si>
  <si>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</si>
  <si>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</si>
  <si>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</si>
  <si>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</si>
  <si>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</si>
  <si>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</si>
  <si>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</si>
  <si>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</si>
  <si>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</si>
  <si>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</si>
  <si>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</si>
  <si>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</si>
  <si>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</si>
  <si>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</si>
  <si>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</si>
  <si>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</si>
  <si>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</si>
  <si>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</si>
  <si>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</si>
  <si>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</si>
  <si>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</si>
  <si>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</si>
  <si>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</si>
  <si>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</si>
  <si>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</si>
  <si>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</si>
  <si>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</si>
  <si>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</si>
  <si>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</si>
  <si>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</si>
  <si>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</si>
  <si>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</si>
  <si>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</si>
  <si>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</si>
  <si>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</si>
  <si>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</si>
  <si>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</si>
  <si>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</si>
  <si>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</si>
  <si>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</si>
  <si>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</si>
  <si>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</si>
  <si>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</si>
  <si>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</si>
  <si>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</si>
  <si>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</si>
  <si>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</si>
  <si>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</si>
  <si>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</si>
  <si>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</si>
  <si>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</si>
  <si>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</si>
  <si>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</si>
  <si>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</si>
  <si>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</si>
  <si>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</si>
  <si>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</si>
  <si>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</si>
  <si>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</si>
  <si>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</si>
  <si>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</si>
  <si>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</si>
  <si>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</si>
  <si>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</si>
  <si>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</si>
  <si>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</si>
  <si>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</si>
  <si>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</si>
  <si>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</si>
  <si>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</si>
  <si>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</si>
  <si>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</si>
  <si>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</si>
  <si>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</si>
  <si>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</si>
  <si>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</si>
  <si>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</si>
  <si>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</si>
  <si>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</si>
  <si>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</si>
  <si>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</si>
  <si>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</si>
  <si>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</si>
  <si>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</si>
  <si>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</si>
  <si>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</si>
  <si>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</si>
  <si>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</si>
  <si>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</si>
  <si>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</si>
  <si>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</si>
  <si>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</si>
  <si>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</si>
  <si>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</si>
  <si>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</si>
  <si>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</si>
  <si>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</si>
  <si>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</si>
  <si>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</si>
  <si>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</si>
  <si>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</si>
  <si>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</si>
  <si>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</si>
  <si>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</si>
  <si>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</si>
  <si>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</si>
  <si>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</si>
  <si>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</si>
  <si>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</si>
  <si>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</si>
  <si>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</si>
  <si>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</si>
  <si>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</si>
  <si>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</si>
  <si>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</si>
  <si>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</si>
  <si>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</si>
  <si>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</si>
  <si>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</si>
  <si>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</si>
  <si>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</si>
  <si>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</si>
  <si>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</si>
  <si>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</si>
  <si>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</si>
  <si>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</si>
  <si>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</si>
  <si>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</si>
  <si>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</si>
  <si>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</si>
  <si>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</si>
  <si>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</si>
  <si>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</si>
  <si>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</si>
  <si>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</si>
  <si>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</si>
  <si>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</si>
  <si>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</si>
  <si>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</si>
  <si>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</si>
  <si>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</si>
  <si>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</si>
  <si>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</si>
  <si>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</si>
  <si>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</si>
  <si>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</si>
  <si>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</si>
  <si>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</si>
  <si>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</si>
  <si>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</si>
  <si>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</si>
  <si>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</si>
  <si>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</si>
  <si>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</si>
  <si>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</si>
  <si>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</si>
  <si>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</si>
  <si>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</si>
  <si>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</si>
  <si>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</si>
  <si>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</si>
  <si>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</si>
  <si>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</si>
  <si>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</si>
  <si>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</si>
  <si>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</si>
  <si>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</si>
  <si>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</si>
  <si>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</si>
  <si>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</si>
  <si>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</si>
  <si>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</si>
  <si>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</si>
  <si>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</si>
  <si>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</si>
  <si>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</si>
  <si>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</si>
  <si>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</si>
  <si>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</si>
  <si>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</si>
  <si>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</si>
  <si>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</si>
  <si>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</si>
  <si>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</si>
  <si>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</si>
  <si>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</si>
  <si>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</si>
  <si>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</si>
  <si>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</si>
  <si>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</si>
  <si>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</si>
  <si>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</si>
  <si>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</si>
  <si>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</si>
  <si>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</si>
  <si>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</si>
  <si>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</si>
  <si>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</si>
  <si>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</si>
  <si>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</si>
  <si>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</si>
  <si>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</si>
  <si>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</si>
  <si>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</si>
  <si>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</si>
  <si>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</si>
  <si>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</si>
  <si>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</si>
  <si>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</si>
  <si>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</si>
  <si>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</si>
  <si>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</si>
  <si>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</si>
  <si>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</si>
  <si>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</si>
  <si>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</si>
  <si>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</si>
  <si>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</si>
  <si>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</si>
  <si>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</si>
  <si>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</si>
  <si>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</si>
  <si>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</si>
  <si>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</si>
  <si>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</si>
  <si>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</si>
  <si>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</si>
  <si>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</si>
  <si>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</si>
  <si>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</si>
  <si>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</si>
  <si>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</si>
  <si>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</si>
  <si>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</si>
  <si>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</si>
  <si>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</si>
  <si>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</si>
  <si>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</si>
  <si>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</si>
  <si>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</si>
  <si>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</si>
  <si>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</si>
  <si>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</si>
  <si>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</si>
  <si>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</si>
  <si>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</si>
  <si>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</si>
  <si>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</si>
  <si>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</si>
  <si>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</si>
  <si>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</si>
  <si>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</si>
  <si>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</si>
  <si>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</si>
  <si>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</si>
  <si>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</si>
  <si>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</si>
  <si>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</si>
  <si>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</si>
  <si>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</si>
  <si>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</si>
  <si>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</si>
  <si>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</si>
  <si>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</si>
  <si>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</si>
  <si>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</si>
  <si>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</si>
  <si>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</si>
  <si>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</si>
  <si>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</si>
  <si>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</si>
  <si>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</si>
  <si>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</si>
  <si>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</si>
  <si>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</si>
  <si>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</si>
  <si>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</si>
  <si>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</si>
  <si>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</si>
  <si>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</si>
  <si>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</si>
  <si>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</si>
  <si>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</si>
  <si>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</si>
  <si>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</si>
  <si>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</si>
  <si>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</si>
  <si>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</si>
  <si>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</si>
  <si>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</si>
  <si>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</si>
  <si>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</si>
  <si>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</si>
  <si>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</si>
  <si>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</si>
  <si>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</si>
  <si>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</si>
  <si>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</si>
  <si>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</si>
  <si>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</si>
  <si>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</si>
  <si>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</si>
  <si>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</si>
  <si>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</si>
  <si>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</si>
  <si>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</si>
  <si>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</si>
  <si>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</si>
  <si>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</si>
  <si>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</si>
  <si>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</si>
  <si>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</si>
  <si>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</si>
  <si>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</si>
  <si>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</si>
  <si>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</si>
  <si>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</si>
  <si>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</si>
  <si>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</si>
  <si>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</si>
  <si>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</si>
  <si>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</si>
  <si>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</si>
  <si>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</si>
  <si>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</si>
  <si>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</si>
  <si>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</si>
  <si>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</si>
  <si>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</si>
  <si>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</si>
  <si>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</si>
  <si>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</si>
  <si>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</si>
  <si>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</si>
  <si>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</si>
  <si>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</si>
  <si>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</si>
  <si>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</si>
  <si>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</si>
  <si>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</si>
  <si>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</si>
  <si>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</si>
  <si>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</si>
  <si>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</si>
  <si>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</si>
  <si>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</si>
  <si>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</si>
  <si>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</si>
  <si>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</si>
  <si>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</si>
  <si>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</si>
  <si>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</si>
  <si>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</si>
  <si>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</si>
  <si>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</si>
  <si>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</si>
  <si>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</si>
  <si>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</si>
  <si>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</si>
  <si>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</si>
  <si>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</si>
  <si>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</si>
  <si>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</si>
  <si>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</si>
  <si>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</si>
  <si>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</si>
  <si>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</si>
  <si>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</si>
  <si>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</si>
  <si>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</si>
  <si>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</si>
  <si>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</si>
  <si>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</si>
  <si>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</si>
  <si>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</si>
  <si>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</si>
  <si>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</si>
  <si>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</si>
  <si>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</si>
  <si>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</si>
  <si>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</si>
  <si>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</si>
  <si>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</si>
  <si>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</si>
  <si>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</si>
  <si>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</si>
  <si>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</si>
  <si>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</si>
  <si>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</si>
  <si>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</si>
  <si>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</si>
  <si>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</si>
  <si>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</si>
  <si>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</si>
  <si>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</si>
  <si>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</si>
  <si>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</si>
  <si>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</si>
  <si>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</si>
  <si>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</si>
  <si>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</si>
  <si>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</si>
  <si>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</si>
  <si>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</si>
  <si>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</si>
  <si>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</si>
  <si>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</si>
  <si>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</si>
  <si>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</si>
  <si>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</si>
  <si>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</si>
  <si>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</si>
  <si>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</si>
  <si>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</si>
  <si>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</si>
  <si>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</si>
  <si>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</si>
  <si>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</si>
  <si>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</si>
  <si>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</si>
  <si>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</si>
  <si>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</si>
  <si>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</si>
  <si>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</si>
  <si>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</si>
  <si>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</si>
  <si>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</si>
  <si>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</si>
  <si>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</si>
  <si>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</si>
  <si>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</si>
  <si>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</si>
  <si>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</si>
  <si>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</si>
  <si>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</si>
  <si>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</si>
  <si>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</si>
  <si>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</si>
  <si>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</si>
  <si>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</si>
  <si>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</si>
  <si>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</si>
  <si>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</si>
  <si>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</si>
  <si>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</si>
  <si>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</si>
  <si>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</si>
  <si>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</si>
  <si>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</si>
  <si>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</si>
  <si>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</si>
  <si>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</si>
  <si>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</si>
  <si>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</si>
  <si>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</si>
  <si>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</si>
  <si>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</si>
  <si>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</si>
  <si>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</si>
  <si>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</si>
  <si>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</si>
  <si>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</si>
  <si>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</si>
  <si>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</si>
  <si>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</si>
  <si>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</si>
  <si>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</si>
  <si>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</si>
  <si>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</si>
  <si>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</si>
  <si>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</si>
  <si>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</si>
  <si>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</si>
  <si>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</si>
  <si>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</si>
  <si>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</si>
  <si>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</si>
  <si>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</si>
  <si>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</si>
  <si>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</si>
  <si>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</si>
  <si>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</si>
  <si>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</si>
  <si>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</si>
  <si>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</si>
  <si>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</si>
  <si>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</si>
  <si>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</si>
  <si>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</si>
  <si>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</si>
  <si>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</si>
  <si>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</si>
  <si>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</si>
  <si>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</si>
  <si>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</si>
  <si>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</si>
  <si>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</si>
  <si>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</si>
  <si>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</si>
  <si>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</si>
  <si>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</si>
  <si>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</si>
  <si>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</si>
  <si>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</si>
  <si>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</si>
  <si>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</si>
  <si>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</si>
  <si>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</si>
  <si>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</si>
  <si>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</si>
  <si>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</si>
  <si>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</si>
  <si>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</si>
  <si>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</si>
  <si>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</si>
  <si>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</si>
  <si>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</si>
  <si>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</si>
  <si>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</si>
  <si>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</si>
  <si>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</si>
  <si>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</si>
  <si>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</si>
  <si>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</si>
  <si>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</si>
  <si>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</si>
  <si>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</si>
  <si>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</si>
  <si>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</si>
  <si>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</si>
  <si>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</si>
  <si>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</si>
  <si>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</si>
  <si>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</si>
  <si>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</si>
  <si>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</si>
  <si>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</si>
  <si>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</si>
  <si>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</si>
  <si>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</si>
  <si>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</si>
  <si>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</si>
  <si>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</si>
  <si>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</si>
  <si>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</si>
  <si>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</si>
  <si>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</si>
  <si>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</si>
  <si>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</si>
  <si>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</si>
  <si>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</si>
  <si>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</si>
  <si>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</si>
  <si>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</si>
  <si>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</si>
  <si>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</si>
  <si>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</si>
  <si>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</si>
  <si>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</si>
  <si>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</si>
  <si>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</si>
  <si>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</si>
  <si>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</si>
  <si>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</si>
  <si>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</si>
  <si>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</si>
  <si>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</si>
  <si>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</si>
  <si>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</si>
  <si>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</si>
  <si>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</si>
  <si>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</si>
  <si>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</si>
  <si>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</si>
  <si>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</si>
  <si>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</si>
  <si>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</si>
  <si>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</si>
  <si>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</si>
  <si>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</si>
  <si>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</si>
  <si>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</si>
  <si>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</si>
  <si>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</si>
  <si>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</si>
  <si>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</si>
  <si>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</si>
  <si>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</si>
  <si>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</si>
  <si>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</si>
  <si>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</si>
  <si>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</si>
  <si>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</si>
  <si>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</si>
  <si>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</si>
  <si>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</si>
  <si>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</si>
  <si>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</si>
  <si>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</si>
  <si>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</si>
  <si>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</si>
  <si>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</si>
  <si>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</si>
  <si>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</si>
  <si>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</si>
  <si>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</si>
  <si>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</si>
  <si>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</si>
  <si>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</si>
  <si>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</si>
  <si>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</si>
  <si>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</si>
  <si>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</si>
  <si>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</si>
  <si>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</si>
  <si>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</si>
  <si>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</si>
  <si>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</si>
  <si>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</si>
  <si>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</si>
  <si>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</si>
  <si>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</si>
  <si>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</si>
  <si>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</si>
  <si>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</si>
  <si>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</si>
  <si>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</si>
  <si>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</si>
  <si>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</si>
  <si>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</si>
  <si>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</si>
  <si>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</si>
  <si>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</si>
  <si>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</si>
  <si>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</si>
  <si>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</si>
  <si>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</si>
  <si>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</si>
  <si>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</si>
  <si>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</si>
  <si>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</si>
  <si>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</si>
  <si>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</si>
  <si>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</si>
  <si>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</si>
  <si>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</si>
  <si>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</si>
  <si>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</si>
  <si>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</si>
  <si>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</si>
  <si>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</si>
  <si>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</si>
  <si>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</si>
  <si>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</si>
  <si>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</si>
  <si>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</si>
  <si>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</si>
  <si>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</si>
  <si>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</si>
  <si>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</si>
  <si>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</si>
  <si>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</si>
  <si>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</si>
  <si>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</si>
  <si>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</si>
  <si>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</si>
  <si>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</si>
  <si>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</si>
  <si>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</si>
  <si>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</si>
  <si>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</si>
  <si>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</si>
  <si>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</si>
  <si>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</si>
  <si>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</si>
  <si>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</si>
  <si>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</si>
  <si>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</si>
  <si>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</si>
  <si>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</si>
  <si>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</si>
  <si>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</si>
  <si>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</si>
  <si>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</si>
  <si>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</si>
  <si>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</si>
  <si>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</si>
  <si>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</si>
  <si>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</si>
  <si>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</si>
  <si>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</si>
  <si>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</si>
  <si>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</si>
  <si>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</si>
  <si>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</si>
  <si>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</si>
  <si>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</si>
  <si>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</si>
  <si>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</si>
  <si>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</si>
  <si>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</si>
  <si>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</si>
  <si>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</si>
  <si>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</si>
  <si>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</si>
  <si>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</si>
  <si>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</si>
  <si>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</si>
  <si>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</si>
  <si>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</si>
  <si>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</si>
  <si>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</si>
  <si>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</si>
  <si>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</si>
  <si>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</si>
  <si>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</si>
  <si>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</si>
  <si>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</si>
  <si>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</si>
  <si>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</si>
  <si>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</si>
  <si>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</si>
  <si>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</si>
  <si>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</si>
  <si>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</si>
  <si>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</si>
  <si>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</si>
  <si>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</si>
  <si>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</si>
  <si>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</si>
  <si>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</si>
  <si>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</si>
  <si>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</si>
  <si>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</si>
  <si>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</si>
  <si>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</si>
  <si>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</si>
  <si>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</si>
  <si>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</si>
  <si>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</si>
  <si>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</si>
  <si>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</si>
  <si>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</si>
  <si>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</si>
  <si>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</si>
  <si>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</si>
  <si>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</si>
  <si>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</si>
  <si>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</si>
  <si>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</si>
  <si>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</si>
  <si>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</si>
  <si>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</si>
  <si>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</si>
  <si>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</si>
  <si>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</si>
  <si>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</si>
  <si>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</si>
  <si>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</si>
  <si>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</si>
  <si>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</si>
  <si>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</si>
  <si>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</si>
  <si>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</si>
  <si>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</si>
  <si>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</si>
  <si>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</si>
  <si>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</si>
  <si>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</si>
  <si>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</si>
  <si>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</si>
  <si>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</si>
  <si>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</si>
  <si>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</si>
  <si>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</si>
  <si>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</si>
  <si>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</si>
  <si>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</si>
  <si>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</si>
  <si>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</si>
  <si>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</si>
  <si>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</si>
  <si>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</si>
  <si>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</si>
  <si>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</si>
  <si>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</si>
  <si>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</si>
  <si>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</si>
  <si>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</si>
  <si>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</si>
  <si>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</si>
  <si>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</si>
  <si>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</si>
  <si>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</si>
  <si>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</si>
  <si>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</si>
  <si>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</si>
  <si>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</si>
  <si>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</si>
  <si>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</si>
  <si>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</si>
  <si>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</si>
  <si>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</si>
  <si>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</si>
  <si>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</si>
  <si>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</si>
  <si>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</si>
  <si>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</si>
  <si>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</si>
  <si>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</si>
  <si>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</si>
  <si>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</si>
  <si>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</si>
  <si>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</si>
  <si>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</si>
  <si>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</si>
  <si>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</si>
  <si>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</si>
  <si>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</si>
  <si>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</si>
  <si>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</si>
  <si>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</si>
  <si>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</si>
  <si>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</si>
  <si>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</si>
  <si>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</si>
  <si>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</si>
  <si>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</si>
  <si>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</si>
  <si>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</si>
  <si>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</si>
  <si>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</si>
  <si>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</si>
  <si>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</si>
  <si>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</si>
  <si>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</si>
  <si>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</si>
  <si>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</si>
  <si>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</si>
  <si>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</si>
  <si>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</si>
  <si>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</si>
  <si>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</si>
  <si>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</si>
  <si>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</si>
  <si>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</si>
  <si>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</si>
  <si>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</si>
  <si>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</si>
  <si>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</si>
  <si>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</si>
  <si>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</si>
  <si>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</si>
  <si>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</si>
  <si>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</si>
  <si>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</si>
  <si>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</si>
  <si>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</si>
  <si>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</si>
  <si>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</si>
  <si>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</si>
  <si>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</si>
  <si>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</si>
  <si>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</si>
  <si>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</si>
  <si>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</si>
  <si>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</si>
  <si>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</si>
  <si>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</si>
  <si>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</si>
  <si>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</si>
  <si>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</si>
  <si>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</si>
  <si>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</si>
  <si>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</si>
  <si>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</si>
  <si>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</si>
  <si>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</si>
  <si>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</si>
  <si>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</si>
  <si>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</si>
  <si>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</si>
  <si>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</si>
  <si>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</si>
  <si>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</si>
  <si>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</si>
  <si>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</si>
  <si>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</si>
  <si>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</si>
  <si>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</si>
  <si>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</si>
  <si>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</si>
  <si>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</si>
  <si>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</si>
  <si>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</si>
  <si>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</si>
  <si>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</si>
  <si>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</si>
  <si>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</si>
  <si>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</si>
  <si>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</si>
  <si>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</si>
  <si>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</si>
  <si>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</si>
  <si>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</si>
  <si>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</si>
  <si>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</si>
  <si>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</si>
  <si>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</si>
  <si>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</si>
  <si>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</si>
  <si>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</si>
  <si>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</si>
  <si>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</si>
  <si>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</si>
  <si>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</si>
  <si>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</si>
  <si>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</si>
  <si>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</si>
  <si>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</si>
  <si>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</si>
  <si>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</si>
  <si>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</si>
  <si>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</si>
  <si>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</si>
  <si>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</si>
  <si>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</si>
  <si>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</si>
  <si>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</si>
  <si>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</si>
  <si>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</si>
  <si>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</si>
  <si>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</si>
  <si>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</si>
  <si>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</si>
  <si>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</si>
  <si>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</si>
  <si>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</si>
  <si>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</si>
  <si>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</si>
  <si>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</si>
  <si>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</si>
  <si>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</si>
  <si>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</si>
  <si>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</si>
  <si>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</si>
  <si>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</si>
  <si>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</si>
  <si>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</si>
  <si>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</si>
  <si>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</si>
  <si>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</si>
  <si>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</si>
  <si>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</si>
  <si>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</si>
  <si>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</si>
  <si>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</si>
  <si>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</si>
  <si>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</si>
  <si>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</si>
  <si>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</si>
  <si>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</si>
  <si>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</si>
  <si>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</si>
  <si>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</si>
  <si>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</si>
  <si>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</si>
  <si>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</si>
  <si>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</si>
  <si>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</si>
  <si>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</si>
  <si>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</si>
  <si>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</si>
  <si>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</si>
  <si>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</si>
  <si>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</si>
  <si>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</si>
  <si>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</si>
  <si>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</si>
  <si>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</si>
  <si>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</si>
  <si>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</si>
  <si>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</si>
  <si>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</si>
  <si>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</si>
  <si>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</si>
  <si>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</si>
  <si>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</si>
  <si>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</si>
  <si>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</si>
  <si>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</si>
  <si>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</si>
  <si>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</si>
  <si>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</si>
  <si>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</si>
  <si>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</si>
  <si>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</si>
  <si>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</si>
  <si>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</si>
  <si>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</si>
  <si>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</si>
  <si>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</si>
  <si>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</si>
  <si>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</si>
  <si>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</si>
  <si>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</si>
  <si>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</si>
  <si>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</si>
  <si>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</si>
  <si>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</si>
  <si>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</si>
  <si>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</si>
  <si>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</si>
  <si>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</si>
  <si>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</si>
  <si>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</si>
  <si>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</si>
  <si>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</si>
  <si>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</si>
  <si>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</si>
  <si>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</si>
  <si>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</si>
  <si>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</si>
  <si>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</si>
  <si>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</si>
  <si>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Lake</t>
  </si>
  <si>
    <t>601 Deerfield Parkway</t>
  </si>
  <si>
    <t>Buffalo Grove</t>
  </si>
  <si>
    <t>Megan Clarke</t>
  </si>
  <si>
    <t>224-513-6488</t>
  </si>
  <si>
    <t>224-513-6445</t>
  </si>
  <si>
    <t>Evoy, Kamschulte, Jacobs &amp; Co. LLP</t>
  </si>
  <si>
    <t xml:space="preserve"> John D. Aceto, Jr., CPA</t>
  </si>
  <si>
    <t>2122 Yeoman Street</t>
  </si>
  <si>
    <t>Waukegan</t>
  </si>
  <si>
    <t>IL</t>
  </si>
  <si>
    <t>847-662-8300</t>
  </si>
  <si>
    <t>847-662-8305</t>
  </si>
  <si>
    <t>066-003289</t>
  </si>
  <si>
    <t>jaceto@ekllp.com</t>
  </si>
  <si>
    <t>CLIC</t>
  </si>
  <si>
    <t>ED-Support Services Instruction Staff - Purchased Serv</t>
  </si>
  <si>
    <t>UNC Teacch Center</t>
  </si>
  <si>
    <t>10-2200-300</t>
  </si>
  <si>
    <t>OM-O&amp;M Plant Services- Purchased Services</t>
  </si>
  <si>
    <t>20-2540-300</t>
  </si>
  <si>
    <t xml:space="preserve">Buffalo Grove Park District </t>
  </si>
  <si>
    <t>US DEPARTMENT OF EDUCATION</t>
  </si>
  <si>
    <t>Passed Through ISBE</t>
  </si>
  <si>
    <t>Special Education Cluster</t>
  </si>
  <si>
    <t>(M) IDEA Preschool</t>
  </si>
  <si>
    <t>(M) IDEA , Flow-Through</t>
  </si>
  <si>
    <t>(M) IDEA, Flow-Through</t>
  </si>
  <si>
    <t>Total Special Education Cluster</t>
  </si>
  <si>
    <t>TOTAL US DEPARTMENT OF EDUCATION</t>
  </si>
  <si>
    <t>TOTAL FEDERAL FINANCIAL ASSISTANCE</t>
  </si>
  <si>
    <t>Value of Federal Awards Expended in the Form of Non-Cash Assistance During the Year</t>
  </si>
  <si>
    <t>Federal Insurance in Effect During the Year</t>
  </si>
  <si>
    <t>Federal Loan or Loan Guarantees, Including Interest Subsidies, Outstanding at Year End</t>
  </si>
  <si>
    <t>Passed Through to Subrecipient-Fox Lake SD 114</t>
  </si>
  <si>
    <t>Passed Through to Subrecipient-Stevenson HS 125</t>
  </si>
  <si>
    <t>Passed Through to Subrecipient- Lincolnshire Pairie View District 103</t>
  </si>
  <si>
    <t>Total Passed Through to Subrecipients</t>
  </si>
  <si>
    <t>N/A</t>
  </si>
  <si>
    <t>84.173A</t>
  </si>
  <si>
    <t>84.027A</t>
  </si>
  <si>
    <t>4600-2018</t>
  </si>
  <si>
    <t>4600-2019</t>
  </si>
  <si>
    <t>4620-2018</t>
  </si>
  <si>
    <t>4620-2019</t>
  </si>
  <si>
    <t>Passed Through to Subrecipient-Kildeer Countryside CCSD 96</t>
  </si>
  <si>
    <r>
      <t>The accompanying Schedule of Expenditures of Federal Awards includes the federal grant activity of Exceptional Learners Collaborative and is presented on the Modified Cash B</t>
    </r>
    <r>
      <rPr>
        <b/>
        <sz val="9"/>
        <rFont val="Calibri"/>
        <family val="2"/>
        <scheme val="minor"/>
      </rPr>
      <t>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</si>
  <si>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Of the federal expenditures presented in the schedule, Exceptional Learners Collaborative provided federal awards to subrecipients as follows:</t>
  </si>
  <si>
    <t>IDEA Flow Through/Stevenson High School District No. 125</t>
  </si>
  <si>
    <t>IDEA Flow Through/Kildeer Countryside CCSD 96</t>
  </si>
  <si>
    <t>IDEA Flow Through/Lincolnshire Prairie View District 103</t>
  </si>
  <si>
    <t>IDEA Flow Through/ Fox Lake Elem School District No. 114</t>
  </si>
  <si>
    <t>IDEA Preschool Grant/Kildeer Countryside CCSD 96</t>
  </si>
  <si>
    <t>IDEA Preschool Grant/Lincolnshire Prairie View District No. 103</t>
  </si>
  <si>
    <t>IDEA Preschool Grant/Fox Lake Elem School District No. 114</t>
  </si>
  <si>
    <r>
      <t xml:space="preserve">The following amounts were expended in the form of non-cash assistance by Exceptional Learners Collaborative and </t>
    </r>
    <r>
      <rPr>
        <b/>
        <sz val="9"/>
        <rFont val="Calibri"/>
        <family val="2"/>
        <scheme val="minor"/>
      </rPr>
      <t>should be</t>
    </r>
    <r>
      <rPr>
        <sz val="9"/>
        <rFont val="Calibri"/>
        <family val="2"/>
        <scheme val="minor"/>
      </rPr>
      <t xml:space="preserve"> included in the Schedule of Expenditures of Federal Awards:</t>
    </r>
  </si>
  <si>
    <t>Unmodified</t>
  </si>
  <si>
    <t>IDEA Preschool</t>
  </si>
  <si>
    <t>IDEA Flow-Through</t>
  </si>
  <si>
    <t>NONE</t>
  </si>
  <si>
    <t>x</t>
  </si>
  <si>
    <t>Exceptional Learners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</si>
</sst>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828675</xdr:colOff>
          <xdr:row>4</xdr:row>
          <xdr:rowOff>28575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1982" t="s">
        <v>405</v>
      </c>
      <c r="J1" s="1983"/>
      <c r="K1" s="1983"/>
      <c r="L1" s="1983"/>
      <c r="M1" s="1983"/>
      <c r="N1" s="1983"/>
      <c r="O1" s="1983"/>
      <c r="P1" s="1983"/>
      <c r="Q1" s="1983"/>
      <c r="R1" s="1983"/>
      <c r="S1" s="1983"/>
    </row>
    <row r="2" spans="1:28" ht="12" customHeight="1" x14ac:dyDescent="0.2">
      <c r="A2" s="47" t="s">
        <v>1990</v>
      </c>
      <c r="D2" s="48"/>
      <c r="I2" s="1984" t="s">
        <v>979</v>
      </c>
      <c r="J2" s="1983"/>
      <c r="K2" s="1983"/>
      <c r="L2" s="1983"/>
      <c r="M2" s="1983"/>
      <c r="N2" s="1983"/>
      <c r="O2" s="1983"/>
      <c r="P2" s="1983"/>
      <c r="Q2" s="1983"/>
      <c r="R2" s="1983"/>
      <c r="S2" s="1983"/>
    </row>
    <row r="3" spans="1:28" ht="12" customHeight="1" x14ac:dyDescent="0.2">
      <c r="A3" s="155" t="s">
        <v>1942</v>
      </c>
      <c r="B3" s="156"/>
      <c r="C3" s="156"/>
      <c r="D3" s="157"/>
      <c r="I3" s="1984" t="s">
        <v>52</v>
      </c>
      <c r="J3" s="1983"/>
      <c r="K3" s="1983"/>
      <c r="L3" s="1983"/>
      <c r="M3" s="1983"/>
      <c r="N3" s="1983"/>
      <c r="O3" s="1983"/>
      <c r="P3" s="1983"/>
      <c r="Q3" s="1983"/>
      <c r="R3" s="1983"/>
      <c r="S3" s="1983"/>
    </row>
    <row r="4" spans="1:28" ht="12" customHeight="1" x14ac:dyDescent="0.2">
      <c r="A4" s="37"/>
      <c r="I4" s="1984" t="s">
        <v>524</v>
      </c>
      <c r="J4" s="1983"/>
      <c r="K4" s="1983"/>
      <c r="L4" s="1983"/>
      <c r="M4" s="1983"/>
      <c r="N4" s="1983"/>
      <c r="O4" s="1983"/>
      <c r="P4" s="1983"/>
      <c r="Q4" s="1983"/>
      <c r="R4" s="1983"/>
      <c r="S4" s="1983"/>
    </row>
    <row r="5" spans="1:28" ht="14.1" customHeight="1" x14ac:dyDescent="0.2">
      <c r="B5" s="104"/>
      <c r="C5" s="26" t="s">
        <v>910</v>
      </c>
      <c r="D5" s="84"/>
      <c r="E5" s="84"/>
      <c r="H5" s="38"/>
      <c r="I5" s="1992" t="s">
        <v>680</v>
      </c>
      <c r="J5" s="1991"/>
      <c r="K5" s="1991"/>
      <c r="L5" s="1991"/>
      <c r="M5" s="1991"/>
      <c r="N5" s="1991"/>
      <c r="O5" s="1991"/>
      <c r="P5" s="1991"/>
      <c r="Q5" s="1991"/>
      <c r="R5" s="1991"/>
      <c r="S5" s="1991"/>
    </row>
    <row r="6" spans="1:28" ht="14.1" customHeight="1" x14ac:dyDescent="0.2">
      <c r="B6" s="104" t="s">
        <v>2061</v>
      </c>
      <c r="C6" s="26" t="s">
        <v>911</v>
      </c>
      <c r="D6" s="84"/>
      <c r="E6" s="84"/>
      <c r="I6" s="1990" t="s">
        <v>883</v>
      </c>
      <c r="J6" s="1991"/>
      <c r="K6" s="1991"/>
      <c r="L6" s="1991"/>
      <c r="M6" s="1991"/>
      <c r="N6" s="1991"/>
      <c r="O6" s="1991"/>
      <c r="P6" s="1991"/>
      <c r="Q6" s="1991"/>
      <c r="R6" s="1991"/>
      <c r="S6" s="1991"/>
    </row>
    <row r="7" spans="1:28" ht="12.2" customHeight="1" x14ac:dyDescent="0.2">
      <c r="I7" s="1985">
        <v>43646</v>
      </c>
      <c r="J7" s="1986"/>
      <c r="K7" s="1986"/>
      <c r="L7" s="1986"/>
      <c r="M7" s="1986"/>
      <c r="N7" s="1986"/>
      <c r="O7" s="1986"/>
      <c r="P7" s="1986"/>
      <c r="Q7" s="1986"/>
      <c r="R7" s="1986"/>
      <c r="S7" s="198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7" t="s">
        <v>674</v>
      </c>
      <c r="J9" s="1988"/>
      <c r="K9" s="1988"/>
      <c r="L9" s="1988"/>
      <c r="M9" s="1988"/>
      <c r="N9" s="1988"/>
      <c r="O9" s="1988"/>
      <c r="P9" s="1988"/>
      <c r="Q9" s="1988"/>
      <c r="R9" s="1988"/>
      <c r="S9" s="1989"/>
      <c r="T9" s="2003" t="s">
        <v>533</v>
      </c>
      <c r="U9" s="2004"/>
      <c r="V9" s="2004"/>
      <c r="W9" s="2004"/>
      <c r="X9" s="2004"/>
      <c r="Y9" s="2004"/>
      <c r="Z9" s="2004"/>
      <c r="AA9" s="2005"/>
    </row>
    <row r="10" spans="1:28" ht="13.5" customHeight="1" x14ac:dyDescent="0.2">
      <c r="A10" s="2010" t="s">
        <v>675</v>
      </c>
      <c r="B10" s="2011"/>
      <c r="C10" s="2011"/>
      <c r="D10" s="2011"/>
      <c r="E10" s="2011"/>
      <c r="F10" s="2011"/>
      <c r="G10" s="2011"/>
      <c r="H10" s="2012"/>
      <c r="I10" s="29"/>
      <c r="J10" s="30"/>
      <c r="K10" s="28"/>
      <c r="R10" s="30"/>
      <c r="S10" s="30"/>
      <c r="T10" s="2006"/>
      <c r="U10" s="1991"/>
      <c r="V10" s="1991"/>
      <c r="W10" s="1991"/>
      <c r="X10" s="1991"/>
      <c r="Y10" s="1991"/>
      <c r="Z10" s="1991"/>
      <c r="AA10" s="1997"/>
    </row>
    <row r="11" spans="1:28" ht="14.25" customHeight="1" x14ac:dyDescent="0.2">
      <c r="A11" s="2013" t="s">
        <v>955</v>
      </c>
      <c r="B11" s="2014"/>
      <c r="C11" s="2014"/>
      <c r="D11" s="2014"/>
      <c r="E11" s="2014"/>
      <c r="F11" s="2014"/>
      <c r="G11" s="2014"/>
      <c r="H11" s="2015"/>
      <c r="I11" s="27"/>
      <c r="J11" s="74"/>
      <c r="K11" s="27"/>
      <c r="O11" s="148" t="s">
        <v>2061</v>
      </c>
      <c r="P11" s="100" t="s">
        <v>201</v>
      </c>
      <c r="Q11" s="30"/>
      <c r="R11" s="28"/>
      <c r="S11" s="27"/>
      <c r="T11" s="2007"/>
      <c r="U11" s="2008"/>
      <c r="V11" s="2008"/>
      <c r="W11" s="2008"/>
      <c r="X11" s="2008"/>
      <c r="Y11" s="2008"/>
      <c r="Z11" s="2008"/>
      <c r="AA11" s="200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7">
        <v>34049801060</v>
      </c>
      <c r="B13" s="2018"/>
      <c r="C13" s="2018"/>
      <c r="D13" s="2018"/>
      <c r="E13" s="2018"/>
      <c r="F13" s="2018"/>
      <c r="G13" s="2018"/>
      <c r="H13" s="2019"/>
      <c r="I13" s="31"/>
      <c r="J13" s="30"/>
      <c r="K13" s="28"/>
      <c r="L13" s="30"/>
      <c r="M13" s="30"/>
      <c r="N13" s="30"/>
      <c r="O13" s="30"/>
      <c r="P13" s="30"/>
      <c r="Q13" s="30"/>
      <c r="R13" s="30"/>
      <c r="S13" s="30"/>
      <c r="T13" s="2022" t="s">
        <v>2068</v>
      </c>
      <c r="U13" s="2023"/>
      <c r="V13" s="2023"/>
      <c r="W13" s="2023"/>
      <c r="X13" s="2023"/>
      <c r="Y13" s="2024"/>
      <c r="Z13" s="2024"/>
      <c r="AA13" s="202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6" t="s">
        <v>2062</v>
      </c>
      <c r="B15" s="2020"/>
      <c r="C15" s="2020"/>
      <c r="D15" s="2020"/>
      <c r="E15" s="2020"/>
      <c r="F15" s="2020"/>
      <c r="G15" s="2020"/>
      <c r="H15" s="2021"/>
      <c r="T15" s="2026" t="s">
        <v>2069</v>
      </c>
      <c r="U15" s="1970"/>
      <c r="V15" s="1970"/>
      <c r="W15" s="1970"/>
      <c r="X15" s="1970"/>
      <c r="Y15" s="2027"/>
      <c r="Z15" s="2027"/>
      <c r="AA15" s="202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6" t="s">
        <v>2123</v>
      </c>
      <c r="B17" s="1977"/>
      <c r="C17" s="1977"/>
      <c r="D17" s="1977"/>
      <c r="E17" s="1977"/>
      <c r="F17" s="1977"/>
      <c r="G17" s="1977"/>
      <c r="H17" s="2002"/>
      <c r="T17" s="2033" t="s">
        <v>2070</v>
      </c>
      <c r="U17" s="2034"/>
      <c r="V17" s="2034"/>
      <c r="W17" s="2034"/>
      <c r="X17" s="2034"/>
      <c r="Y17" s="2034"/>
      <c r="Z17" s="2034"/>
      <c r="AA17" s="2035"/>
    </row>
    <row r="18" spans="1:27" ht="13.5" customHeight="1" x14ac:dyDescent="0.2">
      <c r="A18" s="85" t="s">
        <v>530</v>
      </c>
      <c r="B18" s="76"/>
      <c r="C18" s="72"/>
      <c r="D18" s="76"/>
      <c r="E18" s="76"/>
      <c r="F18" s="76"/>
      <c r="G18" s="76"/>
      <c r="H18" s="56"/>
      <c r="I18" s="2001" t="s">
        <v>676</v>
      </c>
      <c r="J18" s="1952"/>
      <c r="K18" s="1952"/>
      <c r="L18" s="1952"/>
      <c r="M18" s="1952"/>
      <c r="N18" s="1952"/>
      <c r="O18" s="1952"/>
      <c r="P18" s="1952"/>
      <c r="Q18" s="1952"/>
      <c r="R18" s="1952"/>
      <c r="S18" s="1953"/>
      <c r="T18" s="85" t="s">
        <v>711</v>
      </c>
      <c r="U18" s="51"/>
      <c r="V18" s="72"/>
      <c r="W18" s="50"/>
      <c r="X18" s="85" t="s">
        <v>266</v>
      </c>
      <c r="Y18" s="81"/>
      <c r="Z18" s="159" t="s">
        <v>677</v>
      </c>
      <c r="AA18" s="46"/>
    </row>
    <row r="19" spans="1:27" ht="13.5" customHeight="1" x14ac:dyDescent="0.2">
      <c r="A19" s="2016" t="s">
        <v>2063</v>
      </c>
      <c r="B19" s="1962"/>
      <c r="C19" s="1962"/>
      <c r="D19" s="1962"/>
      <c r="E19" s="1962"/>
      <c r="F19" s="1962"/>
      <c r="G19" s="1962"/>
      <c r="H19" s="1942"/>
      <c r="I19" s="30"/>
      <c r="J19" s="99"/>
      <c r="K19" s="40"/>
      <c r="L19" s="38"/>
      <c r="M19" s="112" t="s">
        <v>315</v>
      </c>
      <c r="P19" s="27"/>
      <c r="Q19" s="27"/>
      <c r="R19" s="27"/>
      <c r="S19" s="31"/>
      <c r="T19" s="2016" t="s">
        <v>2071</v>
      </c>
      <c r="U19" s="1941"/>
      <c r="V19" s="1941"/>
      <c r="W19" s="1942"/>
      <c r="X19" s="2031" t="s">
        <v>2072</v>
      </c>
      <c r="Y19" s="2032"/>
      <c r="Z19" s="2029">
        <v>60087</v>
      </c>
      <c r="AA19" s="203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0" t="s">
        <v>2064</v>
      </c>
      <c r="B21" s="1941"/>
      <c r="C21" s="1941"/>
      <c r="D21" s="1941"/>
      <c r="E21" s="1941"/>
      <c r="F21" s="1941"/>
      <c r="G21" s="1941"/>
      <c r="H21" s="1942"/>
      <c r="I21" s="1996" t="s">
        <v>678</v>
      </c>
      <c r="J21" s="1991"/>
      <c r="K21" s="1991"/>
      <c r="L21" s="1991"/>
      <c r="M21" s="1991"/>
      <c r="N21" s="1991"/>
      <c r="O21" s="1991"/>
      <c r="P21" s="1991"/>
      <c r="Q21" s="1991"/>
      <c r="R21" s="1991"/>
      <c r="S21" s="1997"/>
      <c r="T21" s="2040" t="s">
        <v>2073</v>
      </c>
      <c r="U21" s="2041"/>
      <c r="V21" s="2041"/>
      <c r="W21" s="2041"/>
      <c r="X21" s="2046" t="s">
        <v>2074</v>
      </c>
      <c r="Y21" s="2047"/>
      <c r="Z21" s="2047"/>
      <c r="AA21" s="2048"/>
    </row>
    <row r="22" spans="1:27" ht="13.5" customHeight="1" x14ac:dyDescent="0.2">
      <c r="A22" s="87" t="s">
        <v>531</v>
      </c>
      <c r="B22" s="59"/>
      <c r="C22" s="59"/>
      <c r="D22" s="59"/>
      <c r="E22" s="59"/>
      <c r="F22" s="59"/>
      <c r="G22" s="59"/>
      <c r="H22" s="60"/>
      <c r="I22" s="1998" t="s">
        <v>1429</v>
      </c>
      <c r="J22" s="1999"/>
      <c r="K22" s="1999"/>
      <c r="L22" s="1999"/>
      <c r="M22" s="1999"/>
      <c r="N22" s="1999"/>
      <c r="O22" s="1999"/>
      <c r="P22" s="1999"/>
      <c r="Q22" s="1999"/>
      <c r="R22" s="1999"/>
      <c r="S22" s="2000"/>
      <c r="T22" s="85" t="s">
        <v>1516</v>
      </c>
      <c r="U22" s="51"/>
      <c r="V22" s="72"/>
      <c r="W22" s="51"/>
      <c r="X22" s="160" t="s">
        <v>1318</v>
      </c>
      <c r="Z22" s="45"/>
      <c r="AA22" s="46"/>
    </row>
    <row r="23" spans="1:27" ht="13.5" customHeight="1" x14ac:dyDescent="0.2">
      <c r="A23" s="1993"/>
      <c r="B23" s="1994"/>
      <c r="C23" s="1994"/>
      <c r="D23" s="1994"/>
      <c r="E23" s="1994"/>
      <c r="F23" s="1994"/>
      <c r="G23" s="1994"/>
      <c r="H23" s="1995"/>
      <c r="T23" s="1976" t="s">
        <v>2075</v>
      </c>
      <c r="U23" s="2039"/>
      <c r="V23" s="2039"/>
      <c r="W23" s="2039"/>
      <c r="X23" s="2043">
        <v>44530</v>
      </c>
      <c r="Y23" s="2044"/>
      <c r="Z23" s="2044"/>
      <c r="AA23" s="2045"/>
    </row>
    <row r="24" spans="1:27" ht="14.1" customHeight="1" x14ac:dyDescent="0.2">
      <c r="A24" s="88" t="s">
        <v>677</v>
      </c>
      <c r="B24" s="49"/>
      <c r="C24" s="49"/>
      <c r="D24" s="49"/>
      <c r="E24" s="49"/>
      <c r="F24" s="49"/>
      <c r="G24" s="49"/>
      <c r="H24" s="61"/>
      <c r="J24" s="1963" t="str">
        <f>IF(B5="x",IF(AUDITCHECK!D29="AFR form Incomplete.","",IF(AUDITCHECK!D29="Deficit reduction plan is required.","School District must complete a deficit reduction plan in the 2019-2020 Budget",)),"")</f>
        <v/>
      </c>
      <c r="K24" s="1963"/>
      <c r="L24" s="1963"/>
      <c r="M24" s="1963"/>
      <c r="N24" s="1963"/>
      <c r="O24" s="1963"/>
      <c r="P24" s="1963"/>
      <c r="Q24" s="1963"/>
      <c r="R24" s="1963"/>
      <c r="S24" s="1964"/>
      <c r="T24" s="105" t="s">
        <v>531</v>
      </c>
      <c r="U24" s="106"/>
      <c r="V24" s="106"/>
      <c r="W24" s="106"/>
      <c r="X24" s="107"/>
      <c r="Y24" s="107"/>
      <c r="Z24" s="107"/>
      <c r="AA24" s="108"/>
    </row>
    <row r="25" spans="1:27" ht="14.1" customHeight="1" x14ac:dyDescent="0.2">
      <c r="A25" s="1940">
        <v>60089</v>
      </c>
      <c r="B25" s="1941"/>
      <c r="C25" s="1941"/>
      <c r="D25" s="1941"/>
      <c r="E25" s="1941"/>
      <c r="F25" s="1941"/>
      <c r="G25" s="1941"/>
      <c r="H25" s="1942"/>
      <c r="I25" s="113"/>
      <c r="J25" s="1965"/>
      <c r="K25" s="1965"/>
      <c r="L25" s="1965"/>
      <c r="M25" s="1965"/>
      <c r="N25" s="1965"/>
      <c r="O25" s="1965"/>
      <c r="P25" s="1965"/>
      <c r="Q25" s="1965"/>
      <c r="R25" s="1965"/>
      <c r="S25" s="1966"/>
      <c r="T25" s="2036" t="s">
        <v>2076</v>
      </c>
      <c r="U25" s="2037"/>
      <c r="V25" s="2037"/>
      <c r="W25" s="2037"/>
      <c r="X25" s="2037"/>
      <c r="Y25" s="2037"/>
      <c r="Z25" s="2037"/>
      <c r="AA25" s="203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1" t="s">
        <v>1511</v>
      </c>
      <c r="J27" s="1952"/>
      <c r="K27" s="1952"/>
      <c r="L27" s="1952"/>
      <c r="M27" s="1952"/>
      <c r="N27" s="1952"/>
      <c r="O27" s="1952"/>
      <c r="P27" s="1952"/>
      <c r="Q27" s="1952"/>
      <c r="R27" s="1952"/>
      <c r="S27" s="195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2061</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2061</v>
      </c>
      <c r="C30" s="124" t="s">
        <v>1164</v>
      </c>
      <c r="D30" s="28"/>
      <c r="E30" s="28"/>
      <c r="F30" s="140"/>
      <c r="G30" s="114"/>
      <c r="H30" s="114"/>
      <c r="I30" s="54"/>
      <c r="J30" s="148" t="s">
        <v>2061</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2061</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2061</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2"/>
      <c r="Q35" s="1941"/>
      <c r="R35" s="194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6" t="s">
        <v>2065</v>
      </c>
      <c r="B38" s="1977"/>
      <c r="C38" s="1977"/>
      <c r="D38" s="1977"/>
      <c r="E38" s="1977"/>
      <c r="F38" s="1941"/>
      <c r="G38" s="1941"/>
      <c r="H38" s="1942"/>
      <c r="I38" s="1969"/>
      <c r="J38" s="1970"/>
      <c r="K38" s="1970"/>
      <c r="L38" s="1970"/>
      <c r="M38" s="1970"/>
      <c r="N38" s="1970"/>
      <c r="O38" s="1970"/>
      <c r="P38" s="1971"/>
      <c r="Q38" s="1971"/>
      <c r="R38" s="1971"/>
      <c r="S38" s="1972"/>
      <c r="T38" s="2026"/>
      <c r="U38" s="1970"/>
      <c r="V38" s="1970"/>
      <c r="W38" s="1970"/>
      <c r="X38" s="1971"/>
      <c r="Y38" s="1971"/>
      <c r="Z38" s="1971"/>
      <c r="AA38" s="1972"/>
    </row>
    <row r="39" spans="1:27" ht="12" customHeight="1" x14ac:dyDescent="0.2">
      <c r="A39" s="1946" t="s">
        <v>531</v>
      </c>
      <c r="B39" s="1947"/>
      <c r="C39" s="72"/>
      <c r="D39" s="69"/>
      <c r="E39" s="69"/>
      <c r="F39" s="79"/>
      <c r="G39" s="69"/>
      <c r="H39" s="56"/>
      <c r="I39" s="1946" t="s">
        <v>531</v>
      </c>
      <c r="J39" s="1947"/>
      <c r="K39" s="1947"/>
      <c r="L39" s="1947"/>
      <c r="M39" s="1947"/>
      <c r="N39" s="67"/>
      <c r="O39" s="72"/>
      <c r="P39" s="72"/>
      <c r="Q39" s="78"/>
      <c r="R39" s="72"/>
      <c r="S39" s="56"/>
      <c r="T39" s="72" t="s">
        <v>531</v>
      </c>
      <c r="U39" s="51"/>
      <c r="V39" s="72"/>
      <c r="W39" s="50"/>
      <c r="X39" s="78"/>
      <c r="Y39" s="45"/>
      <c r="Z39" s="45"/>
      <c r="AA39" s="46"/>
    </row>
    <row r="40" spans="1:27" ht="13.5" customHeight="1" x14ac:dyDescent="0.2">
      <c r="A40" s="1954"/>
      <c r="B40" s="1955"/>
      <c r="C40" s="1956"/>
      <c r="D40" s="1956"/>
      <c r="E40" s="1956"/>
      <c r="F40" s="1957"/>
      <c r="G40" s="1957"/>
      <c r="H40" s="1958"/>
      <c r="I40" s="1979"/>
      <c r="J40" s="1980"/>
      <c r="K40" s="1980"/>
      <c r="L40" s="1980"/>
      <c r="M40" s="1980"/>
      <c r="N40" s="1980"/>
      <c r="O40" s="1980"/>
      <c r="P40" s="1980"/>
      <c r="Q40" s="1980"/>
      <c r="R40" s="1980"/>
      <c r="S40" s="1981"/>
      <c r="T40" s="1979"/>
      <c r="U40" s="2042"/>
      <c r="V40" s="1980"/>
      <c r="W40" s="1980"/>
      <c r="X40" s="1980"/>
      <c r="Y40" s="1980"/>
      <c r="Z40" s="1980"/>
      <c r="AA40" s="198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8" t="s">
        <v>2066</v>
      </c>
      <c r="B42" s="1960"/>
      <c r="C42" s="1961"/>
      <c r="D42" s="1959" t="s">
        <v>2067</v>
      </c>
      <c r="E42" s="1960"/>
      <c r="F42" s="1960"/>
      <c r="G42" s="1960"/>
      <c r="H42" s="1961"/>
      <c r="I42" s="1943"/>
      <c r="J42" s="1944"/>
      <c r="K42" s="1944"/>
      <c r="L42" s="1944"/>
      <c r="M42" s="1944"/>
      <c r="N42" s="1944"/>
      <c r="O42" s="1945"/>
      <c r="P42" s="1978"/>
      <c r="Q42" s="1944"/>
      <c r="R42" s="1944"/>
      <c r="S42" s="1945"/>
      <c r="T42" s="1943"/>
      <c r="U42" s="1944"/>
      <c r="V42" s="1944"/>
      <c r="W42" s="1945"/>
      <c r="X42" s="1978"/>
      <c r="Y42" s="1944"/>
      <c r="Z42" s="1944"/>
      <c r="AA42" s="194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3"/>
      <c r="B44" s="1974"/>
      <c r="C44" s="1974"/>
      <c r="D44" s="1974"/>
      <c r="E44" s="1974"/>
      <c r="F44" s="1974"/>
      <c r="G44" s="1974"/>
      <c r="H44" s="1975"/>
      <c r="I44" s="1948"/>
      <c r="J44" s="1949"/>
      <c r="K44" s="1949"/>
      <c r="L44" s="1949"/>
      <c r="M44" s="1949"/>
      <c r="N44" s="1949"/>
      <c r="O44" s="1949"/>
      <c r="P44" s="1949"/>
      <c r="Q44" s="1949"/>
      <c r="R44" s="1949"/>
      <c r="S44" s="1950"/>
      <c r="T44" s="1948"/>
      <c r="U44" s="1967"/>
      <c r="V44" s="1967"/>
      <c r="W44" s="1967"/>
      <c r="X44" s="1967"/>
      <c r="Y44" s="1967"/>
      <c r="Z44" s="1949"/>
      <c r="AA44" s="1950"/>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B1" sqref="B1"/>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2" t="s">
        <v>1799</v>
      </c>
      <c r="B2" s="1528" t="s">
        <v>1948</v>
      </c>
      <c r="C2" s="714" t="s">
        <v>1949</v>
      </c>
      <c r="D2" s="714" t="s">
        <v>1950</v>
      </c>
      <c r="E2" s="714" t="s">
        <v>1951</v>
      </c>
      <c r="F2" s="714" t="s">
        <v>1952</v>
      </c>
    </row>
    <row r="3" spans="1:6" ht="12" customHeight="1" x14ac:dyDescent="0.2">
      <c r="A3" s="2183"/>
      <c r="B3" s="1525"/>
      <c r="C3" s="1526"/>
      <c r="D3" s="1527" t="s">
        <v>256</v>
      </c>
      <c r="E3" s="1526"/>
      <c r="F3" s="1527" t="s">
        <v>257</v>
      </c>
    </row>
    <row r="4" spans="1:6" ht="13.7" customHeight="1" x14ac:dyDescent="0.2">
      <c r="A4" s="715" t="s">
        <v>1155</v>
      </c>
      <c r="B4" s="1749">
        <f>'Revenues 9-14'!C5</f>
        <v>0</v>
      </c>
      <c r="C4" s="1524"/>
      <c r="D4" s="1752">
        <f>B4-C4</f>
        <v>0</v>
      </c>
      <c r="E4" s="1524"/>
      <c r="F4" s="1752">
        <f>E4-C4</f>
        <v>0</v>
      </c>
    </row>
    <row r="5" spans="1:6" ht="13.7" customHeight="1" x14ac:dyDescent="0.2">
      <c r="A5" s="715" t="s">
        <v>870</v>
      </c>
      <c r="B5" s="1750">
        <f>'Revenues 9-14'!D5</f>
        <v>0</v>
      </c>
      <c r="C5" s="585"/>
      <c r="D5" s="1753">
        <f t="shared" ref="D5:D18" si="0">B5-C5</f>
        <v>0</v>
      </c>
      <c r="E5" s="585"/>
      <c r="F5" s="1753">
        <f>E5-C5</f>
        <v>0</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0</v>
      </c>
      <c r="C7" s="585"/>
      <c r="D7" s="1753">
        <f t="shared" si="0"/>
        <v>0</v>
      </c>
      <c r="E7" s="585"/>
      <c r="F7" s="1753">
        <f t="shared" si="1"/>
        <v>0</v>
      </c>
    </row>
    <row r="8" spans="1:6" ht="13.7" customHeight="1" x14ac:dyDescent="0.2">
      <c r="A8" s="715" t="s">
        <v>1179</v>
      </c>
      <c r="B8" s="1750">
        <f>'Revenues 9-14'!G5</f>
        <v>0</v>
      </c>
      <c r="C8" s="585"/>
      <c r="D8" s="1753">
        <f t="shared" si="0"/>
        <v>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G2" sqref="G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4" t="s">
        <v>629</v>
      </c>
      <c r="B1" s="2202"/>
      <c r="C1" s="721"/>
    </row>
    <row r="2" spans="1:7" ht="33.75" x14ac:dyDescent="0.2">
      <c r="A2" s="2209" t="s">
        <v>1799</v>
      </c>
      <c r="B2" s="2210"/>
      <c r="C2" s="1884" t="s">
        <v>1953</v>
      </c>
      <c r="D2" s="723" t="s">
        <v>1954</v>
      </c>
      <c r="E2" s="723" t="s">
        <v>1955</v>
      </c>
      <c r="F2" s="1884" t="s">
        <v>1956</v>
      </c>
    </row>
    <row r="3" spans="1:7" ht="15.75" customHeight="1" x14ac:dyDescent="0.2">
      <c r="A3" s="2211" t="s">
        <v>1114</v>
      </c>
      <c r="B3" s="2212"/>
      <c r="C3" s="2205"/>
      <c r="D3" s="2206"/>
      <c r="E3" s="2206"/>
      <c r="F3" s="2207"/>
    </row>
    <row r="4" spans="1:7" ht="12.75" customHeight="1" thickBot="1" x14ac:dyDescent="0.25">
      <c r="A4" s="2199" t="s">
        <v>630</v>
      </c>
      <c r="B4" s="2200"/>
      <c r="C4" s="581"/>
      <c r="D4" s="581"/>
      <c r="E4" s="581"/>
      <c r="F4" s="1755">
        <f>SUM(C4+D4)-E4</f>
        <v>0</v>
      </c>
    </row>
    <row r="5" spans="1:7" ht="15.75" customHeight="1" thickTop="1" x14ac:dyDescent="0.2">
      <c r="A5" s="2203" t="s">
        <v>1110</v>
      </c>
      <c r="B5" s="2198"/>
      <c r="C5" s="2192"/>
      <c r="D5" s="2193"/>
      <c r="E5" s="2193"/>
      <c r="F5" s="2194"/>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5" t="s">
        <v>631</v>
      </c>
      <c r="B15" s="2196"/>
      <c r="C15" s="1755">
        <f>SUM(C6:C14)</f>
        <v>0</v>
      </c>
      <c r="D15" s="1755">
        <f>SUM(D6:D14)</f>
        <v>0</v>
      </c>
      <c r="E15" s="1755">
        <f>SUM(E6:E14)</f>
        <v>0</v>
      </c>
      <c r="F15" s="1755">
        <f>SUM(F6:F14)</f>
        <v>0</v>
      </c>
      <c r="G15" s="552"/>
    </row>
    <row r="16" spans="1:7" s="202" customFormat="1" ht="15.75" customHeight="1" thickTop="1" x14ac:dyDescent="0.2">
      <c r="A16" s="2208" t="s">
        <v>1111</v>
      </c>
      <c r="B16" s="2198"/>
      <c r="C16" s="2192"/>
      <c r="D16" s="2193"/>
      <c r="E16" s="2193"/>
      <c r="F16" s="2194"/>
    </row>
    <row r="17" spans="1:11" ht="12.75" customHeight="1" thickBot="1" x14ac:dyDescent="0.25">
      <c r="A17" s="2190" t="s">
        <v>64</v>
      </c>
      <c r="B17" s="2191"/>
      <c r="C17" s="726"/>
      <c r="D17" s="585"/>
      <c r="E17" s="726"/>
      <c r="F17" s="1755">
        <f>SUM(C17+D17)-E17</f>
        <v>0</v>
      </c>
    </row>
    <row r="18" spans="1:11" ht="12.75" customHeight="1" thickTop="1" thickBot="1" x14ac:dyDescent="0.25">
      <c r="A18" s="2190" t="s">
        <v>6</v>
      </c>
      <c r="B18" s="2191"/>
      <c r="C18" s="726"/>
      <c r="D18" s="585"/>
      <c r="E18" s="726"/>
      <c r="F18" s="1755">
        <f>SUM(C18+D18)-E18</f>
        <v>0</v>
      </c>
    </row>
    <row r="19" spans="1:11" ht="12.75" customHeight="1" thickTop="1" thickBot="1" x14ac:dyDescent="0.25">
      <c r="A19" s="2190" t="s">
        <v>388</v>
      </c>
      <c r="B19" s="2191"/>
      <c r="C19" s="726"/>
      <c r="D19" s="585"/>
      <c r="E19" s="726"/>
      <c r="F19" s="1755">
        <f>SUM(C19+D19)-E19</f>
        <v>0</v>
      </c>
    </row>
    <row r="20" spans="1:11" ht="12.75" customHeight="1" thickTop="1" thickBot="1" x14ac:dyDescent="0.25">
      <c r="A20" s="2190" t="s">
        <v>448</v>
      </c>
      <c r="B20" s="2191"/>
      <c r="C20" s="726"/>
      <c r="D20" s="585"/>
      <c r="E20" s="726"/>
      <c r="F20" s="1755">
        <f>SUM(C20+D20)-E20</f>
        <v>0</v>
      </c>
    </row>
    <row r="21" spans="1:11" ht="14.25" thickTop="1" thickBot="1" x14ac:dyDescent="0.25">
      <c r="A21" s="2195" t="s">
        <v>632</v>
      </c>
      <c r="B21" s="2196"/>
      <c r="C21" s="1755">
        <f>SUM(C17:C20)</f>
        <v>0</v>
      </c>
      <c r="D21" s="1755">
        <f>SUM(D17:D20)</f>
        <v>0</v>
      </c>
      <c r="E21" s="1755">
        <f>SUM(E17:E20)</f>
        <v>0</v>
      </c>
      <c r="F21" s="1755">
        <f>SUM(F17:F20)</f>
        <v>0</v>
      </c>
      <c r="G21" s="552"/>
    </row>
    <row r="22" spans="1:11" ht="15.75" customHeight="1" thickTop="1" x14ac:dyDescent="0.2">
      <c r="A22" s="2197" t="s">
        <v>1112</v>
      </c>
      <c r="B22" s="2198"/>
      <c r="C22" s="2192"/>
      <c r="D22" s="2193"/>
      <c r="E22" s="2193"/>
      <c r="F22" s="2194"/>
    </row>
    <row r="23" spans="1:11" ht="13.5" thickBot="1" x14ac:dyDescent="0.25">
      <c r="A23" s="2199" t="s">
        <v>633</v>
      </c>
      <c r="B23" s="2200"/>
      <c r="C23" s="581"/>
      <c r="D23" s="581"/>
      <c r="E23" s="581"/>
      <c r="F23" s="1755">
        <f>SUM(C23+D23)-E23</f>
        <v>0</v>
      </c>
      <c r="G23" s="552"/>
    </row>
    <row r="24" spans="1:11" ht="15.75" customHeight="1" thickTop="1" x14ac:dyDescent="0.2">
      <c r="A24" s="2197" t="s">
        <v>1113</v>
      </c>
      <c r="B24" s="2198"/>
      <c r="C24" s="2192"/>
      <c r="D24" s="2193"/>
      <c r="E24" s="2193"/>
      <c r="F24" s="2194"/>
    </row>
    <row r="25" spans="1:11" ht="13.5" thickBot="1" x14ac:dyDescent="0.25">
      <c r="A25" s="2199" t="s">
        <v>634</v>
      </c>
      <c r="B25" s="2200"/>
      <c r="C25" s="581"/>
      <c r="D25" s="581"/>
      <c r="E25" s="581"/>
      <c r="F25" s="1755">
        <f>SUM(C25+D25)-E25</f>
        <v>0</v>
      </c>
      <c r="G25" s="552"/>
    </row>
    <row r="26" spans="1:11" ht="15.75" customHeight="1" thickTop="1" x14ac:dyDescent="0.2">
      <c r="A26" s="2203" t="s">
        <v>657</v>
      </c>
      <c r="B26" s="2198"/>
      <c r="C26" s="727"/>
      <c r="D26" s="727"/>
      <c r="E26" s="727"/>
      <c r="F26" s="728"/>
    </row>
    <row r="27" spans="1:11" ht="13.5" thickBot="1" x14ac:dyDescent="0.25">
      <c r="A27" s="2195" t="s">
        <v>1070</v>
      </c>
      <c r="B27" s="2196"/>
      <c r="C27" s="585"/>
      <c r="D27" s="585"/>
      <c r="E27" s="585"/>
      <c r="F27" s="1755">
        <f>SUM(C27+D27)-E27</f>
        <v>0</v>
      </c>
      <c r="G27" s="552"/>
    </row>
    <row r="28" spans="1:11" ht="7.5" customHeight="1" thickTop="1" x14ac:dyDescent="0.2">
      <c r="A28" s="593"/>
    </row>
    <row r="29" spans="1:11" ht="23.25" customHeight="1" x14ac:dyDescent="0.2">
      <c r="A29" s="2201" t="s">
        <v>582</v>
      </c>
      <c r="B29" s="2202"/>
      <c r="C29" s="729"/>
      <c r="D29" s="729"/>
      <c r="E29" s="729"/>
      <c r="F29" s="729"/>
      <c r="G29" s="729"/>
      <c r="H29" s="729"/>
      <c r="I29" s="729"/>
      <c r="J29" s="729"/>
    </row>
    <row r="30" spans="1:11" ht="33.75" x14ac:dyDescent="0.2">
      <c r="A30" s="1529" t="s">
        <v>1071</v>
      </c>
      <c r="B30" s="730" t="s">
        <v>1124</v>
      </c>
      <c r="C30" s="1885" t="s">
        <v>583</v>
      </c>
      <c r="D30" s="1885" t="s">
        <v>1673</v>
      </c>
      <c r="E30" s="1885" t="s">
        <v>1957</v>
      </c>
      <c r="F30" s="1885" t="s">
        <v>1958</v>
      </c>
      <c r="G30" s="1885" t="s">
        <v>1908</v>
      </c>
      <c r="H30" s="1885" t="s">
        <v>1959</v>
      </c>
      <c r="I30" s="1885" t="s">
        <v>1960</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184" t="s">
        <v>584</v>
      </c>
      <c r="C52" s="2185"/>
      <c r="D52" s="2185"/>
      <c r="E52" s="749" t="s">
        <v>845</v>
      </c>
      <c r="F52" s="2186"/>
      <c r="G52" s="2187"/>
      <c r="H52" s="736"/>
      <c r="I52" s="736"/>
      <c r="J52" s="746"/>
    </row>
    <row r="53" spans="1:11" ht="11.25" customHeight="1" x14ac:dyDescent="0.2">
      <c r="A53" s="750" t="s">
        <v>913</v>
      </c>
      <c r="B53" s="751" t="s">
        <v>951</v>
      </c>
      <c r="C53" s="746"/>
      <c r="D53" s="737"/>
      <c r="E53" s="749" t="s">
        <v>497</v>
      </c>
      <c r="F53" s="2188"/>
      <c r="G53" s="2189"/>
      <c r="H53" s="736"/>
      <c r="I53" s="736"/>
      <c r="J53" s="746"/>
    </row>
    <row r="54" spans="1:11" ht="11.25" customHeight="1" x14ac:dyDescent="0.2">
      <c r="A54" s="752" t="s">
        <v>914</v>
      </c>
      <c r="B54" s="747" t="s">
        <v>952</v>
      </c>
      <c r="C54" s="746"/>
      <c r="D54" s="737"/>
      <c r="E54" s="749" t="s">
        <v>498</v>
      </c>
      <c r="F54" s="2188"/>
      <c r="G54" s="218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6" colorId="8" zoomScale="110" zoomScaleNormal="110" workbookViewId="0">
      <selection activeCell="G39" sqref="G3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3" t="s">
        <v>856</v>
      </c>
      <c r="B1" s="2214"/>
      <c r="C1" s="2214"/>
      <c r="D1" s="2214"/>
      <c r="E1" s="2214"/>
      <c r="F1" s="2214"/>
      <c r="G1" s="2215"/>
      <c r="H1" s="1530"/>
      <c r="I1" s="760"/>
      <c r="J1" s="433"/>
    </row>
    <row r="2" spans="1:11" ht="26.25" x14ac:dyDescent="0.2">
      <c r="A2" s="2232" t="s">
        <v>1677</v>
      </c>
      <c r="B2" s="2233"/>
      <c r="C2" s="2233"/>
      <c r="D2" s="2233"/>
      <c r="E2" s="2234"/>
      <c r="F2" s="761" t="s">
        <v>904</v>
      </c>
      <c r="G2" s="762" t="s">
        <v>1674</v>
      </c>
      <c r="H2" s="762" t="s">
        <v>410</v>
      </c>
      <c r="I2" s="762" t="s">
        <v>1158</v>
      </c>
      <c r="J2" s="762" t="s">
        <v>1809</v>
      </c>
      <c r="K2" s="762" t="s">
        <v>138</v>
      </c>
    </row>
    <row r="3" spans="1:11" x14ac:dyDescent="0.2">
      <c r="A3" s="2235" t="s">
        <v>1961</v>
      </c>
      <c r="B3" s="2236"/>
      <c r="C3" s="2236"/>
      <c r="D3" s="2236"/>
      <c r="E3" s="2237"/>
      <c r="F3" s="763"/>
      <c r="G3" s="764"/>
      <c r="H3" s="764"/>
      <c r="I3" s="764"/>
      <c r="J3" s="765"/>
      <c r="K3" s="765"/>
    </row>
    <row r="4" spans="1:11" x14ac:dyDescent="0.2">
      <c r="A4" s="2238" t="s">
        <v>369</v>
      </c>
      <c r="B4" s="2239"/>
      <c r="C4" s="2239"/>
      <c r="D4" s="2239"/>
      <c r="E4" s="2185"/>
      <c r="F4" s="766"/>
      <c r="G4" s="767"/>
      <c r="H4" s="768"/>
      <c r="I4" s="767"/>
      <c r="J4" s="769"/>
      <c r="K4" s="769"/>
    </row>
    <row r="5" spans="1:11" x14ac:dyDescent="0.2">
      <c r="A5" s="2216" t="s">
        <v>1069</v>
      </c>
      <c r="B5" s="2217"/>
      <c r="C5" s="2217"/>
      <c r="D5" s="2217"/>
      <c r="E5" s="2218"/>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6" t="s">
        <v>1810</v>
      </c>
      <c r="B10" s="2217"/>
      <c r="C10" s="2217"/>
      <c r="D10" s="2217"/>
      <c r="E10" s="2219"/>
      <c r="F10" s="783" t="s">
        <v>862</v>
      </c>
      <c r="G10" s="782"/>
      <c r="H10" s="784"/>
      <c r="I10" s="764"/>
      <c r="J10" s="765"/>
      <c r="K10" s="765"/>
    </row>
    <row r="11" spans="1:11" x14ac:dyDescent="0.2">
      <c r="A11" s="2216" t="s">
        <v>160</v>
      </c>
      <c r="B11" s="2217"/>
      <c r="C11" s="2217"/>
      <c r="D11" s="2217"/>
      <c r="E11" s="2218"/>
      <c r="F11" s="770" t="s">
        <v>852</v>
      </c>
      <c r="G11" s="771"/>
      <c r="H11" s="764"/>
      <c r="I11" s="764"/>
      <c r="J11" s="765"/>
      <c r="K11" s="773"/>
    </row>
    <row r="12" spans="1:11" ht="13.5" thickBot="1" x14ac:dyDescent="0.25">
      <c r="A12" s="2243" t="s">
        <v>905</v>
      </c>
      <c r="B12" s="2244"/>
      <c r="C12" s="2244"/>
      <c r="D12" s="2244"/>
      <c r="E12" s="2245"/>
      <c r="F12" s="1757"/>
      <c r="G12" s="1758">
        <f>SUM(G5:G11)</f>
        <v>0</v>
      </c>
      <c r="H12" s="1758">
        <f>SUM(H5:H11)</f>
        <v>0</v>
      </c>
      <c r="I12" s="1758">
        <f>SUM(I5:I11)</f>
        <v>0</v>
      </c>
      <c r="J12" s="1758">
        <f>SUM(J5:J11)</f>
        <v>0</v>
      </c>
      <c r="K12" s="1758">
        <f>SUM(K5:K11)</f>
        <v>0</v>
      </c>
    </row>
    <row r="13" spans="1:11" ht="13.5" thickTop="1" x14ac:dyDescent="0.2">
      <c r="A13" s="2240" t="s">
        <v>370</v>
      </c>
      <c r="B13" s="2241"/>
      <c r="C13" s="2241"/>
      <c r="D13" s="2241"/>
      <c r="E13" s="2242"/>
      <c r="F13" s="785"/>
      <c r="G13" s="786"/>
      <c r="H13" s="787"/>
      <c r="I13" s="788"/>
      <c r="J13" s="788"/>
      <c r="K13" s="788"/>
    </row>
    <row r="14" spans="1:11" x14ac:dyDescent="0.2">
      <c r="A14" s="2223" t="s">
        <v>456</v>
      </c>
      <c r="B14" s="2223"/>
      <c r="C14" s="2223"/>
      <c r="D14" s="2223"/>
      <c r="E14" s="2224"/>
      <c r="F14" s="789" t="s">
        <v>854</v>
      </c>
      <c r="G14" s="782"/>
      <c r="H14" s="764"/>
      <c r="I14" s="771"/>
      <c r="J14" s="773"/>
      <c r="K14" s="765"/>
    </row>
    <row r="15" spans="1:11" x14ac:dyDescent="0.2">
      <c r="A15" s="2217" t="s">
        <v>4</v>
      </c>
      <c r="B15" s="2217"/>
      <c r="C15" s="2217"/>
      <c r="D15" s="2217"/>
      <c r="E15" s="2218"/>
      <c r="F15" s="789" t="s">
        <v>855</v>
      </c>
      <c r="G15" s="771"/>
      <c r="H15" s="764"/>
      <c r="I15" s="764"/>
      <c r="J15" s="765"/>
      <c r="K15" s="765"/>
    </row>
    <row r="16" spans="1:11" x14ac:dyDescent="0.2">
      <c r="A16" s="2217" t="s">
        <v>298</v>
      </c>
      <c r="B16" s="2217"/>
      <c r="C16" s="2217"/>
      <c r="D16" s="2217"/>
      <c r="E16" s="2218"/>
      <c r="F16" s="789" t="s">
        <v>923</v>
      </c>
      <c r="G16" s="772"/>
      <c r="H16" s="767"/>
      <c r="I16" s="767"/>
      <c r="J16" s="769"/>
      <c r="K16" s="769"/>
    </row>
    <row r="17" spans="1:11" x14ac:dyDescent="0.2">
      <c r="A17" s="2248" t="s">
        <v>935</v>
      </c>
      <c r="B17" s="2248"/>
      <c r="C17" s="2248"/>
      <c r="D17" s="2248"/>
      <c r="E17" s="2249"/>
      <c r="F17" s="790"/>
      <c r="G17" s="791"/>
      <c r="H17" s="792"/>
      <c r="I17" s="792"/>
      <c r="J17" s="793"/>
      <c r="K17" s="794"/>
    </row>
    <row r="18" spans="1:11" x14ac:dyDescent="0.2">
      <c r="A18" s="2227" t="s">
        <v>368</v>
      </c>
      <c r="B18" s="2228"/>
      <c r="C18" s="2228"/>
      <c r="D18" s="2228"/>
      <c r="E18" s="2229"/>
      <c r="F18" s="789" t="s">
        <v>932</v>
      </c>
      <c r="G18" s="782"/>
      <c r="H18" s="782"/>
      <c r="I18" s="782"/>
      <c r="J18" s="765"/>
      <c r="K18" s="795"/>
    </row>
    <row r="19" spans="1:11" ht="21.75" customHeight="1" x14ac:dyDescent="0.2">
      <c r="A19" s="2225" t="s">
        <v>1806</v>
      </c>
      <c r="B19" s="2225"/>
      <c r="C19" s="2225"/>
      <c r="D19" s="2225"/>
      <c r="E19" s="2226"/>
      <c r="F19" s="789" t="s">
        <v>933</v>
      </c>
      <c r="G19" s="782"/>
      <c r="H19" s="782"/>
      <c r="I19" s="782"/>
      <c r="J19" s="765"/>
      <c r="K19" s="795"/>
    </row>
    <row r="20" spans="1:11" x14ac:dyDescent="0.2">
      <c r="A20" s="2227" t="s">
        <v>1811</v>
      </c>
      <c r="B20" s="2228"/>
      <c r="C20" s="2228"/>
      <c r="D20" s="2228"/>
      <c r="E20" s="2229"/>
      <c r="F20" s="789" t="s">
        <v>934</v>
      </c>
      <c r="G20" s="782"/>
      <c r="H20" s="782"/>
      <c r="I20" s="782"/>
      <c r="J20" s="765"/>
      <c r="K20" s="795"/>
    </row>
    <row r="21" spans="1:11" ht="13.5" thickBot="1" x14ac:dyDescent="0.25">
      <c r="A21" s="2246" t="s">
        <v>638</v>
      </c>
      <c r="B21" s="2246"/>
      <c r="C21" s="2246"/>
      <c r="D21" s="2246"/>
      <c r="E21" s="2246"/>
      <c r="F21" s="1759"/>
      <c r="G21" s="792"/>
      <c r="H21" s="796"/>
      <c r="I21" s="796"/>
      <c r="J21" s="1760">
        <f>SUM(J18:J20)</f>
        <v>0</v>
      </c>
      <c r="K21" s="793"/>
    </row>
    <row r="22" spans="1:11" ht="13.5" thickTop="1" x14ac:dyDescent="0.2">
      <c r="A22" s="2217" t="s">
        <v>1812</v>
      </c>
      <c r="B22" s="2217"/>
      <c r="C22" s="2217"/>
      <c r="D22" s="2217"/>
      <c r="E22" s="2218"/>
      <c r="F22" s="789" t="s">
        <v>862</v>
      </c>
      <c r="G22" s="782"/>
      <c r="H22" s="764"/>
      <c r="I22" s="764"/>
      <c r="J22" s="797"/>
      <c r="K22" s="765"/>
    </row>
    <row r="23" spans="1:11" ht="13.5" thickBot="1" x14ac:dyDescent="0.25">
      <c r="A23" s="2247" t="s">
        <v>906</v>
      </c>
      <c r="B23" s="2246"/>
      <c r="C23" s="2246"/>
      <c r="D23" s="2246"/>
      <c r="E23" s="2246"/>
      <c r="F23" s="1761"/>
      <c r="G23" s="1758">
        <f>SUM(G14:G16,G21,G22)</f>
        <v>0</v>
      </c>
      <c r="H23" s="1758">
        <f>SUM(H14:H16,H21,H22)</f>
        <v>0</v>
      </c>
      <c r="I23" s="1758">
        <f>SUM(I14:I16,I21,I22)</f>
        <v>0</v>
      </c>
      <c r="J23" s="1758">
        <f>SUM(J14:J16,J21,J22)</f>
        <v>0</v>
      </c>
      <c r="K23" s="1758">
        <f>SUM(K14:K16,K21,K22)</f>
        <v>0</v>
      </c>
    </row>
    <row r="24" spans="1:11" ht="14.25" thickTop="1" thickBot="1" x14ac:dyDescent="0.25">
      <c r="A24" s="2247" t="s">
        <v>1962</v>
      </c>
      <c r="B24" s="2246"/>
      <c r="C24" s="2246"/>
      <c r="D24" s="2246"/>
      <c r="E24" s="2246"/>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1907</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2061</v>
      </c>
      <c r="E30" s="808" t="s">
        <v>768</v>
      </c>
      <c r="F30" s="202"/>
      <c r="G30" s="805"/>
    </row>
    <row r="31" spans="1:11" x14ac:dyDescent="0.2">
      <c r="A31" s="809"/>
      <c r="D31" s="237"/>
      <c r="E31" s="810" t="s">
        <v>769</v>
      </c>
      <c r="F31" s="811" t="s">
        <v>539</v>
      </c>
      <c r="G31" s="764"/>
      <c r="H31" s="2220"/>
      <c r="I31" s="2221"/>
      <c r="J31" s="2221"/>
      <c r="K31" s="2221"/>
    </row>
    <row r="32" spans="1:11" x14ac:dyDescent="0.2">
      <c r="A32" s="809"/>
      <c r="B32" s="237"/>
      <c r="C32" s="237"/>
      <c r="D32" s="237"/>
      <c r="E32" s="805"/>
      <c r="F32" s="811" t="s">
        <v>540</v>
      </c>
      <c r="G32" s="764"/>
      <c r="H32" s="2222"/>
      <c r="I32" s="2221"/>
      <c r="J32" s="2221"/>
      <c r="K32" s="2221"/>
    </row>
    <row r="33" spans="1:11" ht="1.5" customHeight="1" x14ac:dyDescent="0.2">
      <c r="A33" s="812" t="s">
        <v>1169</v>
      </c>
      <c r="B33" s="364"/>
      <c r="C33" s="364"/>
      <c r="D33" s="364"/>
      <c r="E33" s="364"/>
      <c r="F33" s="364"/>
      <c r="G33" s="813"/>
      <c r="H33" s="2222"/>
      <c r="I33" s="2221"/>
      <c r="J33" s="2221"/>
      <c r="K33" s="2221"/>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v>11435</v>
      </c>
    </row>
    <row r="37" spans="1:11" x14ac:dyDescent="0.2">
      <c r="A37" s="820" t="s">
        <v>896</v>
      </c>
      <c r="B37" s="818"/>
      <c r="C37" s="818"/>
      <c r="D37" s="818"/>
      <c r="E37" s="818"/>
      <c r="F37" s="819"/>
      <c r="G37" s="765"/>
    </row>
    <row r="38" spans="1:11" x14ac:dyDescent="0.2">
      <c r="A38" s="820" t="s">
        <v>993</v>
      </c>
      <c r="B38" s="818"/>
      <c r="C38" s="818"/>
      <c r="D38" s="818"/>
      <c r="E38" s="818"/>
      <c r="F38" s="819"/>
      <c r="G38" s="765">
        <v>28225</v>
      </c>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7" t="s">
        <v>541</v>
      </c>
      <c r="B41" s="2230"/>
      <c r="C41" s="2230"/>
      <c r="D41" s="2230"/>
      <c r="E41" s="2230"/>
      <c r="F41" s="2231"/>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1906</v>
      </c>
      <c r="B1" s="2253"/>
      <c r="C1" s="2254"/>
      <c r="D1" s="826"/>
      <c r="E1" s="827"/>
      <c r="F1" s="827"/>
      <c r="G1" s="828"/>
      <c r="H1" s="829"/>
      <c r="I1" s="830"/>
      <c r="J1" s="2250"/>
      <c r="K1" s="2251"/>
      <c r="L1" s="2251"/>
    </row>
    <row r="2" spans="1:14" ht="69.75" customHeight="1" x14ac:dyDescent="0.2">
      <c r="A2" s="831" t="s">
        <v>1678</v>
      </c>
      <c r="B2" s="832" t="s">
        <v>378</v>
      </c>
      <c r="C2" s="833" t="s">
        <v>1963</v>
      </c>
      <c r="D2" s="833" t="s">
        <v>1964</v>
      </c>
      <c r="E2" s="833" t="s">
        <v>1965</v>
      </c>
      <c r="F2" s="833" t="s">
        <v>1966</v>
      </c>
      <c r="G2" s="833" t="s">
        <v>605</v>
      </c>
      <c r="H2" s="833" t="s">
        <v>1967</v>
      </c>
      <c r="I2" s="833" t="s">
        <v>1968</v>
      </c>
      <c r="J2" s="833" t="s">
        <v>1969</v>
      </c>
      <c r="K2" s="833" t="s">
        <v>1970</v>
      </c>
      <c r="L2" s="833" t="s">
        <v>1971</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c r="D5" s="841"/>
      <c r="E5" s="841"/>
      <c r="F5" s="1760">
        <f>(C5+D5)-E5</f>
        <v>0</v>
      </c>
      <c r="G5" s="837"/>
      <c r="H5" s="842"/>
      <c r="I5" s="842"/>
      <c r="J5" s="842"/>
      <c r="K5" s="793"/>
      <c r="L5" s="1769">
        <f>F5-K5</f>
        <v>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c r="D8" s="844"/>
      <c r="E8" s="844"/>
      <c r="F8" s="1760">
        <f>(C8+D8)-E8</f>
        <v>0</v>
      </c>
      <c r="G8" s="843">
        <v>50</v>
      </c>
      <c r="H8" s="765"/>
      <c r="I8" s="765"/>
      <c r="J8" s="765"/>
      <c r="K8" s="1769">
        <f>(H8+I8)-J8</f>
        <v>0</v>
      </c>
      <c r="L8" s="1769">
        <f>F8-K8</f>
        <v>0</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267439</v>
      </c>
      <c r="D12" s="844">
        <v>102987</v>
      </c>
      <c r="E12" s="844"/>
      <c r="F12" s="1760">
        <f>(C12+D12)-E12</f>
        <v>370426</v>
      </c>
      <c r="G12" s="843">
        <v>10</v>
      </c>
      <c r="H12" s="765">
        <v>63835</v>
      </c>
      <c r="I12" s="765">
        <v>37043</v>
      </c>
      <c r="J12" s="765"/>
      <c r="K12" s="1769">
        <f>(H12+I12)-J12</f>
        <v>100878</v>
      </c>
      <c r="L12" s="1769">
        <f>F12-K12</f>
        <v>269548</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267439</v>
      </c>
      <c r="D16" s="1760">
        <f>SUM(D3,D5:D6,D8:D10,D12:D15)</f>
        <v>102987</v>
      </c>
      <c r="E16" s="1760">
        <f>SUM(E3,E5:E6,E8:E10,E12:E15)</f>
        <v>0</v>
      </c>
      <c r="F16" s="1760">
        <f>SUM(F3,F5:F6,F8:F10,F12:F15)</f>
        <v>370426</v>
      </c>
      <c r="G16" s="843"/>
      <c r="H16" s="1760">
        <f>SUM(H3,H6,H8:H10,H12:H14,)</f>
        <v>63835</v>
      </c>
      <c r="I16" s="1760">
        <f>SUM(I3,I6,I8:I10,I12:I14,)</f>
        <v>37043</v>
      </c>
      <c r="J16" s="1760">
        <f>SUM(J3,J6,J8:J10,J12:J14,)</f>
        <v>0</v>
      </c>
      <c r="K16" s="1760">
        <f>(H16+I16)-J16</f>
        <v>100878</v>
      </c>
      <c r="L16" s="1760">
        <f>F16-K16</f>
        <v>269548</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37043</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6" activePane="bottomLeft" state="frozen"/>
      <selection activeCell="A47" sqref="A47"/>
      <selection pane="bottomLeft" activeCell="I6" sqref="I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8" t="s">
        <v>1972</v>
      </c>
      <c r="B1" s="2259"/>
      <c r="C1" s="2259"/>
      <c r="D1" s="2259"/>
      <c r="E1" s="2259"/>
      <c r="F1" s="2260"/>
      <c r="G1" s="855"/>
    </row>
    <row r="2" spans="1:7" ht="15" customHeight="1" thickBot="1" x14ac:dyDescent="0.25">
      <c r="A2" s="2261" t="s">
        <v>477</v>
      </c>
      <c r="B2" s="2262"/>
      <c r="C2" s="2262"/>
      <c r="D2" s="2262"/>
      <c r="E2" s="2262"/>
      <c r="F2" s="226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4"/>
      <c r="B5" s="2265"/>
      <c r="C5" s="2265"/>
      <c r="D5" s="2265"/>
      <c r="E5" s="2265"/>
      <c r="F5" s="2265"/>
    </row>
    <row r="6" spans="1:7" ht="13.5" customHeight="1" thickBot="1" x14ac:dyDescent="0.25">
      <c r="A6" s="2255" t="s">
        <v>1104</v>
      </c>
      <c r="B6" s="2256"/>
      <c r="C6" s="2256"/>
      <c r="D6" s="2256"/>
      <c r="E6" s="2256"/>
      <c r="F6" s="225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6346161</v>
      </c>
      <c r="G8" s="865"/>
    </row>
    <row r="9" spans="1:7" x14ac:dyDescent="0.2">
      <c r="A9" s="869" t="s">
        <v>460</v>
      </c>
      <c r="B9" s="870" t="s">
        <v>1874</v>
      </c>
      <c r="C9" s="871"/>
      <c r="D9" s="869" t="s">
        <v>501</v>
      </c>
      <c r="E9" s="868"/>
      <c r="F9" s="1909">
        <f>'Expenditures 15-22'!K151</f>
        <v>147410</v>
      </c>
      <c r="G9" s="872"/>
    </row>
    <row r="10" spans="1:7" x14ac:dyDescent="0.2">
      <c r="A10" s="869" t="s">
        <v>499</v>
      </c>
      <c r="B10" s="870" t="s">
        <v>1875</v>
      </c>
      <c r="C10" s="871"/>
      <c r="D10" s="869" t="s">
        <v>501</v>
      </c>
      <c r="E10" s="868"/>
      <c r="F10" s="1909">
        <f>'Expenditures 15-22'!K174</f>
        <v>0</v>
      </c>
      <c r="G10" s="872"/>
    </row>
    <row r="11" spans="1:7" x14ac:dyDescent="0.2">
      <c r="A11" s="869" t="s">
        <v>461</v>
      </c>
      <c r="B11" s="870" t="s">
        <v>1876</v>
      </c>
      <c r="C11" s="871"/>
      <c r="D11" s="869" t="s">
        <v>501</v>
      </c>
      <c r="E11" s="868"/>
      <c r="F11" s="1909">
        <f>'Expenditures 15-22'!K210</f>
        <v>0</v>
      </c>
      <c r="G11" s="872"/>
    </row>
    <row r="12" spans="1:7" x14ac:dyDescent="0.2">
      <c r="A12" s="869" t="s">
        <v>462</v>
      </c>
      <c r="B12" s="870" t="s">
        <v>1877</v>
      </c>
      <c r="C12" s="871"/>
      <c r="D12" s="869" t="s">
        <v>501</v>
      </c>
      <c r="E12" s="868"/>
      <c r="F12" s="1909">
        <f>'Expenditures 15-22'!K295</f>
        <v>303123</v>
      </c>
      <c r="G12" s="872"/>
    </row>
    <row r="13" spans="1:7" x14ac:dyDescent="0.2">
      <c r="A13" s="869" t="s">
        <v>106</v>
      </c>
      <c r="B13" s="870" t="s">
        <v>1878</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6796694</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1996</v>
      </c>
      <c r="C30" s="880">
        <f>'Revenues 9-14'!B150</f>
        <v>3499</v>
      </c>
      <c r="D30" s="881" t="str">
        <f>'Revenues 9-14'!A150</f>
        <v>Adult Ed - Other (Describe &amp; Itemize)</v>
      </c>
      <c r="E30" s="868"/>
      <c r="F30" s="1914">
        <f>('Revenues 9-14'!D150+'Revenues 9-14'!F150)</f>
        <v>0</v>
      </c>
      <c r="G30" s="865"/>
    </row>
    <row r="31" spans="1:7" x14ac:dyDescent="0.2">
      <c r="A31" s="869" t="s">
        <v>1097</v>
      </c>
      <c r="B31" s="870" t="s">
        <v>1997</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1998</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1999</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1293660</v>
      </c>
      <c r="G53" s="865"/>
    </row>
    <row r="54" spans="1:7" x14ac:dyDescent="0.2">
      <c r="A54" s="869" t="s">
        <v>459</v>
      </c>
      <c r="B54" s="869" t="s">
        <v>1476</v>
      </c>
      <c r="C54" s="889" t="s">
        <v>982</v>
      </c>
      <c r="D54" s="885" t="s">
        <v>1095</v>
      </c>
      <c r="E54" s="868"/>
      <c r="F54" s="1913">
        <f>'Expenditures 15-22'!G114</f>
        <v>102987</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913">
        <f>'Expenditures 15-22'!K139</f>
        <v>0</v>
      </c>
      <c r="G57" s="865"/>
    </row>
    <row r="58" spans="1:7" x14ac:dyDescent="0.2">
      <c r="A58" s="869" t="s">
        <v>460</v>
      </c>
      <c r="B58" s="869" t="s">
        <v>1880</v>
      </c>
      <c r="C58" s="886" t="s">
        <v>982</v>
      </c>
      <c r="D58" s="885" t="s">
        <v>1095</v>
      </c>
      <c r="E58" s="868"/>
      <c r="F58" s="1915">
        <f>'Expenditures 15-22'!G151</f>
        <v>0</v>
      </c>
      <c r="G58" s="865"/>
    </row>
    <row r="59" spans="1:7" x14ac:dyDescent="0.2">
      <c r="A59" s="893" t="s">
        <v>460</v>
      </c>
      <c r="B59" s="856" t="s">
        <v>1881</v>
      </c>
      <c r="C59" s="894" t="s">
        <v>982</v>
      </c>
      <c r="D59" s="856" t="s">
        <v>291</v>
      </c>
      <c r="F59" s="1916">
        <f>'Expenditures 15-22'!I151</f>
        <v>0</v>
      </c>
      <c r="G59" s="865"/>
    </row>
    <row r="60" spans="1:7" x14ac:dyDescent="0.2">
      <c r="A60" s="893" t="s">
        <v>499</v>
      </c>
      <c r="B60" s="856" t="s">
        <v>1882</v>
      </c>
      <c r="C60" s="894">
        <v>4000</v>
      </c>
      <c r="D60" s="856" t="s">
        <v>312</v>
      </c>
      <c r="F60" s="1914">
        <f>'Expenditures 15-22'!K160</f>
        <v>0</v>
      </c>
      <c r="G60" s="865"/>
    </row>
    <row r="61" spans="1:7" x14ac:dyDescent="0.2">
      <c r="A61" s="895" t="s">
        <v>499</v>
      </c>
      <c r="B61" s="895" t="s">
        <v>1883</v>
      </c>
      <c r="C61" s="896" t="str">
        <f>'Expenditures 15-22'!B170</f>
        <v>5300</v>
      </c>
      <c r="D61" s="897" t="s">
        <v>311</v>
      </c>
      <c r="E61" s="879"/>
      <c r="F61" s="1913">
        <f>'Expenditures 15-22'!K170</f>
        <v>0</v>
      </c>
      <c r="G61" s="865"/>
    </row>
    <row r="62" spans="1:7" x14ac:dyDescent="0.2">
      <c r="A62" s="869" t="s">
        <v>461</v>
      </c>
      <c r="B62" s="869" t="s">
        <v>1884</v>
      </c>
      <c r="C62" s="886">
        <f>'Expenditures 15-22'!B185</f>
        <v>3000</v>
      </c>
      <c r="D62" s="876" t="s">
        <v>449</v>
      </c>
      <c r="E62" s="868"/>
      <c r="F62" s="1913">
        <f>'Expenditures 15-22'!K185-SUM('Expenditures 15-22'!G185,'Expenditures 15-22'!I185)</f>
        <v>0</v>
      </c>
      <c r="G62" s="865"/>
    </row>
    <row r="63" spans="1:7" x14ac:dyDescent="0.2">
      <c r="A63" s="869" t="s">
        <v>461</v>
      </c>
      <c r="B63" s="869" t="s">
        <v>1885</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1886</v>
      </c>
      <c r="C64" s="896" t="str">
        <f>'Expenditures 15-22'!B206</f>
        <v>5300</v>
      </c>
      <c r="D64" s="892" t="s">
        <v>311</v>
      </c>
      <c r="E64" s="868"/>
      <c r="F64" s="1913">
        <f>'Expenditures 15-22'!K206</f>
        <v>0</v>
      </c>
      <c r="G64" s="865"/>
    </row>
    <row r="65" spans="1:8" x14ac:dyDescent="0.2">
      <c r="A65" s="869" t="s">
        <v>461</v>
      </c>
      <c r="B65" s="869" t="s">
        <v>1887</v>
      </c>
      <c r="C65" s="886" t="s">
        <v>982</v>
      </c>
      <c r="D65" s="885" t="s">
        <v>1095</v>
      </c>
      <c r="E65" s="868"/>
      <c r="F65" s="1913">
        <f>'Expenditures 15-22'!G210</f>
        <v>0</v>
      </c>
      <c r="G65" s="865"/>
    </row>
    <row r="66" spans="1:8" x14ac:dyDescent="0.2">
      <c r="A66" s="869" t="s">
        <v>461</v>
      </c>
      <c r="B66" s="869" t="s">
        <v>1888</v>
      </c>
      <c r="C66" s="886" t="s">
        <v>982</v>
      </c>
      <c r="D66" s="885" t="s">
        <v>291</v>
      </c>
      <c r="E66" s="868"/>
      <c r="F66" s="1913">
        <f>'Expenditures 15-22'!I210</f>
        <v>0</v>
      </c>
      <c r="G66" s="865"/>
    </row>
    <row r="67" spans="1:8" x14ac:dyDescent="0.2">
      <c r="A67" s="869" t="s">
        <v>462</v>
      </c>
      <c r="B67" s="869" t="s">
        <v>1889</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1890</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1891</v>
      </c>
      <c r="C70" s="886">
        <f>'Expenditures 15-22'!B221</f>
        <v>1300</v>
      </c>
      <c r="D70" s="887" t="str">
        <f>'Expenditures 15-22'!A221</f>
        <v>Adult/Continuing Education Programs</v>
      </c>
      <c r="E70" s="868"/>
      <c r="F70" s="1913">
        <f>'Expenditures 15-22'!K221</f>
        <v>0</v>
      </c>
      <c r="G70" s="865"/>
    </row>
    <row r="71" spans="1:8" x14ac:dyDescent="0.2">
      <c r="A71" s="869" t="s">
        <v>462</v>
      </c>
      <c r="B71" s="869" t="s">
        <v>1892</v>
      </c>
      <c r="C71" s="886">
        <f>'Expenditures 15-22'!B224</f>
        <v>1600</v>
      </c>
      <c r="D71" s="887" t="str">
        <f>'Expenditures 15-22'!A224</f>
        <v>Summer School Programs</v>
      </c>
      <c r="E71" s="868"/>
      <c r="F71" s="1913">
        <f>'Expenditures 15-22'!K224</f>
        <v>0</v>
      </c>
      <c r="G71" s="865"/>
    </row>
    <row r="72" spans="1:8" x14ac:dyDescent="0.2">
      <c r="A72" s="869" t="s">
        <v>462</v>
      </c>
      <c r="B72" s="869" t="s">
        <v>1893</v>
      </c>
      <c r="C72" s="886">
        <f>'Expenditures 15-22'!B280</f>
        <v>3000</v>
      </c>
      <c r="D72" s="876" t="s">
        <v>449</v>
      </c>
      <c r="E72" s="868"/>
      <c r="F72" s="1913">
        <f>'Expenditures 15-22'!K280</f>
        <v>0</v>
      </c>
      <c r="G72" s="865"/>
    </row>
    <row r="73" spans="1:8" x14ac:dyDescent="0.2">
      <c r="A73" s="869" t="s">
        <v>462</v>
      </c>
      <c r="B73" s="869" t="s">
        <v>1894</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1895</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1896</v>
      </c>
      <c r="E76" s="1774" t="s">
        <v>958</v>
      </c>
      <c r="F76" s="1778">
        <f>SUM(F18:F74)</f>
        <v>1396647</v>
      </c>
      <c r="G76" s="865"/>
    </row>
    <row r="77" spans="1:8" s="893" customFormat="1" ht="12" customHeight="1" thickTop="1" thickBot="1" x14ac:dyDescent="0.25">
      <c r="A77" s="1779"/>
      <c r="B77" s="1776"/>
      <c r="C77" s="1772"/>
      <c r="D77" s="1777" t="s">
        <v>1897</v>
      </c>
      <c r="E77" s="1774"/>
      <c r="F77" s="1780">
        <f>(F14-F76)</f>
        <v>5400047</v>
      </c>
      <c r="G77" s="869"/>
    </row>
    <row r="78" spans="1:8" s="893" customFormat="1" ht="12" customHeight="1" thickTop="1" x14ac:dyDescent="0.2">
      <c r="A78" s="1781"/>
      <c r="B78" s="1776"/>
      <c r="C78" s="1772"/>
      <c r="D78" s="1777" t="s">
        <v>2059</v>
      </c>
      <c r="E78" s="1774"/>
      <c r="F78" s="898">
        <v>0</v>
      </c>
      <c r="G78" s="899"/>
      <c r="H78" s="869"/>
    </row>
    <row r="79" spans="1:8" s="893" customFormat="1" ht="12" customHeight="1" thickBot="1" x14ac:dyDescent="0.25">
      <c r="A79" s="1782"/>
      <c r="B79" s="1776"/>
      <c r="C79" s="1772"/>
      <c r="D79" s="1777" t="s">
        <v>1898</v>
      </c>
      <c r="E79" s="1774" t="s">
        <v>958</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55" t="s">
        <v>1105</v>
      </c>
      <c r="B81" s="2256"/>
      <c r="C81" s="2256"/>
      <c r="D81" s="2256"/>
      <c r="E81" s="2256"/>
      <c r="F81" s="225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0</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4640601</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2000</v>
      </c>
      <c r="C105" s="913">
        <v>3100</v>
      </c>
      <c r="D105" s="919" t="str">
        <f>'Revenues 9-14'!A132</f>
        <v>Total Special Education</v>
      </c>
      <c r="E105" s="906"/>
      <c r="F105" s="1789">
        <f>SUM('Revenues 9-14'!C132:D132,'Revenues 9-14'!F132)</f>
        <v>0</v>
      </c>
      <c r="G105" s="912"/>
    </row>
    <row r="106" spans="1:7" x14ac:dyDescent="0.2">
      <c r="A106" s="908" t="s">
        <v>673</v>
      </c>
      <c r="B106" s="908" t="s">
        <v>2001</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2002</v>
      </c>
      <c r="C107" s="920">
        <v>3300</v>
      </c>
      <c r="D107" s="911" t="str">
        <f>'Revenues 9-14'!A145</f>
        <v>Total Bilingual Ed</v>
      </c>
      <c r="E107" s="906"/>
      <c r="F107" s="1789">
        <f>SUM('Revenues 9-14'!C145,'Revenues 9-14'!G145)</f>
        <v>0</v>
      </c>
      <c r="G107" s="912"/>
    </row>
    <row r="108" spans="1:7" x14ac:dyDescent="0.2">
      <c r="A108" s="908" t="s">
        <v>459</v>
      </c>
      <c r="B108" s="908" t="s">
        <v>2003</v>
      </c>
      <c r="C108" s="920">
        <f>'Revenues 9-14'!B146</f>
        <v>3360</v>
      </c>
      <c r="D108" s="911" t="str">
        <f>'Revenues 9-14'!A146</f>
        <v>State Free Lunch &amp; Breakfast</v>
      </c>
      <c r="E108" s="906"/>
      <c r="F108" s="1789">
        <f>'Revenues 9-14'!C146</f>
        <v>0</v>
      </c>
      <c r="G108" s="912"/>
    </row>
    <row r="109" spans="1:7" x14ac:dyDescent="0.2">
      <c r="A109" s="908" t="s">
        <v>673</v>
      </c>
      <c r="B109" s="908" t="s">
        <v>2004</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2005</v>
      </c>
      <c r="C110" s="920">
        <f>'Revenues 9-14'!B148</f>
        <v>3370</v>
      </c>
      <c r="D110" s="911" t="str">
        <f>'Revenues 9-14'!A148</f>
        <v>Driver Education</v>
      </c>
      <c r="E110" s="906"/>
      <c r="F110" s="1789">
        <f>SUM('Revenues 9-14'!C148,'Revenues 9-14'!D148)</f>
        <v>0</v>
      </c>
      <c r="G110" s="912"/>
    </row>
    <row r="111" spans="1:7" x14ac:dyDescent="0.2">
      <c r="A111" s="908" t="s">
        <v>668</v>
      </c>
      <c r="B111" s="908" t="s">
        <v>2006</v>
      </c>
      <c r="C111" s="922">
        <v>3500</v>
      </c>
      <c r="D111" s="911" t="str">
        <f>'Revenues 9-14'!A155</f>
        <v>Total Transportation</v>
      </c>
      <c r="E111" s="906"/>
      <c r="F111" s="1789">
        <f>SUM('Revenues 9-14'!C155,'Revenues 9-14'!D155,'Revenues 9-14'!F155,'Revenues 9-14'!G155)</f>
        <v>0</v>
      </c>
      <c r="G111" s="912"/>
    </row>
    <row r="112" spans="1:7" x14ac:dyDescent="0.2">
      <c r="A112" s="908" t="s">
        <v>459</v>
      </c>
      <c r="B112" s="908" t="s">
        <v>2007</v>
      </c>
      <c r="C112" s="920">
        <f>'Revenues 9-14'!B156</f>
        <v>3610</v>
      </c>
      <c r="D112" s="911" t="str">
        <f>'Revenues 9-14'!A156</f>
        <v>Learning Improvement - Change Grants</v>
      </c>
      <c r="E112" s="906"/>
      <c r="F112" s="1789">
        <f>'Revenues 9-14'!C156</f>
        <v>0</v>
      </c>
      <c r="G112" s="912"/>
    </row>
    <row r="113" spans="1:7" x14ac:dyDescent="0.2">
      <c r="A113" s="908" t="s">
        <v>668</v>
      </c>
      <c r="B113" s="908" t="s">
        <v>2008</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2009</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2010</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2011</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2012</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2013</v>
      </c>
      <c r="C118" s="924">
        <f>'Revenues 9-14'!B163</f>
        <v>3780</v>
      </c>
      <c r="D118" s="925" t="str">
        <f>'Revenues 9-14'!A163</f>
        <v>Technology - Technology for Success</v>
      </c>
      <c r="E118" s="906"/>
      <c r="F118" s="1907">
        <f>SUM('Revenues 9-14'!C163:G163)</f>
        <v>0</v>
      </c>
      <c r="G118" s="912"/>
    </row>
    <row r="119" spans="1:7" x14ac:dyDescent="0.2">
      <c r="A119" s="923" t="s">
        <v>504</v>
      </c>
      <c r="B119" s="923" t="s">
        <v>2014</v>
      </c>
      <c r="C119" s="924">
        <f>'Revenues 9-14'!B164</f>
        <v>3815</v>
      </c>
      <c r="D119" s="925" t="str">
        <f>'Revenues 9-14'!A164</f>
        <v>State Charter Schools</v>
      </c>
      <c r="E119" s="906"/>
      <c r="F119" s="1907">
        <f>SUM('Revenues 9-14'!C164,'Revenues 9-14'!F164)</f>
        <v>0</v>
      </c>
      <c r="G119" s="912"/>
    </row>
    <row r="120" spans="1:7" x14ac:dyDescent="0.2">
      <c r="A120" s="927" t="s">
        <v>460</v>
      </c>
      <c r="B120" s="927" t="s">
        <v>2015</v>
      </c>
      <c r="C120" s="928">
        <f>'Revenues 9-14'!B167</f>
        <v>3925</v>
      </c>
      <c r="D120" s="929" t="str">
        <f>'Revenues 9-14'!A167</f>
        <v>School Infrastructure - Maintenance Projects</v>
      </c>
      <c r="E120" s="906"/>
      <c r="F120" s="1789">
        <f>'Revenues 9-14'!D167</f>
        <v>0</v>
      </c>
      <c r="G120" s="930"/>
    </row>
    <row r="121" spans="1:7" x14ac:dyDescent="0.2">
      <c r="A121" s="927" t="s">
        <v>500</v>
      </c>
      <c r="B121" s="927" t="s">
        <v>2016</v>
      </c>
      <c r="C121" s="928">
        <f>'Revenues 9-14'!B168</f>
        <v>3999</v>
      </c>
      <c r="D121" s="929" t="s">
        <v>543</v>
      </c>
      <c r="E121" s="931"/>
      <c r="F121" s="1789">
        <f>SUM('Revenues 9-14'!C168:G168,'Revenues 9-14'!J168)</f>
        <v>0</v>
      </c>
      <c r="G121" s="930"/>
    </row>
    <row r="122" spans="1:7" x14ac:dyDescent="0.2">
      <c r="A122" s="927" t="s">
        <v>459</v>
      </c>
      <c r="B122" s="927" t="s">
        <v>2017</v>
      </c>
      <c r="C122" s="932">
        <f>'Revenues 9-14'!B177</f>
        <v>4045</v>
      </c>
      <c r="D122" s="929" t="str">
        <f>'Revenues 9-14'!A177 &amp; " (Subtract)"</f>
        <v>Head Start (Subtract)</v>
      </c>
      <c r="E122" s="906"/>
      <c r="F122" s="1789">
        <f>SUM(-'Revenues 9-14'!C177)</f>
        <v>0</v>
      </c>
      <c r="G122" s="930"/>
    </row>
    <row r="123" spans="1:7" x14ac:dyDescent="0.2">
      <c r="A123" s="927" t="s">
        <v>668</v>
      </c>
      <c r="B123" s="927" t="s">
        <v>2018</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2019</v>
      </c>
      <c r="C124" s="932">
        <v>4100</v>
      </c>
      <c r="D124" s="933" t="str">
        <f>'Revenues 9-14'!A188</f>
        <v>Total Title V</v>
      </c>
      <c r="E124" s="906"/>
      <c r="F124" s="1789">
        <f>SUM('Revenues 9-14'!C188,'Revenues 9-14'!D188,'Revenues 9-14'!F188,'Revenues 9-14'!G188)</f>
        <v>0</v>
      </c>
      <c r="G124" s="930"/>
    </row>
    <row r="125" spans="1:7" x14ac:dyDescent="0.2">
      <c r="A125" s="927" t="s">
        <v>664</v>
      </c>
      <c r="B125" s="927" t="s">
        <v>2020</v>
      </c>
      <c r="C125" s="932">
        <v>4200</v>
      </c>
      <c r="D125" s="929" t="str">
        <f>'Revenues 9-14'!A198</f>
        <v>Total Food Service</v>
      </c>
      <c r="E125" s="906"/>
      <c r="F125" s="1789">
        <f>SUM('Revenues 9-14'!C198,'Revenues 9-14'!G198)</f>
        <v>0</v>
      </c>
      <c r="G125" s="930"/>
    </row>
    <row r="126" spans="1:7" x14ac:dyDescent="0.2">
      <c r="A126" s="927" t="s">
        <v>668</v>
      </c>
      <c r="B126" s="927" t="s">
        <v>2021</v>
      </c>
      <c r="C126" s="932">
        <v>4300</v>
      </c>
      <c r="D126" s="933" t="str">
        <f>'Revenues 9-14'!A204</f>
        <v>Total Title I</v>
      </c>
      <c r="E126" s="906"/>
      <c r="F126" s="1789">
        <f>SUM('Revenues 9-14'!C204,'Revenues 9-14'!D204,'Revenues 9-14'!F204,'Revenues 9-14'!G204)</f>
        <v>0</v>
      </c>
      <c r="G126" s="930"/>
    </row>
    <row r="127" spans="1:7" x14ac:dyDescent="0.2">
      <c r="A127" s="927" t="s">
        <v>668</v>
      </c>
      <c r="B127" s="927" t="s">
        <v>2022</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2023</v>
      </c>
      <c r="C128" s="932">
        <f>'Revenues 9-14'!B213</f>
        <v>4620</v>
      </c>
      <c r="D128" s="933" t="str">
        <f>'Revenues 9-14'!A213</f>
        <v>Fed - Spec Education - IDEA - Flow Through</v>
      </c>
      <c r="E128" s="906"/>
      <c r="F128" s="1789">
        <f>SUM('Revenues 9-14'!C213:D213,'Revenues 9-14'!F213:G213)</f>
        <v>1975992</v>
      </c>
      <c r="G128" s="930"/>
    </row>
    <row r="129" spans="1:7" x14ac:dyDescent="0.2">
      <c r="A129" s="927" t="s">
        <v>668</v>
      </c>
      <c r="B129" s="927" t="s">
        <v>2024</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2025</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2026</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2027</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2028</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2029</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2030</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2031</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2032</v>
      </c>
      <c r="C138" s="935" t="s">
        <v>212</v>
      </c>
      <c r="D138" s="936" t="str">
        <f>'Revenues 9-14'!A229</f>
        <v>ARRA - IDEA - Part B - Preschool</v>
      </c>
      <c r="E138" s="937"/>
      <c r="F138" s="1789">
        <v>0</v>
      </c>
      <c r="G138" s="905"/>
    </row>
    <row r="139" spans="1:7" s="867" customFormat="1" hidden="1" x14ac:dyDescent="0.2">
      <c r="A139" s="934" t="s">
        <v>206</v>
      </c>
      <c r="B139" s="934" t="s">
        <v>2033</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2034</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2035</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2036</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2037</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2038</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2039</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2040</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2041</v>
      </c>
      <c r="C157" s="940" t="s">
        <v>841</v>
      </c>
      <c r="D157" s="941" t="s">
        <v>777</v>
      </c>
      <c r="E157" s="942"/>
      <c r="F157" s="1789">
        <f>SUM(F133:F156)</f>
        <v>0</v>
      </c>
      <c r="G157" s="905"/>
    </row>
    <row r="158" spans="1:7" s="867" customFormat="1" x14ac:dyDescent="0.2">
      <c r="A158" s="938" t="s">
        <v>459</v>
      </c>
      <c r="B158" s="939" t="s">
        <v>2042</v>
      </c>
      <c r="C158" s="940" t="s">
        <v>1427</v>
      </c>
      <c r="D158" s="941" t="s">
        <v>1428</v>
      </c>
      <c r="E158" s="942"/>
      <c r="F158" s="1789">
        <f>SUM('Revenues 9-14'!C253)</f>
        <v>0</v>
      </c>
      <c r="G158" s="905"/>
    </row>
    <row r="159" spans="1:7" s="867" customFormat="1" x14ac:dyDescent="0.2">
      <c r="A159" s="938" t="s">
        <v>500</v>
      </c>
      <c r="B159" s="939" t="s">
        <v>2043</v>
      </c>
      <c r="C159" s="940" t="s">
        <v>1466</v>
      </c>
      <c r="D159" s="941" t="s">
        <v>1467</v>
      </c>
      <c r="E159" s="942"/>
      <c r="F159" s="1789">
        <f>SUM('Revenues 9-14'!C254:H254,'Revenues 9-14'!J254:K254)</f>
        <v>0</v>
      </c>
      <c r="G159" s="905"/>
    </row>
    <row r="160" spans="1:7" x14ac:dyDescent="0.2">
      <c r="A160" s="927" t="s">
        <v>5</v>
      </c>
      <c r="B160" s="927" t="s">
        <v>2044</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2045</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2046</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2047</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2048</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2049</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1994</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1995</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2050</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2051</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2052</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1917</v>
      </c>
      <c r="C171" s="1920">
        <v>3100</v>
      </c>
      <c r="D171" s="1921" t="s">
        <v>1919</v>
      </c>
      <c r="E171" s="906"/>
      <c r="F171" s="1906"/>
      <c r="G171" s="927"/>
    </row>
    <row r="172" spans="1:7" x14ac:dyDescent="0.2">
      <c r="A172" s="1918" t="s">
        <v>664</v>
      </c>
      <c r="B172" s="1919" t="s">
        <v>1917</v>
      </c>
      <c r="C172" s="1920">
        <v>3300</v>
      </c>
      <c r="D172" s="1921" t="s">
        <v>1920</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2053</v>
      </c>
      <c r="E174" s="1787" t="s">
        <v>958</v>
      </c>
      <c r="F174" s="1788">
        <f>SUM(F84:F132,F157:F172)</f>
        <v>6616593</v>
      </c>
    </row>
    <row r="175" spans="1:7" ht="12" customHeight="1" x14ac:dyDescent="0.2">
      <c r="A175" s="1770"/>
      <c r="B175" s="1784"/>
      <c r="C175" s="1785"/>
      <c r="D175" s="1786" t="s">
        <v>2054</v>
      </c>
      <c r="E175" s="1787"/>
      <c r="F175" s="1789">
        <f>'PCTC-OEPP 27-28'!F77-F174</f>
        <v>-1216546</v>
      </c>
    </row>
    <row r="176" spans="1:7" ht="12" customHeight="1" x14ac:dyDescent="0.2">
      <c r="A176" s="1770"/>
      <c r="B176" s="1784"/>
      <c r="C176" s="1785"/>
      <c r="D176" s="1786" t="s">
        <v>1814</v>
      </c>
      <c r="E176" s="1787"/>
      <c r="F176" s="1789">
        <f>'Cap Outlay Deprec 26'!I18</f>
        <v>37043</v>
      </c>
    </row>
    <row r="177" spans="1:7" ht="12" customHeight="1" x14ac:dyDescent="0.2">
      <c r="A177" s="1770"/>
      <c r="B177" s="1784"/>
      <c r="C177" s="1785"/>
      <c r="D177" s="1786" t="s">
        <v>2055</v>
      </c>
      <c r="E177" s="1787"/>
      <c r="F177" s="1789">
        <f>F175+F176</f>
        <v>-1179503</v>
      </c>
    </row>
    <row r="178" spans="1:7" ht="12" customHeight="1" x14ac:dyDescent="0.2">
      <c r="A178" s="1770"/>
      <c r="B178" s="1790"/>
      <c r="C178" s="1785"/>
      <c r="D178" s="1786" t="str">
        <f>D78</f>
        <v>9 Month ADA from District Average Daily Attendance/Prior General State Aid Inquiry 2018-2019</v>
      </c>
      <c r="E178" s="1787"/>
      <c r="F178" s="1791">
        <f>'PCTC-OEPP 27-28'!F78</f>
        <v>0</v>
      </c>
      <c r="G178" s="930"/>
    </row>
    <row r="179" spans="1:7" ht="12" customHeight="1" thickBot="1" x14ac:dyDescent="0.25">
      <c r="A179" s="1770"/>
      <c r="B179" s="1790"/>
      <c r="C179" s="1785"/>
      <c r="D179" s="1786" t="s">
        <v>2056</v>
      </c>
      <c r="E179" s="1787" t="s">
        <v>1545</v>
      </c>
      <c r="F179" s="1792" t="e">
        <f>F177/F178</f>
        <v>#DIV/0!</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922" customFormat="1" ht="12.2" customHeight="1" x14ac:dyDescent="0.2">
      <c r="A182" s="1922" t="s">
        <v>1991</v>
      </c>
      <c r="B182" s="1923"/>
      <c r="C182" s="1924"/>
      <c r="D182" s="1923"/>
      <c r="E182" s="1924"/>
      <c r="F182" s="1923"/>
      <c r="G182" s="1923"/>
    </row>
    <row r="183" spans="1:7" s="1922" customFormat="1" ht="12.2" customHeight="1" x14ac:dyDescent="0.2">
      <c r="A183" s="1925" t="s">
        <v>1993</v>
      </c>
      <c r="C183" s="1924"/>
      <c r="D183" s="1923"/>
      <c r="E183" s="1924"/>
      <c r="F183" s="1923"/>
      <c r="G183" s="1923"/>
    </row>
    <row r="184" spans="1:7" ht="12" customHeight="1" x14ac:dyDescent="0.2">
      <c r="C184" s="949"/>
      <c r="D184" s="930"/>
      <c r="E184" s="949"/>
      <c r="F184" s="930"/>
      <c r="G184" s="930"/>
    </row>
    <row r="185" spans="1:7" x14ac:dyDescent="0.2">
      <c r="A185" s="1926" t="s">
        <v>1922</v>
      </c>
      <c r="B185" s="1927"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election activeCell="D19" sqref="D19"/>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1829</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9" t="s">
        <v>1815</v>
      </c>
      <c r="B4" s="2270"/>
      <c r="C4" s="2270"/>
      <c r="D4" s="2270"/>
      <c r="E4" s="2270"/>
      <c r="F4" s="2270"/>
      <c r="G4" s="2271"/>
    </row>
    <row r="5" spans="1:7" x14ac:dyDescent="0.25">
      <c r="A5" s="2272"/>
      <c r="B5" s="2273"/>
      <c r="C5" s="2273"/>
      <c r="D5" s="2273"/>
      <c r="E5" s="2273"/>
      <c r="F5" s="2273"/>
      <c r="G5" s="2274"/>
    </row>
    <row r="6" spans="1:7" ht="18.75" x14ac:dyDescent="0.25">
      <c r="A6" s="1534" t="s">
        <v>1816</v>
      </c>
      <c r="B6" s="1535"/>
      <c r="C6" s="1535"/>
      <c r="D6" s="1535"/>
      <c r="E6" s="1535"/>
      <c r="F6" s="1535"/>
      <c r="G6" s="1536"/>
    </row>
    <row r="7" spans="1:7" ht="30.75" customHeight="1" x14ac:dyDescent="0.25">
      <c r="A7" s="2275" t="s">
        <v>1929</v>
      </c>
      <c r="B7" s="2276"/>
      <c r="C7" s="2276"/>
      <c r="D7" s="2276"/>
      <c r="E7" s="2276"/>
      <c r="F7" s="2276"/>
      <c r="G7" s="2277"/>
    </row>
    <row r="8" spans="1:7" ht="15.75" customHeight="1" x14ac:dyDescent="0.25">
      <c r="A8" s="2278" t="s">
        <v>1904</v>
      </c>
      <c r="B8" s="2279"/>
      <c r="C8" s="2279"/>
      <c r="D8" s="2279"/>
      <c r="E8" s="2279"/>
      <c r="F8" s="2279"/>
      <c r="G8" s="2280"/>
    </row>
    <row r="9" spans="1:7" ht="35.25" customHeight="1" x14ac:dyDescent="0.25">
      <c r="A9" s="2275" t="s">
        <v>1932</v>
      </c>
      <c r="B9" s="2276"/>
      <c r="C9" s="2276"/>
      <c r="D9" s="2276"/>
      <c r="E9" s="2276"/>
      <c r="F9" s="2276"/>
      <c r="G9" s="2277"/>
    </row>
    <row r="10" spans="1:7" ht="15" customHeight="1" x14ac:dyDescent="0.25">
      <c r="A10" s="1537" t="s">
        <v>1817</v>
      </c>
      <c r="B10" s="1538"/>
      <c r="C10" s="1538"/>
      <c r="D10" s="1538"/>
      <c r="E10" s="1538"/>
      <c r="F10" s="1538"/>
      <c r="G10" s="1539"/>
    </row>
    <row r="11" spans="1:7" ht="17.25" customHeight="1" x14ac:dyDescent="0.25">
      <c r="A11" s="2275" t="s">
        <v>1931</v>
      </c>
      <c r="B11" s="2276"/>
      <c r="C11" s="2276"/>
      <c r="D11" s="2276"/>
      <c r="E11" s="2276"/>
      <c r="F11" s="2276"/>
      <c r="G11" s="2277"/>
    </row>
    <row r="12" spans="1:7" ht="15" customHeight="1" x14ac:dyDescent="0.25">
      <c r="A12" s="1537" t="s">
        <v>1822</v>
      </c>
      <c r="B12" s="1538"/>
      <c r="C12" s="1538"/>
      <c r="D12" s="1538"/>
      <c r="E12" s="1538"/>
      <c r="F12" s="1538"/>
      <c r="G12" s="1539"/>
    </row>
    <row r="13" spans="1:7" ht="32.25" customHeight="1" x14ac:dyDescent="0.25">
      <c r="A13" s="2266" t="s">
        <v>1973</v>
      </c>
      <c r="B13" s="2267"/>
      <c r="C13" s="2267"/>
      <c r="D13" s="2267"/>
      <c r="E13" s="2267"/>
      <c r="F13" s="2267"/>
      <c r="G13" s="2268"/>
    </row>
    <row r="14" spans="1:7" x14ac:dyDescent="0.25">
      <c r="A14" s="1661" t="s">
        <v>1830</v>
      </c>
      <c r="B14" s="1662"/>
      <c r="C14" s="1662"/>
      <c r="D14" s="1662"/>
      <c r="E14" s="1662"/>
      <c r="F14" s="1662"/>
      <c r="G14" s="1663"/>
    </row>
    <row r="15" spans="1:7" ht="61.5" customHeight="1" x14ac:dyDescent="0.25">
      <c r="A15" s="1546" t="s">
        <v>1823</v>
      </c>
      <c r="B15" s="1546" t="s">
        <v>1824</v>
      </c>
      <c r="C15" s="1546" t="s">
        <v>1825</v>
      </c>
      <c r="D15" s="1547" t="s">
        <v>1826</v>
      </c>
      <c r="E15" s="1547" t="s">
        <v>1818</v>
      </c>
      <c r="F15" s="1547" t="s">
        <v>1827</v>
      </c>
      <c r="G15" s="1547" t="s">
        <v>1828</v>
      </c>
    </row>
    <row r="16" spans="1:7" x14ac:dyDescent="0.25">
      <c r="A16" s="1648" t="s">
        <v>1831</v>
      </c>
      <c r="B16" s="1649" t="s">
        <v>1821</v>
      </c>
      <c r="C16" s="1650" t="s">
        <v>1819</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2078</v>
      </c>
      <c r="B17" s="1938" t="s">
        <v>2080</v>
      </c>
      <c r="C17" s="1939" t="s">
        <v>2079</v>
      </c>
      <c r="D17" s="1844">
        <v>36048</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11048</v>
      </c>
      <c r="H17" s="1647"/>
    </row>
    <row r="18" spans="1:8" x14ac:dyDescent="0.25">
      <c r="A18" s="1937" t="s">
        <v>2081</v>
      </c>
      <c r="B18" s="1938" t="s">
        <v>2082</v>
      </c>
      <c r="C18" s="1939" t="s">
        <v>2083</v>
      </c>
      <c r="D18" s="1844">
        <v>98081</v>
      </c>
      <c r="E18" s="1540">
        <f t="shared" ref="E18:E140" si="2">IF(D18&lt;=25000,D18,IF(D18&gt;25000,25000,0))</f>
        <v>25000</v>
      </c>
      <c r="F18" s="1932">
        <f t="shared" si="1"/>
        <v>25000</v>
      </c>
      <c r="G18" s="1793">
        <f t="shared" ref="G18:G140" si="3">IF(F18=0,0,D18-F18)</f>
        <v>73081</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134129</v>
      </c>
      <c r="E141" s="1541">
        <f t="shared" si="0"/>
        <v>25000</v>
      </c>
      <c r="F141" s="1933">
        <f>SUM(F17:F140)</f>
        <v>50000</v>
      </c>
      <c r="G141" s="1795">
        <f>SUM(G17:G140)</f>
        <v>84129</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F10" sqref="F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1" t="s">
        <v>1679</v>
      </c>
      <c r="B5" s="2282"/>
      <c r="C5" s="2282"/>
      <c r="D5" s="2282"/>
      <c r="E5" s="2282"/>
      <c r="F5" s="2282"/>
      <c r="G5" s="228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1930</v>
      </c>
      <c r="B10" s="971"/>
      <c r="C10" s="976"/>
      <c r="D10" s="972"/>
      <c r="E10" s="973"/>
      <c r="F10" s="974"/>
      <c r="G10" s="975"/>
      <c r="H10" s="162"/>
      <c r="I10" s="162"/>
    </row>
    <row r="11" spans="1:9" s="668" customFormat="1" ht="22.5" customHeight="1" x14ac:dyDescent="0.2">
      <c r="A11" s="2286" t="s">
        <v>1974</v>
      </c>
      <c r="B11" s="2287"/>
      <c r="C11" s="2287"/>
      <c r="D11" s="2288"/>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1665330</v>
      </c>
      <c r="F19" s="1799"/>
      <c r="G19" s="1801">
        <f>'Expenditures 15-22'!K33-SUM('Expenditures 15-22'!G33,'Expenditures 15-22'!I33)+'Expenditures 15-22'!D229</f>
        <v>1665330</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3218545</v>
      </c>
      <c r="F21" s="1802"/>
      <c r="G21" s="1805">
        <f>'Expenditures 15-22'!K42-SUM('Expenditures 15-22'!G42,'Expenditures 15-22'!I42)+'Expenditures 15-22'!K120-SUM('Expenditures 15-22'!G120,'Expenditures 15-22'!I120)+'Expenditures 15-22'!K180-SUM('Expenditures 15-22'!G180,'Expenditures 15-22'!I180)+'Expenditures 15-22'!D238</f>
        <v>3218545</v>
      </c>
      <c r="H21" s="987"/>
      <c r="I21" s="162"/>
    </row>
    <row r="22" spans="1:9" s="668" customFormat="1" ht="12" customHeight="1" x14ac:dyDescent="0.2">
      <c r="A22" s="994" t="s">
        <v>564</v>
      </c>
      <c r="B22" s="995"/>
      <c r="C22" s="993">
        <v>2200</v>
      </c>
      <c r="D22" s="1802"/>
      <c r="E22" s="1804">
        <f>'Expenditures 15-22'!K47-SUM('Expenditures 15-22'!G47,'Expenditures 15-22'!I47)+'Expenditures 15-22'!D243</f>
        <v>197104</v>
      </c>
      <c r="F22" s="1802"/>
      <c r="G22" s="1805">
        <f>'Expenditures 15-22'!K47-SUM('Expenditures 15-22'!G47,'Expenditures 15-22'!I47)+'Expenditures 15-22'!D243</f>
        <v>197104</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54114</v>
      </c>
      <c r="F23" s="1802"/>
      <c r="G23" s="1804">
        <f>'Expenditures 15-22'!K53-SUM('Expenditures 15-22'!G53,'Expenditures 15-22'!I53)+'Expenditures 15-22'!D257+'Expenditures 15-22'!K330-SUM('Expenditures 15-22'!G330,'Expenditures 15-22'!I330)</f>
        <v>54114</v>
      </c>
      <c r="H23" s="987"/>
      <c r="I23" s="162"/>
    </row>
    <row r="24" spans="1:9" s="668" customFormat="1" ht="12" customHeight="1" x14ac:dyDescent="0.2">
      <c r="A24" s="994" t="s">
        <v>566</v>
      </c>
      <c r="B24" s="995"/>
      <c r="C24" s="993">
        <v>2400</v>
      </c>
      <c r="D24" s="1802"/>
      <c r="E24" s="1804">
        <f>'Expenditures 15-22'!K57-SUM('Expenditures 15-22'!G57,'Expenditures 15-22'!I57)+'Expenditures 15-22'!D261</f>
        <v>0</v>
      </c>
      <c r="F24" s="1802"/>
      <c r="G24" s="1805">
        <f>'Expenditures 15-22'!K57-SUM('Expenditures 15-22'!G57,'Expenditures 15-22'!I57)+'Expenditures 15-22'!D261</f>
        <v>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90000</v>
      </c>
      <c r="E27" s="1804">
        <f>E8</f>
        <v>0</v>
      </c>
      <c r="F27" s="1804">
        <f>'Expenditures 15-22'!K60-SUM('Expenditures 15-22'!G60,'Expenditures 15-22'!I60)+'Expenditures 15-22'!D264-E8</f>
        <v>90000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147410</v>
      </c>
      <c r="F28" s="1806">
        <f>'Expenditures 15-22'!K61-SUM('Expenditures 15-22'!G61,'Expenditures 15-22'!I61)+'Expenditures 15-22'!K124-SUM('Expenditures 15-22'!G124,'Expenditures 15-22'!I124)+'Expenditures 15-22'!D266-E9</f>
        <v>147410</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0</v>
      </c>
      <c r="F29" s="1802"/>
      <c r="G29" s="1805">
        <f>'Expenditures 15-22'!K62-SUM('Expenditures 15-22'!G62,'Expenditures 15-22'!I62)+'Expenditures 15-22'!K125-SUM('Expenditures 15-22'!G125,'Expenditures 15-22'!I125)+'Expenditures 15-22'!K182-SUM('Expenditures 15-22'!G182,'Expenditures 15-22'!I182)+'Expenditures 15-22'!D267</f>
        <v>0</v>
      </c>
      <c r="H29" s="985"/>
    </row>
    <row r="30" spans="1:9" ht="12" customHeight="1" x14ac:dyDescent="0.2">
      <c r="A30" s="994" t="s">
        <v>100</v>
      </c>
      <c r="B30" s="997"/>
      <c r="C30" s="993">
        <v>2560</v>
      </c>
      <c r="D30" s="1802"/>
      <c r="E30" s="1804">
        <f>'Expenditures 15-22'!K63-SUM('Expenditures 15-22'!G63,'Expenditures 15-22'!I63)+'Expenditures 15-22'!D268-E10</f>
        <v>0</v>
      </c>
      <c r="F30" s="1802"/>
      <c r="G30" s="1804">
        <f>'Expenditures 15-22'!K63-SUM('Expenditures 15-22'!G63,'Expenditures 15-22'!I63)+'Expenditures 15-22'!D268-E10</f>
        <v>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27544</v>
      </c>
      <c r="F34" s="1802"/>
      <c r="G34" s="1804">
        <f>'Expenditures 15-22'!K68-SUM('Expenditures 15-22'!G68,'Expenditures 15-22'!I68)+'Expenditures 15-22'!D273</f>
        <v>27544</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1820</v>
      </c>
      <c r="B40" s="991"/>
      <c r="C40" s="993"/>
      <c r="D40" s="1802"/>
      <c r="E40" s="1806">
        <f>-'Contracts Paid in CY 29'!G141</f>
        <v>-84129</v>
      </c>
      <c r="F40" s="1802"/>
      <c r="G40" s="1806">
        <f>-'Contracts Paid in CY 29'!G141</f>
        <v>-84129</v>
      </c>
    </row>
    <row r="41" spans="1:7" ht="12" customHeight="1" x14ac:dyDescent="0.2">
      <c r="A41" s="998" t="s">
        <v>156</v>
      </c>
      <c r="B41" s="999"/>
      <c r="C41" s="1000"/>
      <c r="D41" s="1806">
        <f>SUM(D19:D39)</f>
        <v>90000</v>
      </c>
      <c r="E41" s="1806">
        <f>SUM(E19:E40)</f>
        <v>5225918</v>
      </c>
      <c r="F41" s="1806">
        <f>SUM(F19:F39)</f>
        <v>237410</v>
      </c>
      <c r="G41" s="1806">
        <f>SUM(G19:G40)</f>
        <v>5078508</v>
      </c>
    </row>
    <row r="42" spans="1:7" x14ac:dyDescent="0.2">
      <c r="A42" s="987"/>
      <c r="B42" s="162"/>
      <c r="C42" s="1001"/>
      <c r="D42" s="2284" t="s">
        <v>522</v>
      </c>
      <c r="E42" s="2285"/>
      <c r="F42" s="1002" t="s">
        <v>523</v>
      </c>
      <c r="G42" s="1003"/>
    </row>
    <row r="43" spans="1:7" ht="12" customHeight="1" x14ac:dyDescent="0.2">
      <c r="A43" s="987"/>
      <c r="B43" s="162"/>
      <c r="C43" s="1001"/>
      <c r="D43" s="1807" t="s">
        <v>473</v>
      </c>
      <c r="E43" s="1808">
        <f>D41</f>
        <v>90000</v>
      </c>
      <c r="F43" s="1807" t="s">
        <v>473</v>
      </c>
      <c r="G43" s="1808">
        <f>F41</f>
        <v>237410</v>
      </c>
    </row>
    <row r="44" spans="1:7" ht="12" customHeight="1" x14ac:dyDescent="0.2">
      <c r="A44" s="987"/>
      <c r="B44" s="162"/>
      <c r="C44" s="1001"/>
      <c r="D44" s="1807" t="s">
        <v>474</v>
      </c>
      <c r="E44" s="1808">
        <f>E41</f>
        <v>5225918</v>
      </c>
      <c r="F44" s="1807" t="s">
        <v>474</v>
      </c>
      <c r="G44" s="1808">
        <f>G41</f>
        <v>5078508</v>
      </c>
    </row>
    <row r="45" spans="1:7" ht="12" customHeight="1" x14ac:dyDescent="0.2">
      <c r="A45" s="987"/>
      <c r="B45" s="162"/>
      <c r="C45" s="162"/>
      <c r="D45" s="1809" t="s">
        <v>1006</v>
      </c>
      <c r="E45" s="1810">
        <f>(E43/E44)</f>
        <v>1.722185461004172E-2</v>
      </c>
      <c r="F45" s="1809" t="s">
        <v>1006</v>
      </c>
      <c r="G45" s="1810">
        <f>(G43/G44)</f>
        <v>4.6747981887593756E-2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7" activePane="bottomLeft" state="frozen"/>
      <selection activeCell="A47" sqref="A47"/>
      <selection pane="bottomLeft" activeCell="F20" sqref="F20"/>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3" t="s">
        <v>1379</v>
      </c>
      <c r="B1" s="2303"/>
      <c r="C1" s="2303"/>
      <c r="D1" s="2303"/>
      <c r="E1" s="2303"/>
      <c r="F1" s="2303"/>
    </row>
    <row r="2" spans="1:10" x14ac:dyDescent="0.2">
      <c r="A2" s="1887" t="s">
        <v>1909</v>
      </c>
      <c r="B2" s="1848"/>
      <c r="C2" s="1887"/>
      <c r="D2" s="1848"/>
      <c r="E2" s="1848"/>
      <c r="F2" s="1849"/>
    </row>
    <row r="3" spans="1:10" x14ac:dyDescent="0.2">
      <c r="A3" s="1887" t="s">
        <v>1975</v>
      </c>
      <c r="B3" s="1848"/>
      <c r="C3" s="1887"/>
      <c r="D3" s="1848"/>
      <c r="E3" s="1848"/>
      <c r="F3" s="1849"/>
    </row>
    <row r="4" spans="1:10" ht="3.75" customHeight="1" x14ac:dyDescent="0.2">
      <c r="A4" s="1848"/>
      <c r="B4" s="1848"/>
      <c r="C4" s="1848"/>
      <c r="D4" s="1848"/>
      <c r="E4" s="1848"/>
      <c r="F4" s="1849"/>
    </row>
    <row r="5" spans="1:10" ht="15" x14ac:dyDescent="0.25">
      <c r="A5" s="2304" t="s">
        <v>1546</v>
      </c>
      <c r="B5" s="2305"/>
      <c r="C5" s="2306"/>
      <c r="D5" s="2306"/>
      <c r="E5" s="2306"/>
      <c r="F5" s="2306"/>
    </row>
    <row r="6" spans="1:10" ht="12" customHeight="1" x14ac:dyDescent="0.25">
      <c r="A6" s="1850"/>
      <c r="B6" s="1851"/>
      <c r="C6" s="2307" t="str">
        <f>COVER!A17</f>
        <v>Exceptional Learners</v>
      </c>
      <c r="D6" s="2307"/>
      <c r="E6" s="2307"/>
      <c r="F6" s="1852"/>
    </row>
    <row r="7" spans="1:10" ht="11.25" customHeight="1" thickBot="1" x14ac:dyDescent="0.3">
      <c r="A7" s="1850"/>
      <c r="B7" s="1851"/>
      <c r="C7" s="2308">
        <f>COVER!A13</f>
        <v>34049801060</v>
      </c>
      <c r="D7" s="2308"/>
      <c r="E7" s="2308"/>
      <c r="F7" s="1852"/>
    </row>
    <row r="8" spans="1:10" ht="25.5" customHeight="1" thickBot="1" x14ac:dyDescent="0.25">
      <c r="A8" s="1893" t="s">
        <v>1905</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2061</v>
      </c>
      <c r="D19" s="1865" t="s">
        <v>2061</v>
      </c>
      <c r="E19" s="1868"/>
      <c r="F19" s="1867" t="s">
        <v>2077</v>
      </c>
      <c r="H19" s="1878">
        <f t="shared" si="0"/>
        <v>5</v>
      </c>
      <c r="I19" s="1878">
        <f t="shared" si="1"/>
        <v>5</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5</v>
      </c>
      <c r="I34" s="1878">
        <f>SUM(I11:I32)</f>
        <v>5</v>
      </c>
      <c r="J34" s="1878">
        <f>SUM(J11:J32)</f>
        <v>0</v>
      </c>
      <c r="K34" s="1878">
        <f>SUM(H34:J34)</f>
        <v>10</v>
      </c>
    </row>
    <row r="35" spans="1:11" ht="12" customHeight="1" x14ac:dyDescent="0.2">
      <c r="A35" s="1871" t="s">
        <v>1392</v>
      </c>
      <c r="B35" s="1872"/>
      <c r="C35" s="2309"/>
      <c r="D35" s="2309"/>
      <c r="E35" s="2309"/>
      <c r="F35" s="2310"/>
    </row>
    <row r="36" spans="1:11" ht="12" customHeight="1" x14ac:dyDescent="0.2">
      <c r="A36" s="2292"/>
      <c r="B36" s="2293"/>
      <c r="C36" s="2293"/>
      <c r="D36" s="2293"/>
      <c r="E36" s="2293"/>
      <c r="F36" s="2294"/>
    </row>
    <row r="37" spans="1:11" ht="12" customHeight="1" x14ac:dyDescent="0.2">
      <c r="A37" s="2292"/>
      <c r="B37" s="2293"/>
      <c r="C37" s="2293"/>
      <c r="D37" s="2293"/>
      <c r="E37" s="2293"/>
      <c r="F37" s="2294"/>
    </row>
    <row r="38" spans="1:11" ht="12" customHeight="1" x14ac:dyDescent="0.2">
      <c r="A38" s="2295"/>
      <c r="B38" s="2296"/>
      <c r="C38" s="2296"/>
      <c r="D38" s="2296"/>
      <c r="E38" s="2296"/>
      <c r="F38" s="2297"/>
    </row>
    <row r="39" spans="1:11" ht="4.5" hidden="1" customHeight="1" x14ac:dyDescent="0.2">
      <c r="A39" s="1873"/>
      <c r="B39" s="1873"/>
      <c r="C39" s="1873"/>
      <c r="D39" s="1873"/>
      <c r="E39" s="1873"/>
      <c r="F39" s="1873"/>
    </row>
    <row r="40" spans="1:11" s="1870" customFormat="1" ht="12" customHeight="1" x14ac:dyDescent="0.25">
      <c r="A40" s="1874" t="s">
        <v>1391</v>
      </c>
      <c r="B40" s="1875"/>
      <c r="C40" s="2298"/>
      <c r="D40" s="2298"/>
      <c r="E40" s="2298"/>
      <c r="F40" s="2299"/>
      <c r="H40" s="1879"/>
      <c r="I40" s="1879"/>
      <c r="J40" s="1879"/>
      <c r="K40" s="1879"/>
    </row>
    <row r="41" spans="1:11" s="1870" customFormat="1" ht="12" customHeight="1" x14ac:dyDescent="0.25">
      <c r="A41" s="2300"/>
      <c r="B41" s="2301"/>
      <c r="C41" s="2301"/>
      <c r="D41" s="2301"/>
      <c r="E41" s="2301"/>
      <c r="F41" s="2302"/>
      <c r="H41" s="1879"/>
      <c r="I41" s="1879"/>
      <c r="J41" s="1879"/>
      <c r="K41" s="1879"/>
    </row>
    <row r="42" spans="1:11" s="1870" customFormat="1" ht="12" customHeight="1" x14ac:dyDescent="0.25">
      <c r="A42" s="2300"/>
      <c r="B42" s="2301"/>
      <c r="C42" s="2301"/>
      <c r="D42" s="2301"/>
      <c r="E42" s="2301"/>
      <c r="F42" s="2302"/>
      <c r="H42" s="1879"/>
      <c r="I42" s="1879"/>
      <c r="J42" s="1879"/>
      <c r="K42" s="1879"/>
    </row>
    <row r="43" spans="1:11" s="1870" customFormat="1" ht="15" x14ac:dyDescent="0.25">
      <c r="A43" s="2289"/>
      <c r="B43" s="2290"/>
      <c r="C43" s="2290"/>
      <c r="D43" s="2290"/>
      <c r="E43" s="2290"/>
      <c r="F43" s="2291"/>
      <c r="H43" s="1879"/>
      <c r="I43" s="1879"/>
      <c r="J43" s="1879"/>
      <c r="K43" s="1879"/>
    </row>
    <row r="44" spans="1:11" s="1870" customFormat="1" ht="12" hidden="1" customHeight="1" x14ac:dyDescent="0.25">
      <c r="A44" s="2289"/>
      <c r="B44" s="2290"/>
      <c r="C44" s="2290"/>
      <c r="D44" s="2290"/>
      <c r="E44" s="2290"/>
      <c r="F44" s="2291"/>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F7" sqref="F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6" t="str">
        <f>COVER!A17</f>
        <v>Exceptional Learners</v>
      </c>
      <c r="J6" s="2317"/>
      <c r="Q6" s="1664"/>
    </row>
    <row r="7" spans="1:17" x14ac:dyDescent="0.2">
      <c r="A7" s="2318" t="s">
        <v>869</v>
      </c>
      <c r="B7" s="2319"/>
      <c r="C7" s="2319"/>
      <c r="D7" s="2319"/>
      <c r="E7" s="2320"/>
      <c r="F7" s="1017"/>
      <c r="G7" s="1009"/>
      <c r="H7" s="1016" t="s">
        <v>372</v>
      </c>
      <c r="I7" s="2321">
        <f>COVER!A13</f>
        <v>34049801060</v>
      </c>
      <c r="J7" s="232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1976</v>
      </c>
      <c r="F9" s="1023"/>
      <c r="G9" s="1023"/>
      <c r="H9" s="1896" t="s">
        <v>1977</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2" t="s">
        <v>481</v>
      </c>
      <c r="B11" s="2323"/>
      <c r="C11" s="232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0</v>
      </c>
      <c r="F12" s="1039"/>
      <c r="G12" s="1811">
        <f t="shared" ref="G12:G18" si="0">SUM(E12:F12)</f>
        <v>0</v>
      </c>
      <c r="H12" s="1040"/>
      <c r="I12" s="1039"/>
      <c r="J12" s="1811">
        <f t="shared" ref="J12:J18" si="1">SUM(H12:I12)</f>
        <v>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5" t="s">
        <v>7</v>
      </c>
      <c r="C18" s="2326"/>
      <c r="D18" s="2327"/>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0</v>
      </c>
      <c r="F19" s="1813">
        <f t="shared" si="2"/>
        <v>0</v>
      </c>
      <c r="G19" s="1813">
        <f t="shared" si="2"/>
        <v>0</v>
      </c>
      <c r="H19" s="1813">
        <f t="shared" si="2"/>
        <v>0</v>
      </c>
      <c r="I19" s="1813">
        <f t="shared" si="2"/>
        <v>0</v>
      </c>
      <c r="J19" s="1813">
        <f t="shared" si="2"/>
        <v>0</v>
      </c>
    </row>
    <row r="20" spans="1:10" ht="13.5" thickTop="1" x14ac:dyDescent="0.2">
      <c r="A20" s="1035">
        <v>9</v>
      </c>
      <c r="B20" s="2328" t="s">
        <v>1978</v>
      </c>
      <c r="C20" s="2328"/>
      <c r="D20" s="2329"/>
      <c r="E20" s="1046"/>
      <c r="F20" s="1046"/>
      <c r="G20" s="1046"/>
      <c r="H20" s="1046"/>
      <c r="I20" s="1046"/>
      <c r="J20" s="1814" t="str">
        <f>IF(AND(G19&gt;0,J19&gt;0),(((J19-G19)/G19)),"Enter Budget Data")</f>
        <v>Enter Budget Data</v>
      </c>
    </row>
    <row r="21" spans="1:10" ht="9" customHeight="1" x14ac:dyDescent="0.2">
      <c r="B21" s="1047"/>
    </row>
    <row r="22" spans="1:10" x14ac:dyDescent="0.2">
      <c r="A22" s="1048" t="s">
        <v>133</v>
      </c>
      <c r="B22" s="1047"/>
    </row>
    <row r="23" spans="1:10" x14ac:dyDescent="0.2">
      <c r="A23" s="1011" t="s">
        <v>1979</v>
      </c>
      <c r="B23" s="1047"/>
    </row>
    <row r="24" spans="1:10" x14ac:dyDescent="0.2">
      <c r="A24" s="1011" t="s">
        <v>1992</v>
      </c>
      <c r="B24" s="1047"/>
    </row>
    <row r="25" spans="1:10" x14ac:dyDescent="0.2">
      <c r="A25" s="1049"/>
      <c r="B25" s="1047"/>
    </row>
    <row r="26" spans="1:10" ht="20.100000000000001" customHeight="1" x14ac:dyDescent="0.2">
      <c r="B26" s="1047"/>
      <c r="C26" s="2334"/>
      <c r="D26" s="2334"/>
      <c r="E26" s="1050"/>
      <c r="F26" s="2333"/>
      <c r="G26" s="2333"/>
    </row>
    <row r="27" spans="1:10" x14ac:dyDescent="0.2">
      <c r="B27" s="1047"/>
      <c r="C27" s="1051" t="s">
        <v>1033</v>
      </c>
      <c r="D27" s="1052"/>
      <c r="E27" s="1053"/>
      <c r="F27" s="2330" t="s">
        <v>1509</v>
      </c>
      <c r="G27" s="2330"/>
    </row>
    <row r="28" spans="1:10" ht="28.5" customHeight="1" x14ac:dyDescent="0.2">
      <c r="B28" s="1047"/>
      <c r="C28" s="2332"/>
      <c r="D28" s="2332"/>
      <c r="E28" s="1054"/>
      <c r="F28" s="2332"/>
      <c r="G28" s="2332"/>
    </row>
    <row r="29" spans="1:10" x14ac:dyDescent="0.2">
      <c r="B29" s="1047"/>
      <c r="C29" s="1055" t="s">
        <v>1561</v>
      </c>
      <c r="E29" s="1056"/>
      <c r="F29" s="2331" t="s">
        <v>1510</v>
      </c>
      <c r="G29" s="233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c r="C36" s="2315" t="s">
        <v>1980</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882</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5" sqref="B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Exceptional Learners</v>
      </c>
    </row>
    <row r="65" spans="2:2" x14ac:dyDescent="0.2">
      <c r="B65" s="1070">
        <f>COVER!A13</f>
        <v>34049801060</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6" t="s">
        <v>1611</v>
      </c>
    </row>
    <row r="23" spans="1:5" x14ac:dyDescent="0.2">
      <c r="A23" s="168"/>
      <c r="B23" s="162" t="s">
        <v>1854</v>
      </c>
      <c r="D23" s="167" t="s">
        <v>637</v>
      </c>
      <c r="E23" s="1836"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2" t="s">
        <v>1065</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691</v>
      </c>
      <c r="B40" s="2049"/>
      <c r="C40" s="2049"/>
      <c r="D40" s="2049"/>
      <c r="E40" s="2049"/>
    </row>
    <row r="41" spans="1:5" x14ac:dyDescent="0.2">
      <c r="A41" s="2050" t="s">
        <v>1608</v>
      </c>
      <c r="B41" s="2050"/>
      <c r="C41" s="2050"/>
      <c r="D41" s="2050"/>
      <c r="E41" s="2050"/>
    </row>
    <row r="42" spans="1:5" ht="12.75" customHeight="1" x14ac:dyDescent="0.2">
      <c r="A42" s="2051" t="s">
        <v>1022</v>
      </c>
      <c r="B42" s="2051"/>
      <c r="C42" s="2051"/>
      <c r="D42" s="2051"/>
      <c r="E42" s="2051"/>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2" sqref="B2"/>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5" t="s">
        <v>1685</v>
      </c>
      <c r="B18" s="233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35841" r:id="rId4">
          <objectPr defaultSize="0" r:id="rId5">
            <anchor moveWithCells="1">
              <from>
                <xdr:col>1</xdr:col>
                <xdr:colOff>0</xdr:colOff>
                <xdr:row>1</xdr:row>
                <xdr:rowOff>0</xdr:rowOff>
              </from>
              <to>
                <xdr:col>1</xdr:col>
                <xdr:colOff>828675</xdr:colOff>
                <xdr:row>4</xdr:row>
                <xdr:rowOff>28575</xdr:rowOff>
              </to>
            </anchor>
          </objectPr>
        </oleObject>
      </mc:Choice>
      <mc:Fallback>
        <oleObject progId="Packager Shell Objec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1690</v>
      </c>
      <c r="B1" s="2337"/>
      <c r="C1" s="2337"/>
      <c r="D1" s="2337"/>
      <c r="E1" s="2337"/>
      <c r="F1" s="2338"/>
    </row>
    <row r="2" spans="1:8" ht="45" customHeight="1" x14ac:dyDescent="0.2">
      <c r="A2" s="2346" t="s">
        <v>1984</v>
      </c>
      <c r="B2" s="2347"/>
      <c r="C2" s="2347"/>
      <c r="D2" s="2347"/>
      <c r="E2" s="2347"/>
      <c r="F2" s="2348"/>
      <c r="G2" s="1074"/>
      <c r="H2" s="1074"/>
    </row>
    <row r="3" spans="1:8" ht="57" customHeight="1" x14ac:dyDescent="0.2">
      <c r="A3" s="2349" t="s">
        <v>1686</v>
      </c>
      <c r="B3" s="2350"/>
      <c r="C3" s="2350"/>
      <c r="D3" s="2350"/>
      <c r="E3" s="2350"/>
      <c r="F3" s="2351"/>
      <c r="G3" s="1074"/>
      <c r="H3" s="1074"/>
    </row>
    <row r="4" spans="1:8" ht="14.25" customHeight="1" x14ac:dyDescent="0.2">
      <c r="A4" s="2355" t="s">
        <v>1985</v>
      </c>
      <c r="B4" s="2356"/>
      <c r="C4" s="2356"/>
      <c r="D4" s="2356"/>
      <c r="E4" s="2356"/>
      <c r="F4" s="2357"/>
      <c r="G4" s="1074"/>
      <c r="H4" s="1074"/>
    </row>
    <row r="5" spans="1:8" ht="14.25" customHeight="1" x14ac:dyDescent="0.2">
      <c r="A5" s="2358" t="s">
        <v>1981</v>
      </c>
      <c r="B5" s="2359"/>
      <c r="C5" s="2359"/>
      <c r="D5" s="2359"/>
      <c r="E5" s="2359"/>
      <c r="F5" s="2360"/>
      <c r="G5" s="1074"/>
      <c r="H5" s="1074"/>
    </row>
    <row r="6" spans="1:8" s="1075" customFormat="1" ht="41.25" customHeight="1" x14ac:dyDescent="0.2">
      <c r="A6" s="2352" t="s">
        <v>1691</v>
      </c>
      <c r="B6" s="2353"/>
      <c r="C6" s="2353"/>
      <c r="D6" s="2353"/>
      <c r="E6" s="2353"/>
      <c r="F6" s="235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6141367</v>
      </c>
      <c r="C8" s="1815">
        <f>'Acct Summary 7-8'!D8</f>
        <v>200000</v>
      </c>
      <c r="D8" s="1815">
        <f>'Acct Summary 7-8'!F8</f>
        <v>0</v>
      </c>
      <c r="E8" s="1815">
        <f>'Acct Summary 7-8'!I8</f>
        <v>0</v>
      </c>
      <c r="F8" s="1815">
        <f>SUM(B8:E8)</f>
        <v>6341367</v>
      </c>
    </row>
    <row r="9" spans="1:8" s="1079" customFormat="1" ht="14.25" customHeight="1" thickBot="1" x14ac:dyDescent="0.25">
      <c r="A9" s="1078" t="s">
        <v>1369</v>
      </c>
      <c r="B9" s="1816">
        <f>'Acct Summary 7-8'!C17</f>
        <v>6346161</v>
      </c>
      <c r="C9" s="1816">
        <f>'Acct Summary 7-8'!D17</f>
        <v>147410</v>
      </c>
      <c r="D9" s="1816">
        <f>'Acct Summary 7-8'!F17</f>
        <v>0</v>
      </c>
      <c r="E9" s="1815"/>
      <c r="F9" s="1815">
        <f>SUM(B9:E9)</f>
        <v>6493571</v>
      </c>
    </row>
    <row r="10" spans="1:8" s="1079" customFormat="1" ht="14.25" thickTop="1" thickBot="1" x14ac:dyDescent="0.25">
      <c r="A10" s="1080" t="s">
        <v>1370</v>
      </c>
      <c r="B10" s="1817">
        <f>(B8-B9)</f>
        <v>-204794</v>
      </c>
      <c r="C10" s="1817">
        <f>(C8-C9)</f>
        <v>52590</v>
      </c>
      <c r="D10" s="1817">
        <f>(D8-D9)</f>
        <v>0</v>
      </c>
      <c r="E10" s="1816">
        <f>(E8-E9)</f>
        <v>0</v>
      </c>
      <c r="F10" s="1818">
        <f>SUM(F8-F9)</f>
        <v>-152204</v>
      </c>
    </row>
    <row r="11" spans="1:8" s="1079" customFormat="1" ht="14.25" thickTop="1" thickBot="1" x14ac:dyDescent="0.25">
      <c r="A11" s="1081" t="s">
        <v>1982</v>
      </c>
      <c r="B11" s="1819">
        <f>'Acct Summary 7-8'!C81</f>
        <v>625571</v>
      </c>
      <c r="C11" s="1819">
        <f>'Acct Summary 7-8'!D81</f>
        <v>202178</v>
      </c>
      <c r="D11" s="1819">
        <f>'Acct Summary 7-8'!F81</f>
        <v>0</v>
      </c>
      <c r="E11" s="1819">
        <f>'Acct Summary 7-8'!I81</f>
        <v>0</v>
      </c>
      <c r="F11" s="1820">
        <f>SUM(B11:E11)</f>
        <v>827749</v>
      </c>
    </row>
    <row r="12" spans="1:8" ht="16.5" customHeight="1" thickTop="1" x14ac:dyDescent="0.2">
      <c r="A12" s="1082"/>
      <c r="B12" s="1083"/>
      <c r="C12" s="2340" t="str">
        <f>IF(AND(F10&lt;0,F11&gt;=0,ABS(F10*3)&gt;ABS(F11)),A16,IF(AND(F10&lt;0,F11&gt;0,ABS(F10*3)&lt;=ABS(F11)),A17,IF(AND(F10&lt;0,F11&lt;0),A16,IF(F11=0,A19,A18))))</f>
        <v>Unbalanced -  however, a deficit reduction plan is not required at this time.</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1687</v>
      </c>
      <c r="B16" s="2339"/>
      <c r="C16" s="2339"/>
      <c r="D16" s="2339"/>
      <c r="E16" s="233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17"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1" t="s">
        <v>665</v>
      </c>
      <c r="B3" s="2362"/>
      <c r="C3" s="2362"/>
      <c r="D3" s="2363"/>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2" t="s">
        <v>1504</v>
      </c>
      <c r="D7" s="2373"/>
    </row>
    <row r="8" spans="1:4" s="668" customFormat="1" ht="12.75" x14ac:dyDescent="0.2">
      <c r="A8" s="1138"/>
      <c r="B8" s="1093"/>
      <c r="C8" s="1096" t="s">
        <v>1503</v>
      </c>
      <c r="D8" s="1097"/>
    </row>
    <row r="9" spans="1:4" s="668" customFormat="1" ht="14.25" customHeight="1" x14ac:dyDescent="0.2">
      <c r="A9" s="1138"/>
      <c r="B9" s="1093">
        <f>B7+1</f>
        <v>4</v>
      </c>
      <c r="C9" s="1094" t="s">
        <v>1910</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4" t="s">
        <v>1008</v>
      </c>
      <c r="B15" s="2365"/>
      <c r="C15" s="2365"/>
      <c r="D15" s="2366"/>
    </row>
    <row r="16" spans="1:4" s="668" customFormat="1" ht="24" customHeight="1" x14ac:dyDescent="0.2">
      <c r="A16" s="2367" t="s">
        <v>663</v>
      </c>
      <c r="B16" s="2368"/>
      <c r="C16" s="2368"/>
      <c r="D16" s="236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6" t="s">
        <v>314</v>
      </c>
      <c r="D21" s="2377"/>
    </row>
    <row r="22" spans="1:10" ht="12.75" x14ac:dyDescent="0.2">
      <c r="A22" s="1139"/>
      <c r="B22" s="1140">
        <v>2</v>
      </c>
      <c r="C22" s="2374" t="s">
        <v>1524</v>
      </c>
      <c r="D22" s="237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8" t="s">
        <v>536</v>
      </c>
      <c r="D43" s="237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0" t="s">
        <v>784</v>
      </c>
      <c r="D56" s="237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1911</v>
      </c>
      <c r="D66" s="1125"/>
    </row>
    <row r="67" spans="1:4" x14ac:dyDescent="0.2">
      <c r="A67" s="1119"/>
      <c r="B67" s="1140"/>
      <c r="C67" s="1147" t="s">
        <v>1021</v>
      </c>
      <c r="D67" s="1125"/>
    </row>
    <row r="68" spans="1:4" x14ac:dyDescent="0.2">
      <c r="A68" s="1100"/>
      <c r="B68" s="1110"/>
      <c r="C68" s="1102" t="s">
        <v>1912</v>
      </c>
      <c r="D68" s="1124" t="str">
        <f>IF('Short-Term Long-Term Debt 24'!F49=SUM(,'Acct Summary 7-8'!C33:K33),"OK","ERROR!")</f>
        <v>OK</v>
      </c>
    </row>
    <row r="69" spans="1:4" x14ac:dyDescent="0.2">
      <c r="A69" s="1100"/>
      <c r="B69" s="1110"/>
      <c r="C69" s="1102" t="s">
        <v>1913</v>
      </c>
      <c r="D69" s="1124" t="str">
        <f>IF('Expenditures 15-22'!H170&lt;&gt;'Short-Term Long-Term Debt 24'!H49,"ERROR!","OK")</f>
        <v>OK</v>
      </c>
    </row>
    <row r="70" spans="1:4" x14ac:dyDescent="0.2">
      <c r="A70" s="1098"/>
      <c r="B70" s="1120">
        <f>B66+1</f>
        <v>9</v>
      </c>
      <c r="C70" s="2370" t="s">
        <v>1696</v>
      </c>
      <c r="D70" s="237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1914</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1915</v>
      </c>
      <c r="D78" s="1124" t="str">
        <f>IF(ISNUMBER('Acct Summary 7-8'!C9),"OK","ENTRY IS REQUIRED!")</f>
        <v>OK</v>
      </c>
    </row>
    <row r="79" spans="1:4" x14ac:dyDescent="0.2">
      <c r="A79" s="1119"/>
      <c r="B79" s="1120">
        <f>B74+1+1</f>
        <v>12</v>
      </c>
      <c r="C79" s="1130" t="s">
        <v>1900</v>
      </c>
      <c r="D79" s="1131" t="str">
        <f>IF(OR(COVER!$B$6="X",'PCTC-OEPP 27-28'!F78&gt;0),"OK","PLEASE ENTER 9 MO ADA.")</f>
        <v>OK</v>
      </c>
    </row>
    <row r="80" spans="1:4" x14ac:dyDescent="0.2">
      <c r="A80" s="1098"/>
      <c r="B80" s="1120">
        <v>13</v>
      </c>
      <c r="C80" s="1130" t="s">
        <v>1916</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34049801060</v>
      </c>
    </row>
    <row r="3" spans="1:2" x14ac:dyDescent="0.2">
      <c r="A3" t="s">
        <v>956</v>
      </c>
      <c r="B3" s="138" t="str">
        <f>COVER!A15</f>
        <v>Lake</v>
      </c>
    </row>
    <row r="4" spans="1:2" x14ac:dyDescent="0.2">
      <c r="A4" t="s">
        <v>1007</v>
      </c>
      <c r="B4" s="138" t="str">
        <f>COVER!A17</f>
        <v>Exceptional Learners</v>
      </c>
    </row>
    <row r="5" spans="1:2" x14ac:dyDescent="0.2">
      <c r="A5" t="s">
        <v>704</v>
      </c>
      <c r="B5" s="138" t="str">
        <f>COVER!A38</f>
        <v>Megan Clarke</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066-003289</v>
      </c>
    </row>
    <row r="16" spans="1:2" x14ac:dyDescent="0.2">
      <c r="A16" t="s">
        <v>422</v>
      </c>
      <c r="B16" s="138" t="str">
        <f>COVER!T13</f>
        <v>Evoy, Kamschulte, Jacobs &amp; Co. LLP</v>
      </c>
    </row>
    <row r="17" spans="1:2" x14ac:dyDescent="0.2">
      <c r="A17" t="s">
        <v>884</v>
      </c>
      <c r="B17" s="138" t="str">
        <f>COVER!T15</f>
        <v xml:space="preserve"> John D. Aceto, Jr., CPA</v>
      </c>
    </row>
    <row r="18" spans="1:2" x14ac:dyDescent="0.2">
      <c r="A18" t="s">
        <v>1150</v>
      </c>
      <c r="B18" s="138" t="str">
        <f>COVER!T17</f>
        <v>2122 Yeoman Street</v>
      </c>
    </row>
    <row r="19" spans="1:2" x14ac:dyDescent="0.2">
      <c r="A19" t="s">
        <v>886</v>
      </c>
      <c r="B19" s="138" t="str">
        <f>COVER!T25</f>
        <v>jaceto@ekllp.com</v>
      </c>
    </row>
    <row r="20" spans="1:2" x14ac:dyDescent="0.2">
      <c r="A20" t="s">
        <v>887</v>
      </c>
      <c r="B20" s="138" t="str">
        <f>COVER!T19</f>
        <v>Waukegan</v>
      </c>
    </row>
    <row r="21" spans="1:2" x14ac:dyDescent="0.2">
      <c r="A21" t="s">
        <v>479</v>
      </c>
      <c r="B21" s="138" t="str">
        <f>COVER!X19</f>
        <v>IL</v>
      </c>
    </row>
    <row r="22" spans="1:2" x14ac:dyDescent="0.2">
      <c r="A22" t="s">
        <v>888</v>
      </c>
      <c r="B22" s="138">
        <f>COVER!Z19</f>
        <v>60087</v>
      </c>
    </row>
    <row r="23" spans="1:2" x14ac:dyDescent="0.2">
      <c r="A23" t="s">
        <v>1152</v>
      </c>
      <c r="B23" s="138" t="str">
        <f>COVER!T21</f>
        <v>847-662-8300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625571</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625571</v>
      </c>
      <c r="D92" s="2" t="str">
        <f t="shared" si="0"/>
        <v>Error?</v>
      </c>
    </row>
    <row r="93" spans="1:4" x14ac:dyDescent="0.2">
      <c r="A93" s="5">
        <v>32</v>
      </c>
      <c r="B93" s="138">
        <f>'Assets-Liab 5-6'!C41</f>
        <v>625571</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202178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202178</v>
      </c>
      <c r="D123" s="2" t="str">
        <f t="shared" si="0"/>
        <v>Error?</v>
      </c>
    </row>
    <row r="124" spans="1:4" x14ac:dyDescent="0.2">
      <c r="A124" s="5">
        <v>63</v>
      </c>
      <c r="B124" s="138">
        <f>'Assets-Liab 5-6'!D41</f>
        <v>202178</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228018</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228018</v>
      </c>
      <c r="D189" s="2" t="str">
        <f t="shared" si="1"/>
        <v>Error?</v>
      </c>
    </row>
    <row r="190" spans="1:4" x14ac:dyDescent="0.2">
      <c r="A190" s="5">
        <v>129</v>
      </c>
      <c r="B190" s="138">
        <f>'Assets-Liab 5-6'!G41</f>
        <v>228018</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370426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370426</v>
      </c>
      <c r="C279" s="2" t="s">
        <v>573</v>
      </c>
      <c r="D279" s="2" t="str">
        <f t="shared" si="3"/>
        <v>Error?</v>
      </c>
    </row>
    <row r="280" spans="1:4" x14ac:dyDescent="0.2">
      <c r="A280" s="5">
        <v>219</v>
      </c>
      <c r="B280" s="138">
        <f>'Assets-Liab 5-6'!M40</f>
        <v>370426</v>
      </c>
      <c r="D280" s="2" t="str">
        <f t="shared" si="3"/>
        <v>Error?</v>
      </c>
    </row>
    <row r="281" spans="1:4" x14ac:dyDescent="0.2">
      <c r="A281" s="5">
        <v>220</v>
      </c>
      <c r="B281" s="138">
        <f>'Assets-Liab 5-6'!M41</f>
        <v>370426</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1119122</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1489197</v>
      </c>
      <c r="D723" s="2" t="str">
        <f t="shared" si="10"/>
        <v>Error?</v>
      </c>
    </row>
    <row r="724" spans="1:4" x14ac:dyDescent="0.2">
      <c r="A724" s="5">
        <v>663</v>
      </c>
      <c r="B724" s="138">
        <f>'Expenditures 15-22'!C39</f>
        <v>487465</v>
      </c>
      <c r="D724" s="2" t="str">
        <f t="shared" si="10"/>
        <v>Error?</v>
      </c>
    </row>
    <row r="725" spans="1:4" x14ac:dyDescent="0.2">
      <c r="A725" s="5">
        <v>664</v>
      </c>
      <c r="B725" s="138">
        <f>'Expenditures 15-22'!C40</f>
        <v>783025</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2759687</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0</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2759687</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3878809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215282</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215829</v>
      </c>
      <c r="D781" s="2" t="str">
        <f t="shared" si="11"/>
        <v>Error?</v>
      </c>
    </row>
    <row r="782" spans="1:4" x14ac:dyDescent="0.2">
      <c r="A782" s="5">
        <v>721</v>
      </c>
      <c r="B782" s="138">
        <f>'Expenditures 15-22'!D39</f>
        <v>7775</v>
      </c>
      <c r="D782" s="2" t="str">
        <f t="shared" si="11"/>
        <v>Error?</v>
      </c>
    </row>
    <row r="783" spans="1:4" x14ac:dyDescent="0.2">
      <c r="A783" s="5">
        <v>722</v>
      </c>
      <c r="B783" s="138">
        <f>'Expenditures 15-22'!D40</f>
        <v>10880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234484</v>
      </c>
      <c r="C785" s="2" t="s">
        <v>573</v>
      </c>
      <c r="D785" s="2" t="str">
        <f t="shared" si="11"/>
        <v>Error?</v>
      </c>
    </row>
    <row r="786" spans="1:4" x14ac:dyDescent="0.2">
      <c r="A786" s="5">
        <v>725</v>
      </c>
      <c r="B786" s="138">
        <f>'Expenditures 15-22'!D44</f>
        <v>45</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45</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0</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27544</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27544</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262073</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477355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74828</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4753</v>
      </c>
      <c r="D842" s="2" t="str">
        <f t="shared" si="12"/>
        <v>Error?</v>
      </c>
    </row>
    <row r="843" spans="1:4" x14ac:dyDescent="0.2">
      <c r="A843" s="5">
        <v>782</v>
      </c>
      <c r="B843" s="138">
        <f>'Expenditures 15-22'!E42</f>
        <v>4753</v>
      </c>
      <c r="C843" s="2" t="s">
        <v>573</v>
      </c>
      <c r="D843" s="2" t="str">
        <f t="shared" si="12"/>
        <v>Error?</v>
      </c>
    </row>
    <row r="844" spans="1:4" x14ac:dyDescent="0.2">
      <c r="A844" s="5">
        <v>783</v>
      </c>
      <c r="B844" s="138">
        <f>'Expenditures 15-22'!E44</f>
        <v>179977</v>
      </c>
      <c r="D844" s="2" t="str">
        <f t="shared" si="12"/>
        <v>Error?</v>
      </c>
    </row>
    <row r="845" spans="1:4" x14ac:dyDescent="0.2">
      <c r="A845" s="5">
        <v>784</v>
      </c>
      <c r="B845" s="138">
        <f>'Expenditures 15-22'!E45</f>
        <v>0</v>
      </c>
      <c r="D845" s="2" t="str">
        <f t="shared" si="12"/>
        <v>Error?</v>
      </c>
    </row>
    <row r="846" spans="1:4" x14ac:dyDescent="0.2">
      <c r="A846" s="5">
        <v>785</v>
      </c>
      <c r="B846" s="138">
        <f>'Expenditures 15-22'!E46</f>
        <v>12660</v>
      </c>
      <c r="D846" s="2" t="str">
        <f t="shared" si="12"/>
        <v>Error?</v>
      </c>
    </row>
    <row r="847" spans="1:4" x14ac:dyDescent="0.2">
      <c r="A847" s="5">
        <v>786</v>
      </c>
      <c r="B847" s="138">
        <f>'Expenditures 15-22'!E47</f>
        <v>192637</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54114</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90000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90000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341504</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416332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150448</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304</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304</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4084</v>
      </c>
      <c r="D904" s="2" t="str">
        <f t="shared" si="13"/>
        <v>Error?</v>
      </c>
    </row>
    <row r="905" spans="1:4" x14ac:dyDescent="0.2">
      <c r="A905" s="5">
        <v>844</v>
      </c>
      <c r="B905" s="138">
        <f>'Expenditures 15-22'!F47</f>
        <v>4084</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4388</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154836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102987</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102987</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22182</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1293660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1315842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1684849</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1705026</v>
      </c>
      <c r="C1111" s="2" t="s">
        <v>573</v>
      </c>
      <c r="D1111" s="2" t="str">
        <f t="shared" si="16"/>
        <v>Error?</v>
      </c>
    </row>
    <row r="1112" spans="1:4" x14ac:dyDescent="0.2">
      <c r="A1112" s="5">
        <v>1051</v>
      </c>
      <c r="B1112" s="138">
        <f>'Expenditures 15-22'!K39</f>
        <v>495240</v>
      </c>
      <c r="C1112" s="2" t="s">
        <v>573</v>
      </c>
      <c r="D1112" s="2" t="str">
        <f t="shared" si="16"/>
        <v>Error?</v>
      </c>
    </row>
    <row r="1113" spans="1:4" x14ac:dyDescent="0.2">
      <c r="A1113" s="5">
        <v>1052</v>
      </c>
      <c r="B1113" s="138">
        <f>'Expenditures 15-22'!K40</f>
        <v>794209</v>
      </c>
      <c r="C1113" s="2" t="s">
        <v>573</v>
      </c>
      <c r="D1113" s="2" t="str">
        <f t="shared" si="16"/>
        <v>Error?</v>
      </c>
    </row>
    <row r="1114" spans="1:4" x14ac:dyDescent="0.2">
      <c r="A1114" s="5">
        <v>1053</v>
      </c>
      <c r="B1114" s="138">
        <f>'Expenditures 15-22'!K41</f>
        <v>4753</v>
      </c>
      <c r="C1114" s="2" t="s">
        <v>573</v>
      </c>
      <c r="D1114" s="2" t="str">
        <f t="shared" si="16"/>
        <v>Error?</v>
      </c>
    </row>
    <row r="1115" spans="1:4" x14ac:dyDescent="0.2">
      <c r="A1115" s="5">
        <v>1054</v>
      </c>
      <c r="B1115" s="138">
        <f>'Expenditures 15-22'!K42</f>
        <v>2999228</v>
      </c>
      <c r="C1115" s="2" t="s">
        <v>573</v>
      </c>
      <c r="D1115" s="2" t="str">
        <f t="shared" si="16"/>
        <v>Error?</v>
      </c>
    </row>
    <row r="1116" spans="1:4" x14ac:dyDescent="0.2">
      <c r="A1116" s="5">
        <v>1055</v>
      </c>
      <c r="B1116" s="138">
        <f>'Expenditures 15-22'!K44</f>
        <v>180022</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16744</v>
      </c>
      <c r="C1118" s="2" t="s">
        <v>573</v>
      </c>
      <c r="D1118" s="2" t="str">
        <f t="shared" si="16"/>
        <v>Error?</v>
      </c>
    </row>
    <row r="1119" spans="1:4" x14ac:dyDescent="0.2">
      <c r="A1119" s="5">
        <v>1058</v>
      </c>
      <c r="B1119" s="138">
        <f>'Expenditures 15-22'!K47</f>
        <v>196766</v>
      </c>
      <c r="C1119" s="2" t="s">
        <v>573</v>
      </c>
      <c r="D1119" s="2" t="str">
        <f t="shared" si="16"/>
        <v>Error?</v>
      </c>
    </row>
    <row r="1120" spans="1:4" x14ac:dyDescent="0.2">
      <c r="A1120" s="5">
        <v>1059</v>
      </c>
      <c r="B1120" s="138">
        <f>'Expenditures 15-22'!K49</f>
        <v>0</v>
      </c>
      <c r="C1120" s="2" t="s">
        <v>573</v>
      </c>
      <c r="D1120" s="2" t="str">
        <f t="shared" si="16"/>
        <v>Error?</v>
      </c>
    </row>
    <row r="1121" spans="1:4" x14ac:dyDescent="0.2">
      <c r="A1121" s="5">
        <v>1060</v>
      </c>
      <c r="B1121" s="138">
        <f>'Expenditures 15-22'!K50</f>
        <v>0</v>
      </c>
      <c r="C1121" s="2" t="s">
        <v>573</v>
      </c>
      <c r="D1121" s="2" t="str">
        <f t="shared" si="16"/>
        <v>Error?</v>
      </c>
    </row>
    <row r="1122" spans="1:4" x14ac:dyDescent="0.2">
      <c r="A1122" s="5">
        <v>1061</v>
      </c>
      <c r="B1122" s="138">
        <f>'Expenditures 15-22'!K53</f>
        <v>54114</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90000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90000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27544</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27544</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3367652</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1293660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6346161</v>
      </c>
      <c r="C1152" s="2" t="s">
        <v>573</v>
      </c>
      <c r="D1152" s="2" t="str">
        <f t="shared" si="17"/>
        <v>Error?</v>
      </c>
    </row>
    <row r="1153" spans="1:4" x14ac:dyDescent="0.2">
      <c r="A1153" s="5">
        <v>1092</v>
      </c>
      <c r="B1153" s="138">
        <f>'Expenditures 15-22'!K115</f>
        <v>-204794</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146740</v>
      </c>
      <c r="D1237" s="2" t="str">
        <f t="shared" si="18"/>
        <v>Error?</v>
      </c>
    </row>
    <row r="1238" spans="1:4" x14ac:dyDescent="0.2">
      <c r="A1238" s="10">
        <v>1177</v>
      </c>
      <c r="D1238" s="2" t="str">
        <f t="shared" si="18"/>
        <v>OK</v>
      </c>
    </row>
    <row r="1239" spans="1:4" x14ac:dyDescent="0.2">
      <c r="A1239" s="5">
        <v>1178</v>
      </c>
      <c r="B1239" s="138">
        <f>'Expenditures 15-22'!E127</f>
        <v>146740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146740</v>
      </c>
      <c r="C1241" s="2" t="s">
        <v>573</v>
      </c>
      <c r="D1241" s="2" t="str">
        <f t="shared" si="18"/>
        <v>Error?</v>
      </c>
    </row>
    <row r="1242" spans="1:4" x14ac:dyDescent="0.2">
      <c r="A1242" s="5">
        <v>1181</v>
      </c>
      <c r="B1242" s="138">
        <f>'Expenditures 15-22'!E151</f>
        <v>146740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670</v>
      </c>
      <c r="D1245" s="2" t="str">
        <f t="shared" si="18"/>
        <v>Error?</v>
      </c>
    </row>
    <row r="1246" spans="1:4" x14ac:dyDescent="0.2">
      <c r="A1246" s="10">
        <v>1185</v>
      </c>
      <c r="D1246" s="2" t="str">
        <f t="shared" si="18"/>
        <v>OK</v>
      </c>
    </row>
    <row r="1247" spans="1:4" x14ac:dyDescent="0.2">
      <c r="A1247" s="5">
        <v>1186</v>
      </c>
      <c r="B1247" s="138">
        <f>'Expenditures 15-22'!F127</f>
        <v>670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670</v>
      </c>
      <c r="C1249" s="2" t="s">
        <v>573</v>
      </c>
      <c r="D1249" s="2" t="str">
        <f t="shared" si="18"/>
        <v>Error?</v>
      </c>
    </row>
    <row r="1250" spans="1:4" x14ac:dyDescent="0.2">
      <c r="A1250" s="5">
        <v>1189</v>
      </c>
      <c r="B1250" s="138">
        <f>'Expenditures 15-22'!F151</f>
        <v>670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147410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147410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147410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147410</v>
      </c>
      <c r="C1288" s="2" t="s">
        <v>573</v>
      </c>
      <c r="D1288" s="2" t="str">
        <f t="shared" si="19"/>
        <v>Error?</v>
      </c>
    </row>
    <row r="1289" spans="1:4" x14ac:dyDescent="0.2">
      <c r="A1289" s="5">
        <v>1228</v>
      </c>
      <c r="B1289" s="138">
        <f>'Expenditures 15-22'!K152</f>
        <v>52590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83468</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189544</v>
      </c>
      <c r="D1413" s="2" t="str">
        <f t="shared" si="21"/>
        <v>Error?</v>
      </c>
    </row>
    <row r="1414" spans="1:4" x14ac:dyDescent="0.2">
      <c r="A1414" s="5">
        <v>1353</v>
      </c>
      <c r="B1414" s="138">
        <f>'Expenditures 15-22'!D235</f>
        <v>6227</v>
      </c>
      <c r="D1414" s="2" t="str">
        <f t="shared" si="21"/>
        <v>Error?</v>
      </c>
    </row>
    <row r="1415" spans="1:4" x14ac:dyDescent="0.2">
      <c r="A1415" s="5">
        <v>1354</v>
      </c>
      <c r="B1415" s="138">
        <f>'Expenditures 15-22'!D236</f>
        <v>23546</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219317</v>
      </c>
      <c r="C1417" s="2" t="s">
        <v>573</v>
      </c>
      <c r="D1417" s="2" t="str">
        <f t="shared" si="21"/>
        <v>Error?</v>
      </c>
    </row>
    <row r="1418" spans="1:4" x14ac:dyDescent="0.2">
      <c r="A1418" s="5">
        <v>1357</v>
      </c>
      <c r="B1418" s="138">
        <f>'Expenditures 15-22'!D240</f>
        <v>338</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338</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219655</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303123</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83468</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189544</v>
      </c>
      <c r="C1477" s="2" t="s">
        <v>573</v>
      </c>
      <c r="D1477" s="2" t="str">
        <f t="shared" si="22"/>
        <v>Error?</v>
      </c>
    </row>
    <row r="1478" spans="1:4" x14ac:dyDescent="0.2">
      <c r="A1478" s="5">
        <v>1417</v>
      </c>
      <c r="B1478" s="138">
        <f>'Expenditures 15-22'!K235</f>
        <v>6227</v>
      </c>
      <c r="C1478" s="2" t="s">
        <v>573</v>
      </c>
      <c r="D1478" s="2" t="str">
        <f t="shared" si="22"/>
        <v>Error?</v>
      </c>
    </row>
    <row r="1479" spans="1:4" x14ac:dyDescent="0.2">
      <c r="A1479" s="5">
        <v>1418</v>
      </c>
      <c r="B1479" s="138">
        <f>'Expenditures 15-22'!K236</f>
        <v>23546</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219317</v>
      </c>
      <c r="C1481" s="2" t="s">
        <v>573</v>
      </c>
      <c r="D1481" s="2" t="str">
        <f t="shared" si="22"/>
        <v>Error?</v>
      </c>
    </row>
    <row r="1482" spans="1:4" x14ac:dyDescent="0.2">
      <c r="A1482" s="5">
        <v>1421</v>
      </c>
      <c r="B1482" s="138">
        <f>'Expenditures 15-22'!K240</f>
        <v>338</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338</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219655</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303123</v>
      </c>
      <c r="C1517" s="2" t="s">
        <v>573</v>
      </c>
      <c r="D1517" s="2" t="str">
        <f t="shared" si="22"/>
        <v>Error?</v>
      </c>
    </row>
    <row r="1518" spans="1:4" x14ac:dyDescent="0.2">
      <c r="A1518" s="5">
        <v>1457</v>
      </c>
      <c r="B1518" s="138">
        <f>'Expenditures 15-22'!K296</f>
        <v>96877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830365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625571</v>
      </c>
      <c r="C1630" s="2" t="s">
        <v>573</v>
      </c>
      <c r="D1630" s="2" t="str">
        <f t="shared" si="24"/>
        <v>Error?</v>
      </c>
    </row>
    <row r="1631" spans="1:4" x14ac:dyDescent="0.2">
      <c r="A1631" s="5">
        <v>1570</v>
      </c>
      <c r="B1631" s="138">
        <f>'Acct Summary 7-8'!D79</f>
        <v>149588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202178</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131141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228018</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267439</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267439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102987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102987</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0</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370426</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370426</v>
      </c>
      <c r="C2031" s="2" t="s">
        <v>573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63835</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63835</v>
      </c>
      <c r="C2037" s="2" t="s">
        <v>573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37043</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37043</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0</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100878</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100878</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0</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269548</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269548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1293660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1293660</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4040601</v>
      </c>
      <c r="C2551" s="2" t="s">
        <v>573</v>
      </c>
      <c r="D2551" s="2" t="str">
        <f t="shared" si="38"/>
        <v>Error?</v>
      </c>
    </row>
    <row r="2552" spans="1:4" x14ac:dyDescent="0.2">
      <c r="A2552" s="10">
        <v>2491</v>
      </c>
      <c r="D2552" s="2" t="str">
        <f t="shared" si="38"/>
        <v>OK</v>
      </c>
    </row>
    <row r="2553" spans="1:4" x14ac:dyDescent="0.2">
      <c r="A2553" s="5">
        <v>2492</v>
      </c>
      <c r="B2553" s="138">
        <f>'Acct Summary 7-8'!C6</f>
        <v>95535</v>
      </c>
      <c r="C2553" s="2" t="s">
        <v>573</v>
      </c>
      <c r="D2553" s="2" t="str">
        <f t="shared" si="38"/>
        <v>Error?</v>
      </c>
    </row>
    <row r="2554" spans="1:4" x14ac:dyDescent="0.2">
      <c r="A2554" s="5">
        <v>2493</v>
      </c>
      <c r="B2554" s="138">
        <f>'Acct Summary 7-8'!C7</f>
        <v>2005231</v>
      </c>
      <c r="C2554" s="2" t="s">
        <v>573</v>
      </c>
      <c r="D2554" s="2" t="str">
        <f t="shared" si="38"/>
        <v>Error?</v>
      </c>
    </row>
    <row r="2555" spans="1:4" x14ac:dyDescent="0.2">
      <c r="A2555" s="5">
        <v>2494</v>
      </c>
      <c r="B2555" s="138">
        <f>'Acct Summary 7-8'!C8</f>
        <v>6141367</v>
      </c>
      <c r="C2555" s="2" t="s">
        <v>573</v>
      </c>
      <c r="D2555" s="2" t="str">
        <f t="shared" si="38"/>
        <v>Error?</v>
      </c>
    </row>
    <row r="2556" spans="1:4" x14ac:dyDescent="0.2">
      <c r="A2556" s="5">
        <v>2495</v>
      </c>
      <c r="B2556" s="138">
        <f>'Acct Summary 7-8'!C12</f>
        <v>1684849</v>
      </c>
      <c r="C2556" s="2" t="s">
        <v>573</v>
      </c>
      <c r="D2556" s="2" t="str">
        <f t="shared" si="38"/>
        <v>Error?</v>
      </c>
    </row>
    <row r="2557" spans="1:4" x14ac:dyDescent="0.2">
      <c r="A2557" s="5">
        <v>2496</v>
      </c>
      <c r="B2557" s="138">
        <f>'Acct Summary 7-8'!C13</f>
        <v>3367652</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1293660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6346161</v>
      </c>
      <c r="C2561" s="2" t="s">
        <v>573</v>
      </c>
      <c r="D2561" s="2" t="str">
        <f t="shared" si="39"/>
        <v>Error?</v>
      </c>
    </row>
    <row r="2562" spans="1:4" x14ac:dyDescent="0.2">
      <c r="A2562" s="5">
        <v>2501</v>
      </c>
      <c r="B2562" s="138">
        <f>'Acct Summary 7-8'!C20</f>
        <v>-204794</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200000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200000</v>
      </c>
      <c r="C2568" s="2" t="s">
        <v>573</v>
      </c>
      <c r="D2568" s="2" t="str">
        <f t="shared" si="39"/>
        <v>Error?</v>
      </c>
    </row>
    <row r="2569" spans="1:4" x14ac:dyDescent="0.2">
      <c r="A2569" s="5">
        <v>2508</v>
      </c>
      <c r="B2569" s="138">
        <f>'Acct Summary 7-8'!D13</f>
        <v>147410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147410</v>
      </c>
      <c r="C2573" s="2" t="s">
        <v>573</v>
      </c>
      <c r="D2573" s="2" t="str">
        <f t="shared" si="39"/>
        <v>Error?</v>
      </c>
    </row>
    <row r="2574" spans="1:4" x14ac:dyDescent="0.2">
      <c r="A2574" s="5">
        <v>2513</v>
      </c>
      <c r="B2574" s="138">
        <f>'Acct Summary 7-8'!D20</f>
        <v>52590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400000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400000</v>
      </c>
      <c r="C2606" s="2" t="s">
        <v>573</v>
      </c>
      <c r="D2606" s="2" t="str">
        <f t="shared" si="39"/>
        <v>Error?</v>
      </c>
    </row>
    <row r="2607" spans="1:4" x14ac:dyDescent="0.2">
      <c r="A2607" s="5">
        <v>2546</v>
      </c>
      <c r="B2607" s="138">
        <f>'Acct Summary 7-8'!G12</f>
        <v>83468</v>
      </c>
      <c r="C2607" s="2" t="s">
        <v>573</v>
      </c>
      <c r="D2607" s="2" t="str">
        <f t="shared" si="39"/>
        <v>Error?</v>
      </c>
    </row>
    <row r="2608" spans="1:4" x14ac:dyDescent="0.2">
      <c r="A2608" s="5">
        <v>2547</v>
      </c>
      <c r="B2608" s="138">
        <f>'Acct Summary 7-8'!G13</f>
        <v>219655</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303123</v>
      </c>
      <c r="C2612" s="2" t="s">
        <v>573</v>
      </c>
      <c r="D2612" s="2" t="str">
        <f t="shared" si="39"/>
        <v>Error?</v>
      </c>
    </row>
    <row r="2613" spans="1:4" x14ac:dyDescent="0.2">
      <c r="A2613" s="5">
        <v>2552</v>
      </c>
      <c r="B2613" s="138">
        <f>'Acct Summary 7-8'!G20</f>
        <v>96877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1293660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1293660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-204794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52590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96877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1119122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215282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74828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150448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102987</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22182</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1684849</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83468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83468</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625571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202178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228018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812612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6953979</v>
      </c>
      <c r="C4122" s="2" t="s">
        <v>573</v>
      </c>
      <c r="D4122" s="2" t="str">
        <f t="shared" si="63"/>
        <v>Error?</v>
      </c>
    </row>
    <row r="4123" spans="1:4" x14ac:dyDescent="0.2">
      <c r="A4123" s="5">
        <v>4062</v>
      </c>
      <c r="B4123" s="138">
        <f>'Acct Summary 7-8'!D10</f>
        <v>200000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400000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812612</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7158773</v>
      </c>
      <c r="C4136" s="2" t="s">
        <v>573</v>
      </c>
      <c r="D4136" s="2" t="str">
        <f t="shared" si="63"/>
        <v>Error?</v>
      </c>
    </row>
    <row r="4137" spans="1:4" x14ac:dyDescent="0.2">
      <c r="A4137" s="5">
        <v>4076</v>
      </c>
      <c r="B4137" s="138">
        <f>'Acct Summary 7-8'!D19</f>
        <v>147410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303123</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827749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11435</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28225</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4040601</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4040601</v>
      </c>
      <c r="C5120" s="2" t="s">
        <v>573</v>
      </c>
      <c r="D5120" s="2" t="str">
        <f t="shared" si="79"/>
        <v>Error?</v>
      </c>
    </row>
    <row r="5121" spans="1:4" x14ac:dyDescent="0.2">
      <c r="A5121" s="5">
        <v>5060</v>
      </c>
      <c r="B5121" s="138">
        <f>'Revenues 9-14'!C109</f>
        <v>4040601</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95535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95535</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95535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29239</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1975992</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2005231</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2005231</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2005231</v>
      </c>
      <c r="C5326" s="2" t="s">
        <v>573</v>
      </c>
      <c r="D5326" s="2" t="str">
        <f t="shared" si="82"/>
        <v>Error?</v>
      </c>
    </row>
    <row r="5327" spans="1:5" x14ac:dyDescent="0.2">
      <c r="A5327" s="5">
        <v>5266</v>
      </c>
      <c r="B5327" s="138">
        <f>'Revenues 9-14'!C268</f>
        <v>6141367</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200000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200000</v>
      </c>
      <c r="C5355" s="2" t="s">
        <v>573</v>
      </c>
      <c r="D5355" s="2" t="str">
        <f t="shared" si="82"/>
        <v>Error?</v>
      </c>
    </row>
    <row r="5356" spans="1:4" x14ac:dyDescent="0.2">
      <c r="A5356" s="5">
        <v>5295</v>
      </c>
      <c r="B5356" s="138">
        <f>'Revenues 9-14'!D109</f>
        <v>200000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200000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400000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400000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400000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-204794</v>
      </c>
      <c r="D6267" s="2" t="str">
        <f t="shared" si="96"/>
        <v>Error?</v>
      </c>
      <c r="E6267" s="2" t="s">
        <v>190</v>
      </c>
    </row>
    <row r="6268" spans="1:5" x14ac:dyDescent="0.2">
      <c r="A6268">
        <v>6207</v>
      </c>
      <c r="B6268" s="138">
        <f>'Acct Summary 7-8'!D82</f>
        <v>52590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96877</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-0.32737131356792437</v>
      </c>
      <c r="D6276" s="2" t="str">
        <f t="shared" si="97"/>
        <v>Error?</v>
      </c>
      <c r="E6276" s="2" t="s">
        <v>190</v>
      </c>
    </row>
    <row r="6277" spans="1:5" x14ac:dyDescent="0.2">
      <c r="A6277">
        <v>6216</v>
      </c>
      <c r="B6277" s="138">
        <f>'Acct Summary 7-8'!D83</f>
        <v>0.26011732235950497</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f>'Acct Summary 7-8'!G83</f>
        <v>0.42486558078748171</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400000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54114</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54114</v>
      </c>
      <c r="D6940" s="2" t="str">
        <f t="shared" si="107"/>
        <v>Error?</v>
      </c>
    </row>
    <row r="6941" spans="1:4" x14ac:dyDescent="0.2">
      <c r="A6941">
        <v>6880</v>
      </c>
      <c r="B6941" s="138">
        <f>'Expenditures 15-22'!L52</f>
        <v>47000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37043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134129</v>
      </c>
      <c r="D7797" s="2" t="str">
        <f t="shared" si="127"/>
        <v>Error?</v>
      </c>
      <c r="E7797" s="4" t="s">
        <v>1901</v>
      </c>
    </row>
    <row r="7798" spans="1:5" x14ac:dyDescent="0.2">
      <c r="A7798">
        <v>7737</v>
      </c>
      <c r="B7798" s="138">
        <f>'Contracts Paid in CY 29'!F141</f>
        <v>50000</v>
      </c>
      <c r="D7798" s="2" t="str">
        <f t="shared" si="127"/>
        <v>Error?</v>
      </c>
      <c r="E7798" s="4" t="s">
        <v>1901</v>
      </c>
    </row>
    <row r="7799" spans="1:5" x14ac:dyDescent="0.2">
      <c r="A7799">
        <v>7738</v>
      </c>
      <c r="B7799" s="138">
        <f>'Contracts Paid in CY 29'!G141</f>
        <v>84129</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28" sqref="A28"/>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3" t="s">
        <v>1191</v>
      </c>
      <c r="B2" s="2403"/>
      <c r="C2" s="2403"/>
      <c r="D2" s="2403"/>
      <c r="E2" s="2403"/>
      <c r="F2" s="2403"/>
      <c r="G2" s="2403"/>
      <c r="H2" s="2403"/>
      <c r="I2" s="2403"/>
      <c r="J2" s="2403"/>
      <c r="K2" s="2403"/>
      <c r="L2" s="2403"/>
    </row>
    <row r="3" spans="1:29" ht="13.5" customHeight="1" x14ac:dyDescent="0.2">
      <c r="A3" s="2389" t="s">
        <v>1190</v>
      </c>
      <c r="B3" s="2389"/>
      <c r="C3" s="2389"/>
      <c r="D3" s="2389"/>
      <c r="E3" s="2389"/>
      <c r="F3" s="2389"/>
      <c r="G3" s="2389"/>
      <c r="H3" s="2389"/>
      <c r="I3" s="2389"/>
      <c r="J3" s="2389"/>
      <c r="K3" s="2389"/>
      <c r="L3" s="2389"/>
    </row>
    <row r="4" spans="1:29" ht="13.5" customHeight="1" x14ac:dyDescent="0.2">
      <c r="A4" s="2403" t="s">
        <v>1986</v>
      </c>
      <c r="B4" s="2420"/>
      <c r="C4" s="2420"/>
      <c r="D4" s="2420"/>
      <c r="E4" s="2420"/>
      <c r="F4" s="2420"/>
      <c r="G4" s="2420"/>
      <c r="H4" s="2420"/>
      <c r="I4" s="2420"/>
      <c r="J4" s="2420"/>
      <c r="K4" s="2420"/>
      <c r="L4" s="242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3" t="str">
        <f>COVER!A17</f>
        <v>Exceptional Learners</v>
      </c>
      <c r="B7" s="2384"/>
      <c r="C7" s="2384"/>
      <c r="D7" s="2421"/>
      <c r="E7" s="2422">
        <f>COVER!A13</f>
        <v>34049801060</v>
      </c>
      <c r="F7" s="2423"/>
      <c r="G7" s="2390" t="str">
        <f>COVER!T23</f>
        <v>066-003289</v>
      </c>
      <c r="H7" s="2391"/>
      <c r="I7" s="2391"/>
      <c r="J7" s="2391"/>
      <c r="K7" s="2391"/>
      <c r="L7" s="239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3"/>
      <c r="B9" s="2394"/>
      <c r="C9" s="2394"/>
      <c r="D9" s="2394"/>
      <c r="E9" s="2394"/>
      <c r="F9" s="2395"/>
      <c r="G9" s="2396" t="str">
        <f>COVER!T13</f>
        <v>Evoy, Kamschulte, Jacobs &amp; Co. LLP</v>
      </c>
      <c r="H9" s="2397"/>
      <c r="I9" s="2397"/>
      <c r="J9" s="2397"/>
      <c r="K9" s="2397"/>
      <c r="L9" s="2398"/>
    </row>
    <row r="10" spans="1:29" ht="13.5" customHeight="1" x14ac:dyDescent="0.2">
      <c r="A10" s="2380" t="str">
        <f>COVER!A38</f>
        <v>Megan Clarke</v>
      </c>
      <c r="B10" s="2381"/>
      <c r="C10" s="2381"/>
      <c r="D10" s="2381"/>
      <c r="E10" s="2381"/>
      <c r="F10" s="2382"/>
      <c r="G10" s="2396" t="str">
        <f>COVER!T17</f>
        <v>2122 Yeoman Street</v>
      </c>
      <c r="H10" s="2409"/>
      <c r="I10" s="2409"/>
      <c r="J10" s="2409"/>
      <c r="K10" s="2409"/>
      <c r="L10" s="2410"/>
    </row>
    <row r="11" spans="1:29" ht="13.5" customHeight="1" x14ac:dyDescent="0.2">
      <c r="A11" s="1184" t="s">
        <v>1519</v>
      </c>
      <c r="B11" s="1185"/>
      <c r="C11" s="1186"/>
      <c r="D11" s="1191"/>
      <c r="E11" s="1186"/>
      <c r="F11" s="1190"/>
      <c r="G11" s="2396" t="str">
        <f>COVER!T19</f>
        <v>Waukegan</v>
      </c>
      <c r="H11" s="2409"/>
      <c r="I11" s="2409"/>
      <c r="J11" s="2409"/>
      <c r="K11" s="2409"/>
      <c r="L11" s="2410"/>
    </row>
    <row r="12" spans="1:29" ht="13.5" customHeight="1" x14ac:dyDescent="0.2">
      <c r="A12" s="2414" t="s">
        <v>1518</v>
      </c>
      <c r="B12" s="2415"/>
      <c r="C12" s="2415"/>
      <c r="D12" s="2415"/>
      <c r="E12" s="2415"/>
      <c r="F12" s="2416"/>
      <c r="G12" s="2411"/>
      <c r="H12" s="2412"/>
      <c r="I12" s="2412"/>
      <c r="J12" s="2412"/>
      <c r="K12" s="2412"/>
      <c r="L12" s="2413"/>
    </row>
    <row r="13" spans="1:29" ht="13.5" customHeight="1" x14ac:dyDescent="0.2">
      <c r="A13" s="2396"/>
      <c r="B13" s="2409"/>
      <c r="C13" s="2409"/>
      <c r="D13" s="2409"/>
      <c r="E13" s="2409"/>
      <c r="F13" s="2410"/>
      <c r="G13" s="2404" t="s">
        <v>1520</v>
      </c>
      <c r="H13" s="2405"/>
      <c r="I13" s="2417" t="str">
        <f>COVER!T25</f>
        <v>jaceto@ekllp.com</v>
      </c>
      <c r="J13" s="2418"/>
      <c r="K13" s="2418"/>
      <c r="L13" s="2419"/>
    </row>
    <row r="14" spans="1:29" ht="13.5" customHeight="1" x14ac:dyDescent="0.2">
      <c r="A14" s="2396" t="str">
        <f>COVER!A19</f>
        <v>601 Deerfield Parkway</v>
      </c>
      <c r="B14" s="2409"/>
      <c r="C14" s="2409"/>
      <c r="D14" s="2409"/>
      <c r="E14" s="2409"/>
      <c r="F14" s="2410"/>
      <c r="G14" s="1195" t="s">
        <v>1185</v>
      </c>
      <c r="H14" s="1193"/>
      <c r="I14" s="1193"/>
      <c r="J14" s="1193"/>
      <c r="K14" s="1193"/>
      <c r="L14" s="1194"/>
    </row>
    <row r="15" spans="1:29" ht="13.5" customHeight="1" x14ac:dyDescent="0.2">
      <c r="A15" s="2396" t="str">
        <f>COVER!A21</f>
        <v>Buffalo Grove</v>
      </c>
      <c r="B15" s="2409"/>
      <c r="C15" s="2409"/>
      <c r="D15" s="2409"/>
      <c r="E15" s="2409"/>
      <c r="F15" s="2410"/>
      <c r="G15" s="2406" t="str">
        <f>COVER!T15</f>
        <v xml:space="preserve"> John D. Aceto, Jr., CPA</v>
      </c>
      <c r="H15" s="2407"/>
      <c r="I15" s="2407"/>
      <c r="J15" s="2407"/>
      <c r="K15" s="2407"/>
      <c r="L15" s="2408"/>
    </row>
    <row r="16" spans="1:29" ht="12.2" customHeight="1" x14ac:dyDescent="0.2">
      <c r="A16" s="2386">
        <f>COVER!A25</f>
        <v>60089</v>
      </c>
      <c r="B16" s="2387"/>
      <c r="C16" s="2387"/>
      <c r="D16" s="2387"/>
      <c r="E16" s="2387"/>
      <c r="F16" s="2388"/>
      <c r="G16" s="2399"/>
      <c r="H16" s="2400"/>
      <c r="I16" s="2400"/>
      <c r="J16" s="2400"/>
      <c r="K16" s="2400"/>
      <c r="L16" s="2401"/>
    </row>
    <row r="17" spans="1:13" ht="12.2" customHeight="1" x14ac:dyDescent="0.2">
      <c r="A17" s="2402"/>
      <c r="B17" s="2387"/>
      <c r="C17" s="2387"/>
      <c r="D17" s="2387"/>
      <c r="E17" s="2387"/>
      <c r="F17" s="2388"/>
      <c r="G17" s="1195" t="s">
        <v>1184</v>
      </c>
      <c r="H17" s="1193"/>
      <c r="I17" s="1193"/>
      <c r="J17" s="1193"/>
      <c r="K17" s="1197" t="s">
        <v>1183</v>
      </c>
      <c r="L17" s="1190"/>
      <c r="M17" s="1183"/>
    </row>
    <row r="18" spans="1:13" ht="12.2" customHeight="1" x14ac:dyDescent="0.2">
      <c r="A18" s="2380"/>
      <c r="B18" s="2381"/>
      <c r="C18" s="2381"/>
      <c r="D18" s="2381"/>
      <c r="E18" s="2381"/>
      <c r="F18" s="2382"/>
      <c r="G18" s="2383" t="str">
        <f>COVER!T21</f>
        <v>847-662-8300</v>
      </c>
      <c r="H18" s="2384"/>
      <c r="I18" s="2384"/>
      <c r="J18" s="2384"/>
      <c r="K18" s="2383" t="str">
        <f>COVER!X21</f>
        <v>847-662-8305</v>
      </c>
      <c r="L18" s="238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4" t="str">
        <f>'Single Audit Cover'!A7</f>
        <v>Exceptional Learners</v>
      </c>
      <c r="B1" s="2420"/>
      <c r="C1" s="2420"/>
      <c r="D1" s="2420"/>
    </row>
    <row r="2" spans="1:11" s="1212" customFormat="1" ht="12.75" x14ac:dyDescent="0.2">
      <c r="A2" s="2425">
        <f>'Single Audit Cover'!E7</f>
        <v>34049801060</v>
      </c>
      <c r="B2" s="2426"/>
      <c r="C2" s="2426"/>
      <c r="D2" s="2426"/>
    </row>
    <row r="3" spans="1:11" s="1212" customFormat="1" ht="12.75" x14ac:dyDescent="0.2">
      <c r="A3" s="2424" t="s">
        <v>1513</v>
      </c>
      <c r="B3" s="2420"/>
      <c r="C3" s="2420"/>
      <c r="D3" s="2420"/>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9"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8" t="str">
        <f>'Single Audit Cover'!A7</f>
        <v>Exceptional Learners</v>
      </c>
      <c r="B1" s="2428"/>
      <c r="C1" s="2428"/>
      <c r="D1" s="2428"/>
      <c r="E1" s="2428"/>
    </row>
    <row r="2" spans="1:5" x14ac:dyDescent="0.2">
      <c r="A2" s="2429">
        <f>'Single Audit Cover'!E7</f>
        <v>34049801060</v>
      </c>
      <c r="B2" s="2429"/>
      <c r="C2" s="2429"/>
      <c r="D2" s="2429"/>
      <c r="E2" s="2429"/>
    </row>
    <row r="3" spans="1:5" ht="4.5" customHeight="1" x14ac:dyDescent="0.2"/>
    <row r="4" spans="1:5" x14ac:dyDescent="0.2">
      <c r="A4" s="2428" t="s">
        <v>1245</v>
      </c>
      <c r="B4" s="2428"/>
      <c r="C4" s="2428"/>
      <c r="D4" s="2428"/>
      <c r="E4" s="2428"/>
    </row>
    <row r="5" spans="1:5" x14ac:dyDescent="0.2">
      <c r="A5" s="2431" t="str">
        <f>'Single Audit Cover'!A4</f>
        <v>Year Ending June 30, 2019</v>
      </c>
      <c r="B5" s="2431"/>
      <c r="C5" s="2431"/>
      <c r="D5" s="2431"/>
      <c r="E5" s="2431"/>
    </row>
    <row r="6" spans="1:5" x14ac:dyDescent="0.2">
      <c r="A6" s="2428" t="s">
        <v>1244</v>
      </c>
      <c r="B6" s="2428"/>
      <c r="C6" s="2428"/>
      <c r="D6" s="2428"/>
      <c r="E6" s="2428"/>
    </row>
    <row r="8" spans="1:5" x14ac:dyDescent="0.2">
      <c r="A8" s="1257" t="s">
        <v>1243</v>
      </c>
    </row>
    <row r="10" spans="1:5" x14ac:dyDescent="0.2">
      <c r="A10" s="1258" t="s">
        <v>1242</v>
      </c>
      <c r="B10" s="1259" t="s">
        <v>1241</v>
      </c>
      <c r="C10" s="1259"/>
      <c r="D10" s="1260">
        <f>SUM('Acct Summary 7-8'!C7:K7)</f>
        <v>2005231</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1841</v>
      </c>
      <c r="B16" s="1259"/>
      <c r="C16" s="1259"/>
    </row>
    <row r="17" spans="1:4" x14ac:dyDescent="0.2">
      <c r="A17" s="1258" t="s">
        <v>2058</v>
      </c>
      <c r="B17" s="1259" t="s">
        <v>1236</v>
      </c>
      <c r="C17" s="1259"/>
      <c r="D17" s="1261">
        <f>-SUM('Revenues 9-14'!C264:D264,'Revenues 9-14'!F264:G264)</f>
        <v>0</v>
      </c>
    </row>
    <row r="19" spans="1:4" ht="13.5" thickBot="1" x14ac:dyDescent="0.25">
      <c r="A19" s="1262" t="s">
        <v>1235</v>
      </c>
      <c r="D19" s="1263">
        <f>SUM(D10:D17)</f>
        <v>2005231</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0"/>
      <c r="B24" s="2430"/>
      <c r="D24" s="1265"/>
    </row>
    <row r="25" spans="1:4" x14ac:dyDescent="0.2">
      <c r="A25" s="2427"/>
      <c r="B25" s="2427"/>
      <c r="D25" s="1265"/>
    </row>
    <row r="26" spans="1:4" x14ac:dyDescent="0.2">
      <c r="A26" s="2427"/>
      <c r="B26" s="2427"/>
      <c r="D26" s="1265"/>
    </row>
    <row r="27" spans="1:4" x14ac:dyDescent="0.2">
      <c r="A27" s="2427"/>
      <c r="B27" s="2427"/>
      <c r="D27" s="1265"/>
    </row>
    <row r="28" spans="1:4" x14ac:dyDescent="0.2">
      <c r="A28" s="2427"/>
      <c r="B28" s="2427"/>
      <c r="D28" s="1265"/>
    </row>
    <row r="29" spans="1:4" x14ac:dyDescent="0.2">
      <c r="A29" s="2427"/>
      <c r="B29" s="2427"/>
      <c r="D29" s="1265"/>
    </row>
    <row r="30" spans="1:4" x14ac:dyDescent="0.2">
      <c r="A30" s="2427"/>
      <c r="B30" s="2427"/>
      <c r="D30" s="1265"/>
    </row>
    <row r="32" spans="1:4" x14ac:dyDescent="0.2">
      <c r="A32" s="1257" t="s">
        <v>1233</v>
      </c>
      <c r="D32" s="1260">
        <f>SUM(D19:D30)</f>
        <v>2005231</v>
      </c>
    </row>
    <row r="33" spans="1:4" x14ac:dyDescent="0.2">
      <c r="D33" s="1266"/>
    </row>
    <row r="34" spans="1:4" x14ac:dyDescent="0.2">
      <c r="A34" s="317" t="s">
        <v>1232</v>
      </c>
    </row>
    <row r="35" spans="1:4" x14ac:dyDescent="0.2">
      <c r="A35" s="317" t="s">
        <v>1231</v>
      </c>
      <c r="B35" s="1255" t="s">
        <v>1230</v>
      </c>
      <c r="D35" s="1267">
        <v>2005231</v>
      </c>
    </row>
    <row r="37" spans="1:4" x14ac:dyDescent="0.2">
      <c r="A37" s="1257" t="s">
        <v>1229</v>
      </c>
    </row>
    <row r="39" spans="1:4" ht="13.35" customHeight="1" x14ac:dyDescent="0.2">
      <c r="A39" s="1264" t="s">
        <v>1228</v>
      </c>
    </row>
    <row r="40" spans="1:4" x14ac:dyDescent="0.2">
      <c r="A40" s="2427"/>
      <c r="B40" s="2427"/>
      <c r="D40" s="1265"/>
    </row>
    <row r="41" spans="1:4" x14ac:dyDescent="0.2">
      <c r="A41" s="2427"/>
      <c r="B41" s="2427"/>
      <c r="D41" s="1268"/>
    </row>
    <row r="42" spans="1:4" x14ac:dyDescent="0.2">
      <c r="A42" s="2427"/>
      <c r="B42" s="2427"/>
      <c r="D42" s="1268"/>
    </row>
    <row r="43" spans="1:4" x14ac:dyDescent="0.2">
      <c r="A43" s="2427"/>
      <c r="B43" s="2427"/>
      <c r="D43" s="1268"/>
    </row>
    <row r="44" spans="1:4" x14ac:dyDescent="0.2">
      <c r="A44" s="2427"/>
      <c r="B44" s="2427"/>
      <c r="D44" s="1268"/>
    </row>
    <row r="45" spans="1:4" x14ac:dyDescent="0.2">
      <c r="A45" s="2427"/>
      <c r="B45" s="2427"/>
      <c r="D45" s="1268"/>
    </row>
    <row r="47" spans="1:4" x14ac:dyDescent="0.2">
      <c r="B47" s="1269" t="s">
        <v>1227</v>
      </c>
      <c r="C47" s="1269"/>
      <c r="D47" s="1270">
        <f>SUM(D35:D45)</f>
        <v>2005231</v>
      </c>
    </row>
    <row r="49" spans="2:4" x14ac:dyDescent="0.2">
      <c r="B49" s="1269" t="s">
        <v>1226</v>
      </c>
      <c r="C49" s="1269"/>
      <c r="D49" s="1270">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J21" sqref="J2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9" t="str">
        <f>'Single Audit Cover'!A7</f>
        <v>Exceptional Learners</v>
      </c>
      <c r="C1" s="2432"/>
      <c r="D1" s="2432"/>
      <c r="E1" s="2432"/>
      <c r="F1" s="2432"/>
      <c r="G1" s="2432"/>
      <c r="H1" s="2432"/>
      <c r="I1" s="2432"/>
      <c r="J1" s="2432"/>
      <c r="K1" s="2432"/>
      <c r="L1" s="2432"/>
      <c r="M1" s="2432"/>
    </row>
    <row r="2" spans="2:14" ht="15" x14ac:dyDescent="0.2">
      <c r="B2" s="2433">
        <f>'Single Audit Cover'!E7</f>
        <v>34049801060</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2084</v>
      </c>
      <c r="C11" s="1335"/>
      <c r="D11" s="1336"/>
      <c r="E11" s="1337"/>
      <c r="F11" s="1337"/>
      <c r="G11" s="1337"/>
      <c r="H11" s="1337"/>
      <c r="I11" s="1337"/>
      <c r="J11" s="1337"/>
      <c r="K11" s="1337"/>
      <c r="L11" s="1337">
        <f>+G11+I11+K11</f>
        <v>0</v>
      </c>
      <c r="M11" s="1337"/>
    </row>
    <row r="12" spans="2:14" ht="20.100000000000001" customHeight="1" x14ac:dyDescent="0.2">
      <c r="B12" s="1334" t="s">
        <v>2085</v>
      </c>
      <c r="C12" s="1338"/>
      <c r="D12" s="1339"/>
      <c r="E12" s="1340"/>
      <c r="F12" s="1340"/>
      <c r="G12" s="1340"/>
      <c r="H12" s="1340"/>
      <c r="I12" s="1340"/>
      <c r="J12" s="1340"/>
      <c r="K12" s="1340"/>
      <c r="L12" s="1337">
        <f t="shared" ref="L12:L27" si="0">+G12+I12+K12</f>
        <v>0</v>
      </c>
      <c r="M12" s="1340"/>
    </row>
    <row r="13" spans="2:14" ht="20.100000000000001" customHeight="1" x14ac:dyDescent="0.2">
      <c r="B13" s="1334" t="s">
        <v>2086</v>
      </c>
      <c r="C13" s="1338"/>
      <c r="D13" s="1339"/>
      <c r="E13" s="1340"/>
      <c r="F13" s="1340"/>
      <c r="G13" s="1340"/>
      <c r="H13" s="1340"/>
      <c r="I13" s="1340"/>
      <c r="J13" s="1340"/>
      <c r="K13" s="1340"/>
      <c r="L13" s="1337">
        <f t="shared" si="0"/>
        <v>0</v>
      </c>
      <c r="M13" s="1340"/>
    </row>
    <row r="14" spans="2:14" ht="20.100000000000001" customHeight="1" x14ac:dyDescent="0.2">
      <c r="B14" s="1334" t="s">
        <v>2087</v>
      </c>
      <c r="C14" s="1338" t="s">
        <v>2101</v>
      </c>
      <c r="D14" s="1339" t="s">
        <v>2103</v>
      </c>
      <c r="E14" s="1340">
        <v>35202</v>
      </c>
      <c r="F14" s="1340">
        <v>5611</v>
      </c>
      <c r="G14" s="1340">
        <v>40813</v>
      </c>
      <c r="H14" s="1340">
        <v>26570</v>
      </c>
      <c r="I14" s="1340"/>
      <c r="J14" s="1340"/>
      <c r="K14" s="1340"/>
      <c r="L14" s="1337">
        <f t="shared" si="0"/>
        <v>40813</v>
      </c>
      <c r="M14" s="1340">
        <v>43454</v>
      </c>
    </row>
    <row r="15" spans="2:14" ht="20.100000000000001" customHeight="1" x14ac:dyDescent="0.2">
      <c r="B15" s="1334" t="s">
        <v>2087</v>
      </c>
      <c r="C15" s="1338" t="s">
        <v>2101</v>
      </c>
      <c r="D15" s="1339" t="s">
        <v>2104</v>
      </c>
      <c r="E15" s="1340"/>
      <c r="F15" s="1340">
        <v>23628</v>
      </c>
      <c r="G15" s="1340"/>
      <c r="H15" s="1340"/>
      <c r="I15" s="1340">
        <f>37801+9589</f>
        <v>47390</v>
      </c>
      <c r="J15" s="1340">
        <f>22619+9589</f>
        <v>32208</v>
      </c>
      <c r="K15" s="1340"/>
      <c r="L15" s="1337">
        <f t="shared" si="0"/>
        <v>47390</v>
      </c>
      <c r="M15" s="1340">
        <v>44517</v>
      </c>
    </row>
    <row r="16" spans="2:14" ht="20.100000000000001" customHeight="1" x14ac:dyDescent="0.2">
      <c r="B16" s="1334" t="s">
        <v>2088</v>
      </c>
      <c r="C16" s="1338" t="s">
        <v>2102</v>
      </c>
      <c r="D16" s="1339" t="s">
        <v>2105</v>
      </c>
      <c r="E16" s="1340">
        <v>1715896</v>
      </c>
      <c r="F16" s="1340">
        <v>250178</v>
      </c>
      <c r="G16" s="1340">
        <v>1966074</v>
      </c>
      <c r="H16" s="1340">
        <v>1333829</v>
      </c>
      <c r="I16" s="1340"/>
      <c r="J16" s="1340"/>
      <c r="K16" s="1340"/>
      <c r="L16" s="1337">
        <f t="shared" si="0"/>
        <v>1966074</v>
      </c>
      <c r="M16" s="1340">
        <v>2004707</v>
      </c>
    </row>
    <row r="17" spans="2:14" ht="20.100000000000001" customHeight="1" x14ac:dyDescent="0.2">
      <c r="B17" s="1334" t="s">
        <v>2089</v>
      </c>
      <c r="C17" s="1338" t="s">
        <v>2102</v>
      </c>
      <c r="D17" s="1339" t="s">
        <v>2106</v>
      </c>
      <c r="E17" s="1340"/>
      <c r="F17" s="1340">
        <v>1725814</v>
      </c>
      <c r="G17" s="1340"/>
      <c r="H17" s="1340"/>
      <c r="I17" s="1340">
        <v>2114534</v>
      </c>
      <c r="J17" s="1340">
        <v>1388729</v>
      </c>
      <c r="K17" s="1340"/>
      <c r="L17" s="1337">
        <f t="shared" si="0"/>
        <v>2114534</v>
      </c>
      <c r="M17" s="1340">
        <v>2122129</v>
      </c>
    </row>
    <row r="18" spans="2:14" ht="20.100000000000001" customHeight="1" x14ac:dyDescent="0.2">
      <c r="B18" s="1334" t="s">
        <v>2090</v>
      </c>
      <c r="C18" s="1338"/>
      <c r="D18" s="1339"/>
      <c r="E18" s="1340">
        <v>1751098</v>
      </c>
      <c r="F18" s="1340">
        <v>2005231</v>
      </c>
      <c r="G18" s="1340">
        <v>2006887</v>
      </c>
      <c r="H18" s="1340">
        <v>1360399</v>
      </c>
      <c r="I18" s="1340">
        <v>2161924</v>
      </c>
      <c r="J18" s="1340">
        <v>1420937</v>
      </c>
      <c r="K18" s="1340"/>
      <c r="L18" s="1337">
        <f t="shared" si="0"/>
        <v>4168811</v>
      </c>
      <c r="M18" s="1340"/>
    </row>
    <row r="19" spans="2:14" ht="20.100000000000001" customHeight="1" x14ac:dyDescent="0.2">
      <c r="B19" s="1334" t="s">
        <v>2091</v>
      </c>
      <c r="C19" s="1338"/>
      <c r="D19" s="1339"/>
      <c r="E19" s="1340">
        <v>1751098</v>
      </c>
      <c r="F19" s="1340">
        <v>2005231</v>
      </c>
      <c r="G19" s="1340">
        <v>2006887</v>
      </c>
      <c r="H19" s="1340">
        <v>1360399</v>
      </c>
      <c r="I19" s="1340">
        <v>2161924</v>
      </c>
      <c r="J19" s="1340">
        <v>1420937</v>
      </c>
      <c r="K19" s="1340"/>
      <c r="L19" s="1337">
        <f t="shared" si="0"/>
        <v>4168811</v>
      </c>
      <c r="M19" s="1340"/>
    </row>
    <row r="20" spans="2:14" ht="20.100000000000001" customHeight="1" x14ac:dyDescent="0.2">
      <c r="B20" s="1334" t="s">
        <v>2092</v>
      </c>
      <c r="C20" s="1338"/>
      <c r="D20" s="1339"/>
      <c r="E20" s="1340">
        <v>1751098</v>
      </c>
      <c r="F20" s="1340">
        <v>2005231</v>
      </c>
      <c r="G20" s="1340">
        <v>2006887</v>
      </c>
      <c r="H20" s="1340">
        <v>1360399</v>
      </c>
      <c r="I20" s="1340">
        <v>2161924</v>
      </c>
      <c r="J20" s="1340">
        <v>1420937</v>
      </c>
      <c r="K20" s="1340"/>
      <c r="L20" s="1337">
        <f t="shared" si="0"/>
        <v>4168811</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J23" sqref="J23"/>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9" t="str">
        <f>'Single Audit Cover'!A7</f>
        <v>Exceptional Learners</v>
      </c>
      <c r="C1" s="2432"/>
      <c r="D1" s="2432"/>
      <c r="E1" s="2432"/>
      <c r="F1" s="2432"/>
      <c r="G1" s="2432"/>
      <c r="H1" s="2432"/>
      <c r="I1" s="2432"/>
      <c r="J1" s="2432"/>
      <c r="K1" s="2432"/>
      <c r="L1" s="2432"/>
      <c r="M1" s="2432"/>
    </row>
    <row r="2" spans="2:14" ht="15" x14ac:dyDescent="0.2">
      <c r="B2" s="2433">
        <f>'Single Audit Cover'!E7</f>
        <v>34049801060</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2093</v>
      </c>
      <c r="C11" s="1335" t="s">
        <v>2100</v>
      </c>
      <c r="D11" s="1336" t="s">
        <v>2100</v>
      </c>
      <c r="E11" s="1337">
        <v>0</v>
      </c>
      <c r="F11" s="1337">
        <v>0</v>
      </c>
      <c r="G11" s="1337">
        <v>0</v>
      </c>
      <c r="H11" s="1337"/>
      <c r="I11" s="1337">
        <v>0</v>
      </c>
      <c r="J11" s="1337"/>
      <c r="K11" s="1337">
        <v>0</v>
      </c>
      <c r="L11" s="1337">
        <f>+G11+I11+K11</f>
        <v>0</v>
      </c>
      <c r="M11" s="1337"/>
    </row>
    <row r="12" spans="2:14" ht="20.100000000000001" customHeight="1" x14ac:dyDescent="0.2">
      <c r="B12" s="1334" t="s">
        <v>2094</v>
      </c>
      <c r="C12" s="1338" t="s">
        <v>2100</v>
      </c>
      <c r="D12" s="1339" t="s">
        <v>2100</v>
      </c>
      <c r="E12" s="1340">
        <v>0</v>
      </c>
      <c r="F12" s="1340">
        <v>0</v>
      </c>
      <c r="G12" s="1340">
        <v>0</v>
      </c>
      <c r="H12" s="1340"/>
      <c r="I12" s="1340">
        <v>0</v>
      </c>
      <c r="J12" s="1340"/>
      <c r="K12" s="1340">
        <v>0</v>
      </c>
      <c r="L12" s="1337">
        <f t="shared" ref="L12:L27" si="0">+G12+I12+K12</f>
        <v>0</v>
      </c>
      <c r="M12" s="1340"/>
    </row>
    <row r="13" spans="2:14" ht="20.100000000000001" customHeight="1" x14ac:dyDescent="0.2">
      <c r="B13" s="1334" t="s">
        <v>2095</v>
      </c>
      <c r="C13" s="1338" t="s">
        <v>2100</v>
      </c>
      <c r="D13" s="1339" t="s">
        <v>2100</v>
      </c>
      <c r="E13" s="1340">
        <v>0</v>
      </c>
      <c r="F13" s="1340">
        <v>0</v>
      </c>
      <c r="G13" s="1340">
        <v>0</v>
      </c>
      <c r="H13" s="1340"/>
      <c r="I13" s="1340">
        <v>0</v>
      </c>
      <c r="J13" s="1340"/>
      <c r="K13" s="1340">
        <v>0</v>
      </c>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2096</v>
      </c>
      <c r="C15" s="1338"/>
      <c r="D15" s="1339"/>
      <c r="E15" s="1340">
        <v>0</v>
      </c>
      <c r="F15" s="1340"/>
      <c r="G15" s="1340">
        <v>0</v>
      </c>
      <c r="H15" s="1340">
        <v>137671</v>
      </c>
      <c r="I15" s="1340"/>
      <c r="J15" s="1340">
        <v>134358</v>
      </c>
      <c r="K15" s="1340"/>
      <c r="L15" s="1337">
        <f t="shared" si="0"/>
        <v>0</v>
      </c>
      <c r="M15" s="1340"/>
    </row>
    <row r="16" spans="2:14" ht="20.100000000000001" customHeight="1" x14ac:dyDescent="0.2">
      <c r="B16" s="1334" t="s">
        <v>2097</v>
      </c>
      <c r="C16" s="1338"/>
      <c r="D16" s="1339"/>
      <c r="E16" s="1340">
        <v>0</v>
      </c>
      <c r="F16" s="1340"/>
      <c r="G16" s="1340">
        <v>0</v>
      </c>
      <c r="H16" s="1340">
        <v>463050</v>
      </c>
      <c r="I16" s="1340"/>
      <c r="J16" s="1340">
        <v>481910</v>
      </c>
      <c r="K16" s="1340"/>
      <c r="L16" s="1337">
        <f t="shared" si="0"/>
        <v>0</v>
      </c>
      <c r="M16" s="1340"/>
    </row>
    <row r="17" spans="2:14" ht="20.100000000000001" customHeight="1" x14ac:dyDescent="0.2">
      <c r="B17" s="1334" t="s">
        <v>2107</v>
      </c>
      <c r="C17" s="1338"/>
      <c r="D17" s="1339"/>
      <c r="E17" s="1340">
        <v>0</v>
      </c>
      <c r="F17" s="1340"/>
      <c r="G17" s="1340">
        <v>0</v>
      </c>
      <c r="H17" s="1340">
        <v>512482</v>
      </c>
      <c r="I17" s="1340"/>
      <c r="J17" s="1340">
        <f>527686+9589</f>
        <v>537275</v>
      </c>
      <c r="K17" s="1340"/>
      <c r="L17" s="1337">
        <f t="shared" si="0"/>
        <v>0</v>
      </c>
      <c r="M17" s="1340"/>
    </row>
    <row r="18" spans="2:14" ht="20.100000000000001" customHeight="1" x14ac:dyDescent="0.2">
      <c r="B18" s="1334" t="s">
        <v>2098</v>
      </c>
      <c r="C18" s="1338"/>
      <c r="D18" s="1339"/>
      <c r="E18" s="1340">
        <v>0</v>
      </c>
      <c r="F18" s="1340"/>
      <c r="G18" s="1340">
        <v>0</v>
      </c>
      <c r="H18" s="1340">
        <v>247196</v>
      </c>
      <c r="I18" s="1340"/>
      <c r="J18" s="1340">
        <v>267394</v>
      </c>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t="s">
        <v>2099</v>
      </c>
      <c r="C20" s="1338"/>
      <c r="D20" s="1339"/>
      <c r="E20" s="1340"/>
      <c r="F20" s="1340"/>
      <c r="G20" s="1340"/>
      <c r="H20" s="1340">
        <v>1360399</v>
      </c>
      <c r="I20" s="1340"/>
      <c r="J20" s="1340">
        <f>1411348+9589</f>
        <v>1420937</v>
      </c>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9" colorId="8" zoomScale="110" zoomScaleNormal="110" workbookViewId="0">
      <selection activeCell="G127" sqref="G12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1168</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7" t="s">
        <v>1633</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313</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1323</v>
      </c>
      <c r="B70" s="2070"/>
      <c r="C70" s="2070"/>
      <c r="D70" s="2070"/>
      <c r="E70" s="2071"/>
      <c r="F70" s="2071"/>
      <c r="G70" s="2071"/>
      <c r="H70" s="2071"/>
      <c r="I70" s="20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1320</v>
      </c>
      <c r="B83" s="2072"/>
      <c r="C83" s="2072"/>
      <c r="D83" s="20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2068</v>
      </c>
      <c r="D114" s="20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1330</v>
      </c>
      <c r="D117" s="2065"/>
      <c r="E117" s="2066"/>
      <c r="F117" s="2066"/>
      <c r="G117" s="2066"/>
      <c r="H117" s="2066"/>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1903</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M17" sqref="M17"/>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7" t="str">
        <f>'Single Audit Cover'!A7</f>
        <v>Exceptional Learners</v>
      </c>
      <c r="B1" s="2437"/>
      <c r="C1" s="2437"/>
      <c r="D1" s="2437"/>
      <c r="E1" s="2437"/>
      <c r="F1" s="2437"/>
    </row>
    <row r="2" spans="1:7" ht="13.5" customHeight="1" x14ac:dyDescent="0.2">
      <c r="A2" s="2433">
        <f>'Single Audit Cover'!E7</f>
        <v>34049801060</v>
      </c>
      <c r="B2" s="2433"/>
      <c r="C2" s="2433"/>
      <c r="D2" s="2433"/>
      <c r="E2" s="2433"/>
      <c r="F2" s="2433"/>
      <c r="G2" s="1272"/>
    </row>
    <row r="3" spans="1:7" ht="15.75" customHeight="1" x14ac:dyDescent="0.2">
      <c r="A3" s="2438" t="s">
        <v>1271</v>
      </c>
      <c r="B3" s="2438"/>
      <c r="C3" s="2438"/>
      <c r="D3" s="2438"/>
      <c r="E3" s="2438"/>
      <c r="F3" s="2438"/>
    </row>
    <row r="4" spans="1:7" ht="13.5" customHeight="1" x14ac:dyDescent="0.2">
      <c r="A4" s="2439" t="str">
        <f>'Single Audit Cover'!A4</f>
        <v>Year Ending June 30, 2019</v>
      </c>
      <c r="B4" s="2439"/>
      <c r="C4" s="2439"/>
      <c r="D4" s="2439"/>
      <c r="E4" s="2439"/>
      <c r="F4" s="2439"/>
    </row>
    <row r="5" spans="1:7" ht="8.25" customHeight="1" x14ac:dyDescent="0.2">
      <c r="C5" s="317"/>
      <c r="D5" s="317"/>
    </row>
    <row r="6" spans="1:7" ht="13.5" customHeight="1" x14ac:dyDescent="0.2">
      <c r="A6" s="1273" t="s">
        <v>1728</v>
      </c>
      <c r="C6" s="317"/>
      <c r="D6" s="317"/>
    </row>
    <row r="7" spans="1:7" ht="60.95" customHeight="1" x14ac:dyDescent="0.2">
      <c r="A7" s="2436" t="s">
        <v>2108</v>
      </c>
      <c r="B7" s="2436"/>
      <c r="C7" s="2436"/>
      <c r="D7" s="2436"/>
      <c r="E7" s="2436"/>
      <c r="F7" s="2436"/>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2061</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6" t="s">
        <v>2109</v>
      </c>
      <c r="B13" s="2436"/>
      <c r="C13" s="2436"/>
      <c r="D13" s="2436"/>
      <c r="E13" s="2436"/>
      <c r="F13" s="2436"/>
    </row>
    <row r="14" spans="1:7" ht="9.75" customHeight="1" x14ac:dyDescent="0.2">
      <c r="C14" s="1257"/>
      <c r="D14" s="1257"/>
    </row>
    <row r="15" spans="1:7" ht="13.5" customHeight="1" x14ac:dyDescent="0.2">
      <c r="C15" s="1846" t="s">
        <v>1270</v>
      </c>
      <c r="D15" s="2441" t="s">
        <v>1269</v>
      </c>
      <c r="E15" s="2441"/>
      <c r="F15" s="2441"/>
    </row>
    <row r="16" spans="1:7" ht="13.5" customHeight="1" x14ac:dyDescent="0.2">
      <c r="A16" s="1279"/>
      <c r="B16" s="1273" t="s">
        <v>1268</v>
      </c>
      <c r="C16" s="1846" t="s">
        <v>1267</v>
      </c>
      <c r="D16" s="2442" t="s">
        <v>1588</v>
      </c>
      <c r="E16" s="2442"/>
      <c r="F16" s="2442"/>
    </row>
    <row r="17" spans="1:6" ht="20.45" customHeight="1" x14ac:dyDescent="0.2">
      <c r="A17" s="1280"/>
      <c r="B17" s="1281" t="s">
        <v>2110</v>
      </c>
      <c r="C17" s="1282" t="s">
        <v>2102</v>
      </c>
      <c r="D17" s="2440">
        <v>481910</v>
      </c>
      <c r="E17" s="2440"/>
      <c r="F17" s="2440"/>
    </row>
    <row r="18" spans="1:6" ht="20.65" customHeight="1" x14ac:dyDescent="0.2">
      <c r="A18" s="1280"/>
      <c r="B18" s="1281" t="s">
        <v>2111</v>
      </c>
      <c r="C18" s="1282" t="s">
        <v>2102</v>
      </c>
      <c r="D18" s="2440">
        <v>515978</v>
      </c>
      <c r="E18" s="2440"/>
      <c r="F18" s="2440"/>
    </row>
    <row r="19" spans="1:6" ht="20.65" customHeight="1" x14ac:dyDescent="0.2">
      <c r="A19" s="1280"/>
      <c r="B19" s="1281" t="s">
        <v>2112</v>
      </c>
      <c r="C19" s="1282" t="s">
        <v>2102</v>
      </c>
      <c r="D19" s="2440">
        <v>261324</v>
      </c>
      <c r="E19" s="2440"/>
      <c r="F19" s="2440"/>
    </row>
    <row r="20" spans="1:6" ht="20.65" customHeight="1" x14ac:dyDescent="0.2">
      <c r="A20" s="1280"/>
      <c r="B20" s="1281" t="s">
        <v>2113</v>
      </c>
      <c r="C20" s="1282" t="s">
        <v>2102</v>
      </c>
      <c r="D20" s="2440">
        <v>129517</v>
      </c>
      <c r="E20" s="2440"/>
      <c r="F20" s="2440"/>
    </row>
    <row r="21" spans="1:6" ht="20.65" customHeight="1" x14ac:dyDescent="0.2">
      <c r="A21" s="1280"/>
      <c r="B21" s="1281" t="s">
        <v>2114</v>
      </c>
      <c r="C21" s="1282" t="s">
        <v>2101</v>
      </c>
      <c r="D21" s="2440">
        <f>11708+9589</f>
        <v>21297</v>
      </c>
      <c r="E21" s="2440"/>
      <c r="F21" s="2440"/>
    </row>
    <row r="22" spans="1:6" ht="20.65" customHeight="1" x14ac:dyDescent="0.2">
      <c r="A22" s="1280"/>
      <c r="B22" s="1281" t="s">
        <v>2115</v>
      </c>
      <c r="C22" s="1282" t="s">
        <v>2101</v>
      </c>
      <c r="D22" s="2440">
        <v>6070</v>
      </c>
      <c r="E22" s="2440"/>
      <c r="F22" s="2440"/>
    </row>
    <row r="23" spans="1:6" ht="20.65" customHeight="1" x14ac:dyDescent="0.2">
      <c r="A23" s="1280"/>
      <c r="B23" s="1281" t="s">
        <v>2116</v>
      </c>
      <c r="C23" s="1282" t="s">
        <v>2101</v>
      </c>
      <c r="D23" s="2440">
        <v>4841</v>
      </c>
      <c r="E23" s="2440"/>
      <c r="F23" s="2440"/>
    </row>
    <row r="24" spans="1:6" ht="20.65" customHeight="1" x14ac:dyDescent="0.2">
      <c r="A24" s="1280"/>
      <c r="B24" s="1281"/>
      <c r="C24" s="1282"/>
      <c r="D24" s="2440"/>
      <c r="E24" s="2440"/>
      <c r="F24" s="2440"/>
    </row>
    <row r="25" spans="1:6" ht="20.65" customHeight="1" x14ac:dyDescent="0.2">
      <c r="A25" s="1280"/>
      <c r="B25" s="1281"/>
      <c r="C25" s="1282"/>
      <c r="D25" s="2440"/>
      <c r="E25" s="2440"/>
      <c r="F25" s="2440"/>
    </row>
    <row r="26" spans="1:6" ht="20.65" customHeight="1" x14ac:dyDescent="0.2">
      <c r="A26" s="1280"/>
      <c r="B26" s="1281"/>
      <c r="C26" s="1282"/>
      <c r="D26" s="2440"/>
      <c r="E26" s="2440"/>
      <c r="F26" s="2440"/>
    </row>
    <row r="27" spans="1:6" ht="20.65" customHeight="1" x14ac:dyDescent="0.2">
      <c r="A27" s="1280"/>
      <c r="B27" s="1281"/>
      <c r="C27" s="1282"/>
      <c r="D27" s="2440"/>
      <c r="E27" s="2440"/>
      <c r="F27" s="2440"/>
    </row>
    <row r="28" spans="1:6" ht="20.65" customHeight="1" x14ac:dyDescent="0.2">
      <c r="A28" s="1280"/>
      <c r="B28" s="1281"/>
      <c r="C28" s="1282"/>
      <c r="D28" s="2440"/>
      <c r="E28" s="2440"/>
      <c r="F28" s="2440"/>
    </row>
    <row r="29" spans="1:6" ht="20.65" customHeight="1" x14ac:dyDescent="0.2">
      <c r="A29" s="1280"/>
      <c r="B29" s="1281"/>
      <c r="C29" s="1282"/>
      <c r="D29" s="2440"/>
      <c r="E29" s="2440"/>
      <c r="F29" s="2440"/>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4" t="s">
        <v>2117</v>
      </c>
      <c r="B32" s="2444"/>
      <c r="C32" s="2444"/>
      <c r="D32" s="2444"/>
      <c r="E32" s="2444"/>
      <c r="F32" s="2444"/>
    </row>
    <row r="33" spans="1:6" ht="13.5" customHeight="1" x14ac:dyDescent="0.2">
      <c r="A33" s="328" t="s">
        <v>1434</v>
      </c>
      <c r="B33" s="328"/>
      <c r="C33" s="1285">
        <v>0</v>
      </c>
      <c r="D33" s="1903"/>
      <c r="E33" s="1283"/>
    </row>
    <row r="34" spans="1:6" ht="13.5" customHeight="1" x14ac:dyDescent="0.2">
      <c r="A34" s="328" t="s">
        <v>1835</v>
      </c>
      <c r="B34" s="328"/>
      <c r="C34" s="1286">
        <v>0</v>
      </c>
      <c r="D34" s="1903" t="s">
        <v>1589</v>
      </c>
      <c r="E34" s="2445">
        <f>+C33+C34</f>
        <v>0</v>
      </c>
      <c r="F34" s="2446"/>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t="s">
        <v>383</v>
      </c>
      <c r="D38" s="1903"/>
      <c r="E38" s="1283"/>
    </row>
    <row r="39" spans="1:6" ht="14.25" customHeight="1" x14ac:dyDescent="0.2">
      <c r="A39" s="328"/>
      <c r="B39" s="328" t="s">
        <v>1436</v>
      </c>
      <c r="C39" s="1289" t="s">
        <v>383</v>
      </c>
      <c r="D39" s="1903"/>
      <c r="E39" s="1283"/>
    </row>
    <row r="40" spans="1:6" ht="14.25" customHeight="1" x14ac:dyDescent="0.2">
      <c r="A40" s="328"/>
      <c r="B40" s="328" t="s">
        <v>1437</v>
      </c>
      <c r="C40" s="1289" t="s">
        <v>383</v>
      </c>
      <c r="D40" s="1903"/>
      <c r="E40" s="1283"/>
    </row>
    <row r="41" spans="1:6" ht="14.25" customHeight="1" x14ac:dyDescent="0.2">
      <c r="A41" s="328"/>
      <c r="B41" s="328" t="s">
        <v>1438</v>
      </c>
      <c r="C41" s="1289" t="s">
        <v>383</v>
      </c>
      <c r="D41" s="1903"/>
      <c r="E41" s="1283"/>
    </row>
    <row r="42" spans="1:6" ht="14.25" customHeight="1" x14ac:dyDescent="0.2">
      <c r="A42" s="328" t="s">
        <v>1439</v>
      </c>
      <c r="B42" s="328"/>
      <c r="C42" s="1901" t="s">
        <v>383</v>
      </c>
      <c r="D42" s="1903"/>
      <c r="E42" s="1283"/>
    </row>
    <row r="43" spans="1:6" ht="14.25" customHeight="1" x14ac:dyDescent="0.2">
      <c r="A43" s="328" t="s">
        <v>1440</v>
      </c>
      <c r="B43" s="328"/>
      <c r="C43" s="1290" t="s">
        <v>383</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7" t="s">
        <v>1590</v>
      </c>
      <c r="C49" s="2447"/>
      <c r="D49" s="2447"/>
      <c r="E49" s="1396"/>
    </row>
    <row r="50" spans="1:5" s="1297" customFormat="1" ht="3.75" customHeight="1" x14ac:dyDescent="0.2">
      <c r="A50" s="1296"/>
      <c r="B50" s="1845"/>
      <c r="C50" s="1845"/>
      <c r="D50" s="1845"/>
      <c r="E50" s="1396"/>
    </row>
    <row r="51" spans="1:5" s="1297" customFormat="1" ht="20.25" customHeight="1" x14ac:dyDescent="0.2">
      <c r="A51" s="1298">
        <v>6</v>
      </c>
      <c r="B51" s="2443" t="s">
        <v>1551</v>
      </c>
      <c r="C51" s="2443"/>
      <c r="D51" s="2443"/>
    </row>
    <row r="52" spans="1:5" ht="14.25" customHeight="1" x14ac:dyDescent="0.2">
      <c r="A52" s="1298"/>
      <c r="B52" s="2443"/>
      <c r="C52" s="2443"/>
      <c r="D52" s="2443"/>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0" zoomScale="110" zoomScaleNormal="110" workbookViewId="0">
      <selection activeCell="D46" sqref="D46"/>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2" t="str">
        <f>'Single Audit Cover'!A7</f>
        <v>Exceptional Learners</v>
      </c>
      <c r="C1" s="2453"/>
      <c r="D1" s="2453"/>
      <c r="E1" s="2453"/>
      <c r="F1" s="2453"/>
      <c r="G1" s="2453"/>
      <c r="H1" s="2453"/>
      <c r="I1" s="2453"/>
      <c r="J1" s="1406"/>
    </row>
    <row r="2" spans="2:10" s="317" customFormat="1" ht="12.75" customHeight="1" x14ac:dyDescent="0.2">
      <c r="B2" s="2454">
        <f>'Single Audit Cover'!E7</f>
        <v>34049801060</v>
      </c>
      <c r="C2" s="2455"/>
      <c r="D2" s="2455"/>
      <c r="E2" s="2455"/>
      <c r="F2" s="2455"/>
      <c r="G2" s="2455"/>
      <c r="H2" s="2455"/>
      <c r="I2" s="2455"/>
      <c r="J2" s="1406"/>
    </row>
    <row r="3" spans="2:10" s="317" customFormat="1" ht="12.75" customHeight="1" x14ac:dyDescent="0.2">
      <c r="B3" s="2456" t="s">
        <v>1285</v>
      </c>
      <c r="C3" s="2457"/>
      <c r="D3" s="2457"/>
      <c r="E3" s="2457"/>
      <c r="F3" s="2457"/>
      <c r="G3" s="2457"/>
      <c r="H3" s="2457"/>
      <c r="I3" s="2457"/>
      <c r="J3" s="1407"/>
    </row>
    <row r="4" spans="2:10" s="317" customFormat="1" ht="12.75" customHeight="1" x14ac:dyDescent="0.2">
      <c r="B4" s="2456" t="str">
        <f>'Single Audit Cover'!A4</f>
        <v>Year Ending June 30, 2019</v>
      </c>
      <c r="C4" s="2457"/>
      <c r="D4" s="2457"/>
      <c r="E4" s="2457"/>
      <c r="F4" s="2457"/>
      <c r="G4" s="2457"/>
      <c r="H4" s="2457"/>
      <c r="I4" s="2457"/>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6" t="s">
        <v>1284</v>
      </c>
      <c r="C7" s="2457"/>
      <c r="D7" s="2457"/>
      <c r="E7" s="2457"/>
      <c r="F7" s="2457"/>
      <c r="G7" s="2457"/>
      <c r="H7" s="2457"/>
      <c r="I7" s="2457"/>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8" t="s">
        <v>1164</v>
      </c>
      <c r="D11" s="2458"/>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2061</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2061</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2061</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2061</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2061</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9" t="s">
        <v>2118</v>
      </c>
      <c r="E29" s="2459"/>
      <c r="F29" s="2459"/>
      <c r="G29" s="2459"/>
      <c r="H29" s="2459"/>
      <c r="I29" s="2459"/>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2061</v>
      </c>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60" t="s">
        <v>1748</v>
      </c>
      <c r="D37" s="2461"/>
      <c r="E37" s="2461"/>
      <c r="F37" s="2462"/>
      <c r="G37" s="2460" t="s">
        <v>1592</v>
      </c>
      <c r="H37" s="2461"/>
      <c r="I37" s="2462"/>
    </row>
    <row r="38" spans="2:9" ht="16.5" customHeight="1" x14ac:dyDescent="0.2">
      <c r="B38" s="1428" t="s">
        <v>2101</v>
      </c>
      <c r="C38" s="2448" t="s">
        <v>2119</v>
      </c>
      <c r="D38" s="2449"/>
      <c r="E38" s="2449"/>
      <c r="F38" s="2450"/>
      <c r="G38" s="2463">
        <f>37801+9589</f>
        <v>47390</v>
      </c>
      <c r="H38" s="2464"/>
      <c r="I38" s="2465"/>
    </row>
    <row r="39" spans="2:9" ht="16.5" customHeight="1" x14ac:dyDescent="0.2">
      <c r="B39" s="1428" t="s">
        <v>2102</v>
      </c>
      <c r="C39" s="2448" t="s">
        <v>2120</v>
      </c>
      <c r="D39" s="2449"/>
      <c r="E39" s="2449"/>
      <c r="F39" s="2450"/>
      <c r="G39" s="2451">
        <v>2114534</v>
      </c>
      <c r="H39" s="2451"/>
      <c r="I39" s="2451"/>
    </row>
    <row r="40" spans="2:9" ht="16.5" customHeight="1" x14ac:dyDescent="0.2">
      <c r="B40" s="1428"/>
      <c r="C40" s="2448"/>
      <c r="D40" s="2449"/>
      <c r="E40" s="2449"/>
      <c r="F40" s="2450"/>
      <c r="G40" s="2451"/>
      <c r="H40" s="2451"/>
      <c r="I40" s="2451"/>
    </row>
    <row r="41" spans="2:9" ht="16.5" customHeight="1" x14ac:dyDescent="0.2">
      <c r="B41" s="1428"/>
      <c r="C41" s="2448"/>
      <c r="D41" s="2449"/>
      <c r="E41" s="2449"/>
      <c r="F41" s="2450"/>
      <c r="G41" s="2451"/>
      <c r="H41" s="2451"/>
      <c r="I41" s="2451"/>
    </row>
    <row r="42" spans="2:9" ht="16.5" customHeight="1" x14ac:dyDescent="0.2">
      <c r="B42" s="1428"/>
      <c r="C42" s="2448"/>
      <c r="D42" s="2449"/>
      <c r="E42" s="2449"/>
      <c r="F42" s="2450"/>
      <c r="G42" s="2451"/>
      <c r="H42" s="2451"/>
      <c r="I42" s="2451"/>
    </row>
    <row r="43" spans="2:9" ht="16.5" customHeight="1" x14ac:dyDescent="0.2">
      <c r="B43" s="1428"/>
      <c r="C43" s="2466" t="s">
        <v>1593</v>
      </c>
      <c r="D43" s="2467"/>
      <c r="E43" s="2467"/>
      <c r="F43" s="2468"/>
      <c r="G43" s="2469">
        <f>SUM(G38:I42)</f>
        <v>2161924</v>
      </c>
      <c r="H43" s="2469"/>
      <c r="I43" s="2469"/>
    </row>
    <row r="44" spans="2:9" ht="12.75" customHeight="1" x14ac:dyDescent="0.2"/>
    <row r="45" spans="2:9" ht="12.75" customHeight="1" x14ac:dyDescent="0.2">
      <c r="B45" s="1419" t="s">
        <v>1838</v>
      </c>
      <c r="D45" s="2470">
        <v>2161924</v>
      </c>
      <c r="E45" s="2471"/>
    </row>
    <row r="46" spans="2:9" ht="5.25" customHeight="1" x14ac:dyDescent="0.2">
      <c r="B46" s="1429"/>
      <c r="D46" s="1430"/>
      <c r="E46" s="1431"/>
    </row>
    <row r="47" spans="2:9" ht="12.75" customHeight="1" x14ac:dyDescent="0.2">
      <c r="B47" s="1297" t="s">
        <v>1594</v>
      </c>
      <c r="C47" s="1297"/>
      <c r="D47" s="1432">
        <f>+G43/D45</f>
        <v>1</v>
      </c>
      <c r="E47" s="1433"/>
      <c r="F47" s="1434"/>
      <c r="I47" s="1435"/>
    </row>
    <row r="48" spans="2:9" ht="9.9499999999999993" customHeight="1" x14ac:dyDescent="0.2"/>
    <row r="49" spans="1:9" x14ac:dyDescent="0.2">
      <c r="B49" s="1365" t="s">
        <v>1273</v>
      </c>
      <c r="C49" s="1279"/>
      <c r="D49" s="1279"/>
      <c r="E49" s="2472">
        <v>750000</v>
      </c>
      <c r="F49" s="2472"/>
      <c r="G49" s="2472"/>
      <c r="H49" s="322"/>
    </row>
    <row r="51" spans="1:9" ht="13.5" customHeight="1" x14ac:dyDescent="0.2">
      <c r="B51" s="1365" t="s">
        <v>1272</v>
      </c>
      <c r="C51" s="1279"/>
      <c r="E51" s="1422"/>
      <c r="F51" s="1297" t="s">
        <v>885</v>
      </c>
      <c r="G51" s="1422" t="s">
        <v>2122</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2" t="str">
        <f>'Single Audit Cover'!A7</f>
        <v>Exceptional Learners</v>
      </c>
      <c r="C1" s="2452"/>
      <c r="D1" s="2452"/>
      <c r="E1" s="2452"/>
      <c r="F1" s="2452"/>
      <c r="G1" s="2452"/>
      <c r="H1" s="2452"/>
      <c r="I1" s="2452"/>
      <c r="J1" s="2452"/>
      <c r="K1" s="2452"/>
      <c r="L1" s="1371"/>
      <c r="M1" s="1371"/>
    </row>
    <row r="2" spans="1:13" ht="12" customHeight="1" x14ac:dyDescent="0.2">
      <c r="B2" s="2454">
        <f>'Single Audit Cover'!E7</f>
        <v>34049801060</v>
      </c>
      <c r="C2" s="2454"/>
      <c r="D2" s="2454"/>
      <c r="E2" s="2454"/>
      <c r="F2" s="2454"/>
      <c r="G2" s="2454"/>
      <c r="H2" s="2454"/>
      <c r="I2" s="2454"/>
      <c r="J2" s="2454"/>
      <c r="K2" s="2454"/>
      <c r="L2" s="1372"/>
      <c r="M2" s="1373"/>
    </row>
    <row r="3" spans="1:13" ht="10.35" customHeight="1" x14ac:dyDescent="0.2">
      <c r="B3" s="2475" t="s">
        <v>1285</v>
      </c>
      <c r="C3" s="2475"/>
      <c r="D3" s="2475"/>
      <c r="E3" s="2475"/>
      <c r="F3" s="2475"/>
      <c r="G3" s="2475"/>
      <c r="H3" s="2475"/>
      <c r="I3" s="2475"/>
      <c r="J3" s="2475"/>
      <c r="K3" s="2475"/>
      <c r="L3" s="1374"/>
      <c r="M3" s="1374"/>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1988</v>
      </c>
      <c r="D10" s="1383" t="s">
        <v>2121</v>
      </c>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4"/>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78"/>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4"/>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3"/>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73"/>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1839</v>
      </c>
      <c r="C36" s="1297"/>
      <c r="L36" s="1378"/>
    </row>
    <row r="37" spans="1:13" ht="9.6" customHeight="1" x14ac:dyDescent="0.2">
      <c r="B37" s="1297" t="s">
        <v>1840</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D8" sqref="D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9" t="str">
        <f>'Single Audit Cover'!A7</f>
        <v>Exceptional Learners</v>
      </c>
      <c r="C1" s="2479"/>
      <c r="D1" s="2479"/>
      <c r="E1" s="2479"/>
      <c r="F1" s="2479"/>
      <c r="G1" s="2479"/>
      <c r="H1" s="2479"/>
      <c r="I1" s="2479"/>
      <c r="J1" s="2479"/>
      <c r="K1" s="2479"/>
      <c r="L1" s="1449"/>
    </row>
    <row r="2" spans="1:12" ht="12.75" customHeight="1" x14ac:dyDescent="0.2">
      <c r="B2" s="2480">
        <f>'Single Audit Cover'!E7</f>
        <v>34049801060</v>
      </c>
      <c r="C2" s="2480"/>
      <c r="D2" s="2480"/>
      <c r="E2" s="2480"/>
      <c r="F2" s="2480"/>
      <c r="G2" s="2480"/>
      <c r="H2" s="2480"/>
      <c r="I2" s="2480"/>
      <c r="J2" s="2480"/>
      <c r="K2" s="2480"/>
      <c r="L2" s="1450"/>
    </row>
    <row r="3" spans="1:12" ht="12.75" customHeight="1" x14ac:dyDescent="0.2">
      <c r="B3" s="2475" t="s">
        <v>1285</v>
      </c>
      <c r="C3" s="2475"/>
      <c r="D3" s="2475"/>
      <c r="E3" s="2475"/>
      <c r="F3" s="2475"/>
      <c r="G3" s="2475"/>
      <c r="H3" s="2475"/>
      <c r="I3" s="2475"/>
      <c r="J3" s="2475"/>
      <c r="K3" s="2475"/>
      <c r="L3" s="1374"/>
    </row>
    <row r="4" spans="1:12" ht="12.75" customHeight="1" x14ac:dyDescent="0.2">
      <c r="B4" s="2475" t="str">
        <f>'Single Audit Cover'!A4</f>
        <v>Year Ending June 30, 2019</v>
      </c>
      <c r="C4" s="2475"/>
      <c r="D4" s="2475"/>
      <c r="E4" s="2475"/>
      <c r="F4" s="2475"/>
      <c r="G4" s="2475"/>
      <c r="H4" s="2475"/>
      <c r="I4" s="2475"/>
      <c r="J4" s="2475"/>
      <c r="K4" s="2475"/>
      <c r="L4" s="1374"/>
    </row>
    <row r="5" spans="1:12" ht="5.25" customHeight="1" x14ac:dyDescent="0.2">
      <c r="B5" s="1257" t="s">
        <v>1169</v>
      </c>
      <c r="C5" s="1257"/>
      <c r="L5" s="322"/>
    </row>
    <row r="6" spans="1:12" ht="30.75" customHeight="1" x14ac:dyDescent="0.2">
      <c r="A6" s="322"/>
      <c r="B6" s="2481" t="s">
        <v>1308</v>
      </c>
      <c r="C6" s="2481"/>
      <c r="D6" s="2481"/>
      <c r="E6" s="2481"/>
      <c r="F6" s="2481"/>
      <c r="G6" s="2481"/>
      <c r="H6" s="2481"/>
      <c r="I6" s="2481"/>
      <c r="J6" s="2481"/>
      <c r="K6" s="2481"/>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1988</v>
      </c>
      <c r="D8" s="1452" t="s">
        <v>2121</v>
      </c>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9"/>
      <c r="G12" s="2459"/>
      <c r="H12" s="2459"/>
      <c r="I12" s="2459"/>
      <c r="J12" s="2459"/>
      <c r="K12" s="2459"/>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2"/>
      <c r="E14" s="2482"/>
      <c r="F14" s="2482"/>
      <c r="H14" s="1459" t="s">
        <v>1303</v>
      </c>
      <c r="I14" s="2483"/>
      <c r="J14" s="2483"/>
      <c r="K14" s="2483"/>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3"/>
      <c r="E16" s="2483"/>
      <c r="F16" s="2483"/>
      <c r="G16" s="2483"/>
      <c r="H16" s="2483"/>
      <c r="I16" s="2483"/>
      <c r="J16" s="2483"/>
      <c r="K16" s="2483"/>
      <c r="L16" s="322"/>
    </row>
    <row r="17" spans="2:12" ht="13.5" customHeight="1" x14ac:dyDescent="0.2">
      <c r="B17" s="1384" t="s">
        <v>1301</v>
      </c>
      <c r="C17" s="1384"/>
      <c r="D17" s="2484"/>
      <c r="E17" s="2484"/>
      <c r="F17" s="2484"/>
      <c r="G17" s="2484"/>
      <c r="H17" s="2484"/>
      <c r="I17" s="2484"/>
      <c r="J17" s="2484"/>
      <c r="K17" s="2484"/>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4"/>
      <c r="C20" s="2474"/>
      <c r="D20" s="2474"/>
      <c r="E20" s="2474"/>
      <c r="F20" s="2474"/>
      <c r="G20" s="2474"/>
      <c r="H20" s="2474"/>
      <c r="I20" s="2474"/>
      <c r="J20" s="2474"/>
      <c r="K20" s="247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D15" sqref="D1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2" t="str">
        <f>'Single Audit Cover'!A7</f>
        <v>Exceptional Learners</v>
      </c>
      <c r="C1" s="2452"/>
      <c r="D1" s="2452"/>
      <c r="E1" s="1469"/>
    </row>
    <row r="2" spans="2:5" s="1279" customFormat="1" ht="12.75" customHeight="1" x14ac:dyDescent="0.2">
      <c r="B2" s="2454">
        <f>'Single Audit Cover'!E7</f>
        <v>34049801060</v>
      </c>
      <c r="C2" s="2454"/>
      <c r="D2" s="2454"/>
      <c r="E2" s="1470"/>
    </row>
    <row r="3" spans="2:5" ht="12.75" customHeight="1" x14ac:dyDescent="0.2">
      <c r="B3" s="2475" t="s">
        <v>1763</v>
      </c>
      <c r="C3" s="2475"/>
      <c r="D3" s="2475"/>
      <c r="E3" s="1271"/>
    </row>
    <row r="4" spans="2:5" s="1279" customFormat="1" ht="12.75" customHeight="1" x14ac:dyDescent="0.2">
      <c r="B4" s="2485" t="str">
        <f>'Single Audit Cover'!A4</f>
        <v>Year Ending June 30, 2019</v>
      </c>
      <c r="C4" s="2485"/>
      <c r="D4" s="2485"/>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3.5" customHeight="1" x14ac:dyDescent="0.2">
      <c r="B7" s="1474"/>
      <c r="C7" s="324"/>
      <c r="D7" s="324"/>
      <c r="E7" s="324"/>
    </row>
    <row r="8" spans="2:5" ht="13.5" customHeight="1" x14ac:dyDescent="0.2">
      <c r="B8" s="1474" t="s">
        <v>2121</v>
      </c>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1766</v>
      </c>
    </row>
    <row r="46" spans="2:5" ht="12.2" customHeight="1" x14ac:dyDescent="0.2">
      <c r="B46" s="1483" t="s">
        <v>1767</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7" colorId="8" zoomScale="110" zoomScaleNormal="110" workbookViewId="0">
      <selection activeCell="H47" sqref="H4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386</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2">
        <f>ROUND(D10+F10+H10,5)</f>
        <v>0</v>
      </c>
      <c r="K10" s="222"/>
      <c r="L10" s="355"/>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6341367</v>
      </c>
      <c r="E16" s="356"/>
      <c r="F16" s="1733">
        <f>SUM('Acct Summary 7-8'!C17,'Acct Summary 7-8'!D17,'Acct Summary 7-8'!F17)</f>
        <v>6493571</v>
      </c>
      <c r="G16" s="356"/>
      <c r="H16" s="1733">
        <f>SUM(D16-F16)</f>
        <v>-152204</v>
      </c>
      <c r="I16" s="222"/>
      <c r="J16" s="1733">
        <f>SUM('Acct Summary 7-8'!C81,'Acct Summary 7-8'!D81,'Acct Summary 7-8'!F81,'Acct Summary 7-8'!I81)</f>
        <v>827749</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1554</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Exceptional Learners</v>
      </c>
      <c r="E7" s="391"/>
      <c r="G7" s="252"/>
      <c r="H7" s="387"/>
      <c r="I7" s="387"/>
      <c r="J7" s="387"/>
      <c r="K7" s="387"/>
      <c r="L7" s="329"/>
      <c r="M7" s="329"/>
      <c r="N7" s="329"/>
      <c r="O7" s="329"/>
      <c r="P7" s="329"/>
    </row>
    <row r="8" spans="1:18" ht="12.75" x14ac:dyDescent="0.2">
      <c r="A8" s="329"/>
      <c r="B8" s="329"/>
      <c r="C8" s="389" t="s">
        <v>1125</v>
      </c>
      <c r="D8" s="392">
        <f>COVER!A13</f>
        <v>34049801060</v>
      </c>
      <c r="E8" s="393"/>
      <c r="G8" s="329"/>
      <c r="H8" s="329"/>
      <c r="I8" s="329"/>
      <c r="J8" s="329"/>
      <c r="K8" s="329"/>
      <c r="L8" s="329"/>
      <c r="M8" s="329"/>
      <c r="N8" s="329"/>
      <c r="O8" s="329"/>
      <c r="P8" s="329"/>
    </row>
    <row r="9" spans="1:18" ht="12.75" x14ac:dyDescent="0.2">
      <c r="A9" s="329"/>
      <c r="B9" s="329"/>
      <c r="C9" s="389" t="s">
        <v>713</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827749</v>
      </c>
      <c r="I12" s="404"/>
      <c r="J12" s="404"/>
      <c r="K12" s="405">
        <f>TRUNC((H12/H13*100000),5)/100000</f>
        <v>0.13053163449999999</v>
      </c>
      <c r="L12" s="406"/>
      <c r="M12" s="360" t="s">
        <v>1144</v>
      </c>
      <c r="N12" s="360"/>
      <c r="O12" s="407">
        <v>0.35</v>
      </c>
      <c r="P12" s="218"/>
      <c r="Q12" s="218"/>
    </row>
    <row r="13" spans="1:18" s="408" customFormat="1" ht="12.75" x14ac:dyDescent="0.2">
      <c r="A13" s="218"/>
      <c r="B13" s="401"/>
      <c r="C13" s="2100" t="s">
        <v>1324</v>
      </c>
      <c r="D13" s="2101"/>
      <c r="E13" s="218"/>
      <c r="F13" s="409" t="s">
        <v>793</v>
      </c>
      <c r="G13" s="402"/>
      <c r="H13" s="403">
        <f>SUM('Acct Summary 7-8'!C8+'Acct Summary 7-8'!D8+'Acct Summary 7-8'!F8+'Acct Summary 7-8'!I8)+H14</f>
        <v>6341367</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6493571</v>
      </c>
      <c r="I17" s="404"/>
      <c r="J17" s="416"/>
      <c r="K17" s="405">
        <f>TRUNC((H17/H18*100000),5)/100000</f>
        <v>1.0240017648999999</v>
      </c>
      <c r="L17" s="406"/>
      <c r="M17" s="417" t="s">
        <v>1171</v>
      </c>
      <c r="O17" s="418" t="str">
        <f>IF(AND(O16="2", J20 &gt; 2),"1",IF(AND(O16 = "1", J20 &gt; 2),"2",IF(AND(O16="1", J20 &gt;1),"1","0")))</f>
        <v>0</v>
      </c>
      <c r="P17" s="218"/>
    </row>
    <row r="18" spans="1:18" s="408" customFormat="1" ht="11.25" x14ac:dyDescent="0.2">
      <c r="A18" s="218"/>
      <c r="B18" s="401"/>
      <c r="C18" s="2100" t="s">
        <v>1317</v>
      </c>
      <c r="D18" s="2101"/>
      <c r="E18" s="218"/>
      <c r="F18" s="419" t="s">
        <v>794</v>
      </c>
      <c r="G18" s="402"/>
      <c r="H18" s="403">
        <f>SUM('Acct Summary 7-8'!C8+'Acct Summary 7-8'!D8+'Acct Summary 7-8'!F8+'Acct Summary 7-8'!I8)+H19</f>
        <v>6341367</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1.2720578</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097" t="s">
        <v>1412</v>
      </c>
      <c r="D24" s="2097"/>
      <c r="E24" s="218"/>
      <c r="F24" s="218" t="s">
        <v>445</v>
      </c>
      <c r="G24" s="402"/>
      <c r="H24" s="403">
        <f>SUM('Assets-Liab 5-6'!C4+'Assets-Liab 5-6'!D4+'Assets-Liab 5-6'!F4+'Assets-Liab 5-6'!I4+'Assets-Liab 5-6'!C5+'Assets-Liab 5-6'!D5+'Assets-Liab 5-6'!F5+'Assets-Liab 5-6'!I5)</f>
        <v>827749</v>
      </c>
      <c r="I24" s="422"/>
      <c r="J24" s="422"/>
      <c r="K24" s="423">
        <f>TRUNC(((H24/H25*100000)/100000),2)</f>
        <v>45.88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18037.697219999998</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5" activePane="bottomLeft" state="frozen"/>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7" t="s">
        <v>973</v>
      </c>
      <c r="B3" s="2108"/>
      <c r="C3" s="1559"/>
      <c r="D3" s="1560"/>
      <c r="E3" s="1560"/>
      <c r="F3" s="1560"/>
      <c r="G3" s="1560"/>
      <c r="H3" s="1560"/>
      <c r="I3" s="1560"/>
      <c r="J3" s="1560"/>
      <c r="K3" s="1560"/>
      <c r="L3" s="1560"/>
      <c r="M3" s="1561"/>
      <c r="N3" s="1562"/>
    </row>
    <row r="4" spans="1:14" ht="13.5" customHeight="1" x14ac:dyDescent="0.2">
      <c r="A4" s="463" t="s">
        <v>1651</v>
      </c>
      <c r="B4" s="464"/>
      <c r="C4" s="465">
        <v>625571</v>
      </c>
      <c r="D4" s="466">
        <v>202178</v>
      </c>
      <c r="E4" s="466"/>
      <c r="F4" s="466"/>
      <c r="G4" s="466">
        <v>228018</v>
      </c>
      <c r="H4" s="466"/>
      <c r="I4" s="466"/>
      <c r="J4" s="467"/>
      <c r="K4" s="466"/>
      <c r="L4" s="466"/>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625571</v>
      </c>
      <c r="D13" s="1737">
        <f t="shared" ref="D13:L13" si="0">SUM(D4:D12)</f>
        <v>202178</v>
      </c>
      <c r="E13" s="1737">
        <f t="shared" si="0"/>
        <v>0</v>
      </c>
      <c r="F13" s="1737">
        <f t="shared" si="0"/>
        <v>0</v>
      </c>
      <c r="G13" s="1737">
        <f t="shared" si="0"/>
        <v>228018</v>
      </c>
      <c r="H13" s="1737">
        <f t="shared" si="0"/>
        <v>0</v>
      </c>
      <c r="I13" s="1737">
        <f t="shared" si="0"/>
        <v>0</v>
      </c>
      <c r="J13" s="1737">
        <f t="shared" si="0"/>
        <v>0</v>
      </c>
      <c r="K13" s="1737">
        <f t="shared" si="0"/>
        <v>0</v>
      </c>
      <c r="L13" s="1737">
        <f t="shared" si="0"/>
        <v>0</v>
      </c>
      <c r="M13" s="468"/>
      <c r="N13" s="469"/>
    </row>
    <row r="14" spans="1:14" ht="18" customHeight="1" thickTop="1" x14ac:dyDescent="0.2">
      <c r="A14" s="2109" t="s">
        <v>147</v>
      </c>
      <c r="B14" s="211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c r="N16" s="484"/>
    </row>
    <row r="17" spans="1:14" s="485" customFormat="1" ht="12.75" customHeight="1" x14ac:dyDescent="0.2">
      <c r="A17" s="482" t="s">
        <v>1403</v>
      </c>
      <c r="B17" s="483">
        <v>230</v>
      </c>
      <c r="C17" s="477"/>
      <c r="D17" s="477"/>
      <c r="E17" s="477"/>
      <c r="F17" s="477"/>
      <c r="G17" s="477"/>
      <c r="H17" s="477"/>
      <c r="I17" s="477"/>
      <c r="J17" s="477"/>
      <c r="K17" s="477"/>
      <c r="L17" s="477"/>
      <c r="M17" s="467"/>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370426</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370426</v>
      </c>
      <c r="N23" s="1688">
        <f>SUM(N21:N22)</f>
        <v>0</v>
      </c>
    </row>
    <row r="24" spans="1:14" ht="18" customHeight="1" thickTop="1" x14ac:dyDescent="0.2">
      <c r="A24" s="2111" t="s">
        <v>598</v>
      </c>
      <c r="B24" s="2112"/>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0</v>
      </c>
      <c r="M34" s="468"/>
      <c r="N34" s="480"/>
    </row>
    <row r="35" spans="1:14" ht="18" customHeight="1" thickTop="1" x14ac:dyDescent="0.2">
      <c r="A35" s="2113" t="s">
        <v>529</v>
      </c>
      <c r="B35" s="211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625571</v>
      </c>
      <c r="D39" s="466">
        <v>202178</v>
      </c>
      <c r="E39" s="466"/>
      <c r="F39" s="466"/>
      <c r="G39" s="466">
        <v>228018</v>
      </c>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370426</v>
      </c>
      <c r="N40" s="497"/>
    </row>
    <row r="41" spans="1:14" ht="13.5" customHeight="1" thickBot="1" x14ac:dyDescent="0.25">
      <c r="A41" s="1736" t="s">
        <v>655</v>
      </c>
      <c r="B41" s="1706"/>
      <c r="C41" s="1688">
        <f>(SUM(C34,C37,C38,C39))</f>
        <v>625571</v>
      </c>
      <c r="D41" s="1688">
        <f t="shared" ref="D41:L41" si="2">SUM(D34,D37,D38:D39)</f>
        <v>202178</v>
      </c>
      <c r="E41" s="1688">
        <f t="shared" si="2"/>
        <v>0</v>
      </c>
      <c r="F41" s="1688">
        <f t="shared" si="2"/>
        <v>0</v>
      </c>
      <c r="G41" s="1688">
        <f t="shared" si="2"/>
        <v>228018</v>
      </c>
      <c r="H41" s="1688">
        <f t="shared" si="2"/>
        <v>0</v>
      </c>
      <c r="I41" s="1688">
        <f t="shared" si="2"/>
        <v>0</v>
      </c>
      <c r="J41" s="1688">
        <f t="shared" si="2"/>
        <v>0</v>
      </c>
      <c r="K41" s="1688">
        <f t="shared" si="2"/>
        <v>0</v>
      </c>
      <c r="L41" s="1688">
        <f t="shared" si="2"/>
        <v>0</v>
      </c>
      <c r="M41" s="1688">
        <f>SUM(M40)</f>
        <v>370426</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5" t="s">
        <v>1175</v>
      </c>
      <c r="B3" s="2136"/>
      <c r="C3" s="1573"/>
      <c r="D3" s="1574"/>
      <c r="E3" s="1574"/>
      <c r="F3" s="1574"/>
      <c r="G3" s="1574"/>
      <c r="H3" s="1574"/>
      <c r="I3" s="1574"/>
      <c r="J3" s="1574"/>
      <c r="K3" s="1575"/>
      <c r="L3" s="506"/>
    </row>
    <row r="4" spans="1:13" ht="15.75" customHeight="1" x14ac:dyDescent="0.2">
      <c r="A4" s="1928" t="s">
        <v>1499</v>
      </c>
      <c r="B4" s="1929">
        <v>1000</v>
      </c>
      <c r="C4" s="1742">
        <f>'Revenues 9-14'!C109</f>
        <v>4040601</v>
      </c>
      <c r="D4" s="1742">
        <f>'Revenues 9-14'!D109</f>
        <v>200000</v>
      </c>
      <c r="E4" s="1742">
        <f>'Revenues 9-14'!E109</f>
        <v>0</v>
      </c>
      <c r="F4" s="1742">
        <f>'Revenues 9-14'!F109</f>
        <v>0</v>
      </c>
      <c r="G4" s="1742">
        <f>'Revenues 9-14'!G109</f>
        <v>400000</v>
      </c>
      <c r="H4" s="1742">
        <f>'Revenues 9-14'!H109</f>
        <v>0</v>
      </c>
      <c r="I4" s="1742">
        <f>'Revenues 9-14'!I109</f>
        <v>0</v>
      </c>
      <c r="J4" s="1742">
        <f>'Revenues 9-14'!J109</f>
        <v>0</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95535</v>
      </c>
      <c r="D6" s="1743">
        <f>'Revenues 9-14'!D170</f>
        <v>0</v>
      </c>
      <c r="E6" s="1743">
        <f>'Revenues 9-14'!E170</f>
        <v>0</v>
      </c>
      <c r="F6" s="1743">
        <f>'Revenues 9-14'!F170</f>
        <v>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2005231</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6141367</v>
      </c>
      <c r="D8" s="1688">
        <f t="shared" ref="D8:K8" si="0">SUM(D4:D7)</f>
        <v>200000</v>
      </c>
      <c r="E8" s="1688">
        <f t="shared" si="0"/>
        <v>0</v>
      </c>
      <c r="F8" s="1688">
        <f t="shared" si="0"/>
        <v>0</v>
      </c>
      <c r="G8" s="1688">
        <f t="shared" si="0"/>
        <v>400000</v>
      </c>
      <c r="H8" s="1688">
        <f t="shared" si="0"/>
        <v>0</v>
      </c>
      <c r="I8" s="1688">
        <f t="shared" si="0"/>
        <v>0</v>
      </c>
      <c r="J8" s="1688">
        <f t="shared" si="0"/>
        <v>0</v>
      </c>
      <c r="K8" s="1688">
        <f t="shared" si="0"/>
        <v>0</v>
      </c>
      <c r="L8" s="347"/>
    </row>
    <row r="9" spans="1:13" ht="15.75" thickTop="1" x14ac:dyDescent="0.2">
      <c r="A9" s="514" t="s">
        <v>1653</v>
      </c>
      <c r="B9" s="515">
        <v>3998</v>
      </c>
      <c r="C9" s="481">
        <v>812612</v>
      </c>
      <c r="D9" s="516"/>
      <c r="E9" s="481"/>
      <c r="F9" s="481"/>
      <c r="G9" s="517"/>
      <c r="H9" s="481"/>
      <c r="I9" s="509" t="s">
        <v>1169</v>
      </c>
      <c r="J9" s="478"/>
      <c r="K9" s="481"/>
      <c r="L9" s="347"/>
    </row>
    <row r="10" spans="1:13" s="519" customFormat="1" ht="13.5" thickBot="1" x14ac:dyDescent="0.25">
      <c r="A10" s="1736" t="s">
        <v>1173</v>
      </c>
      <c r="B10" s="1709"/>
      <c r="C10" s="1688">
        <f>SUM(C8:C9)</f>
        <v>6953979</v>
      </c>
      <c r="D10" s="1688">
        <f t="shared" ref="D10:K10" si="1">SUM(D8:D9)</f>
        <v>200000</v>
      </c>
      <c r="E10" s="1688">
        <f t="shared" si="1"/>
        <v>0</v>
      </c>
      <c r="F10" s="1688">
        <f t="shared" si="1"/>
        <v>0</v>
      </c>
      <c r="G10" s="1688">
        <f t="shared" si="1"/>
        <v>400000</v>
      </c>
      <c r="H10" s="1688">
        <f t="shared" si="1"/>
        <v>0</v>
      </c>
      <c r="I10" s="1688">
        <f t="shared" si="1"/>
        <v>0</v>
      </c>
      <c r="J10" s="1688">
        <f t="shared" si="1"/>
        <v>0</v>
      </c>
      <c r="K10" s="1688">
        <f t="shared" si="1"/>
        <v>0</v>
      </c>
      <c r="L10" s="518"/>
    </row>
    <row r="11" spans="1:13" s="519" customFormat="1" ht="16.7" customHeight="1" thickTop="1" x14ac:dyDescent="0.2">
      <c r="A11" s="2109" t="s">
        <v>1176</v>
      </c>
      <c r="B11" s="2110"/>
      <c r="C11" s="1570"/>
      <c r="D11" s="1571"/>
      <c r="E11" s="1571"/>
      <c r="F11" s="1571"/>
      <c r="G11" s="1571"/>
      <c r="H11" s="1571"/>
      <c r="I11" s="1571"/>
      <c r="J11" s="1571"/>
      <c r="K11" s="1572"/>
      <c r="L11" s="518"/>
    </row>
    <row r="12" spans="1:13" ht="15.75" customHeight="1" x14ac:dyDescent="0.2">
      <c r="A12" s="1576" t="s">
        <v>456</v>
      </c>
      <c r="B12" s="1578">
        <v>1000</v>
      </c>
      <c r="C12" s="1742">
        <f>'Expenditures 15-22'!K33</f>
        <v>1684849</v>
      </c>
      <c r="D12" s="520" t="s">
        <v>1169</v>
      </c>
      <c r="E12" s="468" t="s">
        <v>1169</v>
      </c>
      <c r="F12" s="468" t="s">
        <v>1169</v>
      </c>
      <c r="G12" s="1742">
        <f>'Expenditures 15-22'!K229</f>
        <v>83468</v>
      </c>
      <c r="H12" s="521"/>
      <c r="I12" s="468" t="s">
        <v>1169</v>
      </c>
      <c r="J12" s="468" t="s">
        <v>1169</v>
      </c>
      <c r="K12" s="521" t="s">
        <v>1169</v>
      </c>
      <c r="L12" s="347"/>
    </row>
    <row r="13" spans="1:13" ht="15.75" customHeight="1" x14ac:dyDescent="0.2">
      <c r="A13" s="1576" t="s">
        <v>457</v>
      </c>
      <c r="B13" s="1578">
        <v>2000</v>
      </c>
      <c r="C13" s="1743">
        <f>'Expenditures 15-22'!K74</f>
        <v>3367652</v>
      </c>
      <c r="D13" s="1743">
        <f>'Expenditures 15-22'!K129</f>
        <v>147410</v>
      </c>
      <c r="E13" s="469" t="s">
        <v>1169</v>
      </c>
      <c r="F13" s="1743">
        <f>'Expenditures 15-22'!K184</f>
        <v>0</v>
      </c>
      <c r="G13" s="1743">
        <f>'Expenditures 15-22'!K279</f>
        <v>219655</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1293660</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6346161</v>
      </c>
      <c r="D17" s="1688">
        <f t="shared" si="2"/>
        <v>147410</v>
      </c>
      <c r="E17" s="1688">
        <f t="shared" si="2"/>
        <v>0</v>
      </c>
      <c r="F17" s="1688">
        <f t="shared" si="2"/>
        <v>0</v>
      </c>
      <c r="G17" s="1688">
        <f t="shared" si="2"/>
        <v>303123</v>
      </c>
      <c r="H17" s="1688">
        <f t="shared" si="2"/>
        <v>0</v>
      </c>
      <c r="I17" s="468"/>
      <c r="J17" s="1688">
        <f>SUM(J12:J16)</f>
        <v>0</v>
      </c>
      <c r="K17" s="1688">
        <f>SUM(K12:K16)</f>
        <v>0</v>
      </c>
      <c r="L17" s="347"/>
    </row>
    <row r="18" spans="1:12" ht="15" customHeight="1" thickTop="1" x14ac:dyDescent="0.2">
      <c r="A18" s="1744" t="s">
        <v>1654</v>
      </c>
      <c r="B18" s="1745">
        <v>4180</v>
      </c>
      <c r="C18" s="1742">
        <f t="shared" ref="C18:H18" si="3">C9</f>
        <v>812612</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7158773</v>
      </c>
      <c r="D19" s="1688">
        <f t="shared" si="4"/>
        <v>147410</v>
      </c>
      <c r="E19" s="1688">
        <f t="shared" si="4"/>
        <v>0</v>
      </c>
      <c r="F19" s="1688">
        <f t="shared" si="4"/>
        <v>0</v>
      </c>
      <c r="G19" s="1688">
        <f t="shared" si="4"/>
        <v>303123</v>
      </c>
      <c r="H19" s="1688">
        <f t="shared" si="4"/>
        <v>0</v>
      </c>
      <c r="I19" s="468"/>
      <c r="J19" s="1688">
        <f>SUM(J17:J18)</f>
        <v>0</v>
      </c>
      <c r="K19" s="1688">
        <f>SUM(K17:K18)</f>
        <v>0</v>
      </c>
      <c r="L19" s="347"/>
    </row>
    <row r="20" spans="1:12" ht="16.5" thickTop="1" thickBot="1" x14ac:dyDescent="0.25">
      <c r="A20" s="2125" t="s">
        <v>1655</v>
      </c>
      <c r="B20" s="2126"/>
      <c r="C20" s="1746">
        <f>C8-C17</f>
        <v>-204794</v>
      </c>
      <c r="D20" s="1746">
        <f t="shared" ref="D20:K20" si="5">D8-D17</f>
        <v>52590</v>
      </c>
      <c r="E20" s="1746">
        <f t="shared" si="5"/>
        <v>0</v>
      </c>
      <c r="F20" s="1746">
        <f t="shared" si="5"/>
        <v>0</v>
      </c>
      <c r="G20" s="1746">
        <f t="shared" si="5"/>
        <v>96877</v>
      </c>
      <c r="H20" s="1746">
        <f t="shared" si="5"/>
        <v>0</v>
      </c>
      <c r="I20" s="1746">
        <f t="shared" si="5"/>
        <v>0</v>
      </c>
      <c r="J20" s="1746">
        <f t="shared" si="5"/>
        <v>0</v>
      </c>
      <c r="K20" s="1746">
        <f t="shared" si="5"/>
        <v>0</v>
      </c>
      <c r="L20" s="347"/>
    </row>
    <row r="21" spans="1:12" ht="16.7" customHeight="1" thickTop="1" x14ac:dyDescent="0.2">
      <c r="A21" s="2137" t="s">
        <v>595</v>
      </c>
      <c r="B21" s="2138"/>
      <c r="C21" s="1570"/>
      <c r="D21" s="1571"/>
      <c r="E21" s="1571"/>
      <c r="F21" s="1571"/>
      <c r="G21" s="1571"/>
      <c r="H21" s="1571"/>
      <c r="I21" s="1571"/>
      <c r="J21" s="1571"/>
      <c r="K21" s="1572"/>
      <c r="L21" s="524"/>
    </row>
    <row r="22" spans="1:12" ht="15.75" customHeight="1" collapsed="1" x14ac:dyDescent="0.2">
      <c r="A22" s="2133" t="s">
        <v>596</v>
      </c>
      <c r="B22" s="2134"/>
      <c r="C22" s="477"/>
      <c r="D22" s="477"/>
      <c r="E22" s="477"/>
      <c r="F22" s="477"/>
      <c r="G22" s="477"/>
      <c r="H22" s="477"/>
      <c r="I22" s="477"/>
      <c r="J22" s="477"/>
      <c r="K22" s="477"/>
      <c r="L22" s="347"/>
    </row>
    <row r="23" spans="1:12" s="485" customFormat="1" ht="15.75" customHeight="1" x14ac:dyDescent="0.2">
      <c r="A23" s="2129" t="s">
        <v>293</v>
      </c>
      <c r="B23" s="2130"/>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31" t="s">
        <v>981</v>
      </c>
      <c r="B32" s="2132"/>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9" t="s">
        <v>374</v>
      </c>
      <c r="B44" s="2140"/>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3">
        <f>D30</f>
        <v>0</v>
      </c>
      <c r="L52" s="524"/>
    </row>
    <row r="53" spans="1:12" s="485" customFormat="1" ht="26.25" x14ac:dyDescent="0.2">
      <c r="A53" s="1490" t="s">
        <v>1793</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5" t="s">
        <v>440</v>
      </c>
      <c r="B76" s="2116"/>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7" t="s">
        <v>1177</v>
      </c>
      <c r="B77" s="2118"/>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1" t="s">
        <v>597</v>
      </c>
      <c r="B78" s="2122"/>
      <c r="C78" s="1702">
        <f t="shared" ref="C78:K78" si="9">C20+C77</f>
        <v>-204794</v>
      </c>
      <c r="D78" s="1702">
        <f t="shared" si="9"/>
        <v>52590</v>
      </c>
      <c r="E78" s="1702">
        <f t="shared" si="9"/>
        <v>0</v>
      </c>
      <c r="F78" s="1702">
        <f t="shared" si="9"/>
        <v>0</v>
      </c>
      <c r="G78" s="1702">
        <f t="shared" si="9"/>
        <v>96877</v>
      </c>
      <c r="H78" s="1702">
        <f t="shared" si="9"/>
        <v>0</v>
      </c>
      <c r="I78" s="1702">
        <f t="shared" si="9"/>
        <v>0</v>
      </c>
      <c r="J78" s="1702">
        <f t="shared" si="9"/>
        <v>0</v>
      </c>
      <c r="K78" s="1702">
        <f t="shared" si="9"/>
        <v>0</v>
      </c>
      <c r="L78" s="533"/>
    </row>
    <row r="79" spans="1:12" ht="13.5" thickTop="1" x14ac:dyDescent="0.2">
      <c r="A79" s="1494" t="s">
        <v>1946</v>
      </c>
      <c r="B79" s="534"/>
      <c r="C79" s="478">
        <v>830365</v>
      </c>
      <c r="D79" s="535">
        <v>149588</v>
      </c>
      <c r="E79" s="535"/>
      <c r="F79" s="535"/>
      <c r="G79" s="535">
        <v>131141</v>
      </c>
      <c r="H79" s="535"/>
      <c r="I79" s="535"/>
      <c r="J79" s="535"/>
      <c r="K79" s="535"/>
      <c r="L79" s="347"/>
    </row>
    <row r="80" spans="1:12" x14ac:dyDescent="0.2">
      <c r="A80" s="2127" t="s">
        <v>1792</v>
      </c>
      <c r="B80" s="2128"/>
      <c r="C80" s="467"/>
      <c r="D80" s="467"/>
      <c r="E80" s="467"/>
      <c r="F80" s="467"/>
      <c r="G80" s="467"/>
      <c r="H80" s="467"/>
      <c r="I80" s="467"/>
      <c r="J80" s="467"/>
      <c r="K80" s="467"/>
      <c r="L80" s="347"/>
    </row>
    <row r="81" spans="1:12" ht="13.5" thickBot="1" x14ac:dyDescent="0.25">
      <c r="A81" s="2119" t="s">
        <v>1947</v>
      </c>
      <c r="B81" s="2120"/>
      <c r="C81" s="1688">
        <f>(SUM(C78:C80))</f>
        <v>625571</v>
      </c>
      <c r="D81" s="1688">
        <f>SUM(D78:D80)</f>
        <v>202178</v>
      </c>
      <c r="E81" s="1688">
        <f t="shared" ref="E81:K81" si="10">SUM(E78:E80)</f>
        <v>0</v>
      </c>
      <c r="F81" s="1688">
        <f t="shared" si="10"/>
        <v>0</v>
      </c>
      <c r="G81" s="1688">
        <f t="shared" si="10"/>
        <v>228018</v>
      </c>
      <c r="H81" s="1688">
        <f t="shared" si="10"/>
        <v>0</v>
      </c>
      <c r="I81" s="1688">
        <f t="shared" si="10"/>
        <v>0</v>
      </c>
      <c r="J81" s="1688">
        <f t="shared" si="10"/>
        <v>0</v>
      </c>
      <c r="K81" s="1688">
        <f t="shared" si="10"/>
        <v>0</v>
      </c>
      <c r="L81" s="347"/>
    </row>
    <row r="82" spans="1:12" ht="0.75" customHeight="1" thickTop="1" thickBot="1" x14ac:dyDescent="0.25">
      <c r="A82" s="536" t="s">
        <v>343</v>
      </c>
      <c r="B82" s="537"/>
      <c r="C82" s="538">
        <f>(C81-C79)</f>
        <v>-204794</v>
      </c>
      <c r="D82" s="538">
        <f t="shared" ref="D82:K82" si="11">(D81-D79)</f>
        <v>52590</v>
      </c>
      <c r="E82" s="538">
        <f t="shared" si="11"/>
        <v>0</v>
      </c>
      <c r="F82" s="538">
        <f t="shared" si="11"/>
        <v>0</v>
      </c>
      <c r="G82" s="538">
        <f t="shared" si="11"/>
        <v>96877</v>
      </c>
      <c r="H82" s="538">
        <f t="shared" si="11"/>
        <v>0</v>
      </c>
      <c r="I82" s="538">
        <f t="shared" si="11"/>
        <v>0</v>
      </c>
      <c r="J82" s="538">
        <f t="shared" si="11"/>
        <v>0</v>
      </c>
      <c r="K82" s="538">
        <f t="shared" si="11"/>
        <v>0</v>
      </c>
    </row>
    <row r="83" spans="1:12" ht="14.25" hidden="1" thickTop="1" thickBot="1" x14ac:dyDescent="0.25">
      <c r="A83" s="539" t="s">
        <v>344</v>
      </c>
      <c r="B83" s="464"/>
      <c r="C83" s="540">
        <f>C82/C81</f>
        <v>-0.32737131356792437</v>
      </c>
      <c r="D83" s="540">
        <f t="shared" ref="D83:K83" si="12">D82/D81</f>
        <v>0.26011732235950497</v>
      </c>
      <c r="E83" s="540" t="e">
        <f t="shared" si="12"/>
        <v>#DIV/0!</v>
      </c>
      <c r="F83" s="540" t="e">
        <f t="shared" si="12"/>
        <v>#DIV/0!</v>
      </c>
      <c r="G83" s="540">
        <f t="shared" si="12"/>
        <v>0.42486558078748171</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183" activePane="bottomLeft" state="frozen"/>
      <selection pane="bottomLeft" activeCell="C213" sqref="C21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1799</v>
      </c>
      <c r="B1" s="452"/>
      <c r="C1" s="453" t="s">
        <v>425</v>
      </c>
      <c r="D1" s="453" t="s">
        <v>426</v>
      </c>
      <c r="E1" s="453" t="s">
        <v>427</v>
      </c>
      <c r="F1" s="453" t="s">
        <v>428</v>
      </c>
      <c r="G1" s="453" t="s">
        <v>429</v>
      </c>
      <c r="H1" s="453" t="s">
        <v>430</v>
      </c>
      <c r="I1" s="453" t="s">
        <v>431</v>
      </c>
      <c r="J1" s="453" t="s">
        <v>432</v>
      </c>
      <c r="K1" s="453" t="s">
        <v>756</v>
      </c>
    </row>
    <row r="2" spans="1:12" ht="36" x14ac:dyDescent="0.2">
      <c r="A2" s="212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0</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4040601</v>
      </c>
      <c r="D104" s="466">
        <v>200000</v>
      </c>
      <c r="E104" s="481"/>
      <c r="F104" s="467"/>
      <c r="G104" s="467">
        <v>400000</v>
      </c>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c r="D107" s="466"/>
      <c r="E107" s="466"/>
      <c r="F107" s="466"/>
      <c r="G107" s="466"/>
      <c r="H107" s="466"/>
      <c r="I107" s="466"/>
      <c r="J107" s="467"/>
      <c r="K107" s="466"/>
    </row>
    <row r="108" spans="1:12" ht="12.75" customHeight="1" thickBot="1" x14ac:dyDescent="0.25">
      <c r="A108" s="1708" t="s">
        <v>487</v>
      </c>
      <c r="B108" s="1712"/>
      <c r="C108" s="1707">
        <f>SUM(C95:C107)</f>
        <v>4040601</v>
      </c>
      <c r="D108" s="1707">
        <f t="shared" ref="D108:K108" si="3">SUM(D95:D107)</f>
        <v>200000</v>
      </c>
      <c r="E108" s="1707">
        <f t="shared" si="3"/>
        <v>0</v>
      </c>
      <c r="F108" s="1707">
        <f t="shared" si="3"/>
        <v>0</v>
      </c>
      <c r="G108" s="1707">
        <f t="shared" si="3"/>
        <v>400000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4040601</v>
      </c>
      <c r="D109" s="1715">
        <f t="shared" si="4"/>
        <v>200000</v>
      </c>
      <c r="E109" s="1715">
        <f t="shared" si="4"/>
        <v>0</v>
      </c>
      <c r="F109" s="1715">
        <f t="shared" si="4"/>
        <v>0</v>
      </c>
      <c r="G109" s="1715">
        <f t="shared" si="4"/>
        <v>400000</v>
      </c>
      <c r="H109" s="1715">
        <f t="shared" si="4"/>
        <v>0</v>
      </c>
      <c r="I109" s="1715">
        <f t="shared" si="4"/>
        <v>0</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95535</v>
      </c>
      <c r="D117" s="481"/>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30" t="s">
        <v>1933</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95535</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3" t="s">
        <v>398</v>
      </c>
      <c r="B169" s="2144"/>
      <c r="C169" s="1722">
        <f t="shared" ref="C169:K169" si="6">SUM(C132,C141,C145,C146:C150,C155,C156:C167,C168)</f>
        <v>0</v>
      </c>
      <c r="D169" s="1722">
        <f t="shared" si="6"/>
        <v>0</v>
      </c>
      <c r="E169" s="1722">
        <f t="shared" si="6"/>
        <v>0</v>
      </c>
      <c r="F169" s="1722">
        <f t="shared" si="6"/>
        <v>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95535</v>
      </c>
      <c r="D170" s="1715">
        <f t="shared" si="7"/>
        <v>0</v>
      </c>
      <c r="E170" s="1715">
        <f t="shared" si="7"/>
        <v>0</v>
      </c>
      <c r="F170" s="1715">
        <f t="shared" si="7"/>
        <v>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5" t="s">
        <v>1492</v>
      </c>
      <c r="B172" s="214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9" t="s">
        <v>1665</v>
      </c>
      <c r="B175" s="2150"/>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3" t="s">
        <v>1664</v>
      </c>
      <c r="B176" s="215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1" t="s">
        <v>785</v>
      </c>
      <c r="B181" s="2152"/>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7" t="s">
        <v>1800</v>
      </c>
      <c r="B182" s="214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29239</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1975992</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2005231</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1934</v>
      </c>
      <c r="B261" s="470">
        <v>4981</v>
      </c>
      <c r="C261" s="575"/>
      <c r="D261" s="576"/>
      <c r="E261" s="468"/>
      <c r="F261" s="576"/>
      <c r="G261" s="576"/>
      <c r="H261" s="468"/>
      <c r="I261" s="468"/>
      <c r="J261" s="468"/>
      <c r="K261" s="468"/>
    </row>
    <row r="262" spans="1:11" ht="12.75" customHeight="1" thickTop="1" thickBot="1" x14ac:dyDescent="0.25">
      <c r="A262" s="1931" t="s">
        <v>1935</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2005231</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2005231</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6141367</v>
      </c>
      <c r="D268" s="1715">
        <f t="shared" si="12"/>
        <v>200000</v>
      </c>
      <c r="E268" s="1715">
        <f t="shared" si="12"/>
        <v>0</v>
      </c>
      <c r="F268" s="1715">
        <f t="shared" si="12"/>
        <v>0</v>
      </c>
      <c r="G268" s="1715">
        <f t="shared" si="12"/>
        <v>400000</v>
      </c>
      <c r="H268" s="1715">
        <f t="shared" si="12"/>
        <v>0</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pane="bottomLeft" activeCell="C9" sqref="C9"/>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3" t="s">
        <v>297</v>
      </c>
      <c r="B3" s="2164"/>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c r="D5" s="466"/>
      <c r="E5" s="466"/>
      <c r="F5" s="466"/>
      <c r="G5" s="466"/>
      <c r="H5" s="466"/>
      <c r="I5" s="467"/>
      <c r="J5" s="467"/>
      <c r="K5" s="1671">
        <f>SUM(C5:J5)</f>
        <v>0</v>
      </c>
      <c r="L5" s="466"/>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f>247211+321344+390173+160394</f>
        <v>1119122</v>
      </c>
      <c r="D8" s="466">
        <f>90466+124816</f>
        <v>215282</v>
      </c>
      <c r="E8" s="466">
        <f>3395+63817+7614+2</f>
        <v>74828</v>
      </c>
      <c r="F8" s="466">
        <f>17365+24672+63338+3306+30217+11550</f>
        <v>150448</v>
      </c>
      <c r="G8" s="466">
        <f>1729+1320+2180+97758</f>
        <v>102987</v>
      </c>
      <c r="H8" s="466">
        <f>5290+15244+1648</f>
        <v>22182</v>
      </c>
      <c r="I8" s="467"/>
      <c r="J8" s="467"/>
      <c r="K8" s="1671">
        <f t="shared" si="0"/>
        <v>1684849</v>
      </c>
      <c r="L8" s="466">
        <v>1837600</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c r="D14" s="466"/>
      <c r="E14" s="466"/>
      <c r="F14" s="466"/>
      <c r="G14" s="466"/>
      <c r="H14" s="466"/>
      <c r="I14" s="467"/>
      <c r="J14" s="467"/>
      <c r="K14" s="1671">
        <f t="shared" si="0"/>
        <v>0</v>
      </c>
      <c r="L14" s="466"/>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1119122</v>
      </c>
      <c r="D33" s="1670">
        <f t="shared" ref="D33:L33" si="1">SUM(D5:D32)</f>
        <v>215282</v>
      </c>
      <c r="E33" s="1670">
        <f t="shared" si="1"/>
        <v>74828</v>
      </c>
      <c r="F33" s="1670">
        <f t="shared" si="1"/>
        <v>150448</v>
      </c>
      <c r="G33" s="1670">
        <f t="shared" si="1"/>
        <v>102987</v>
      </c>
      <c r="H33" s="1670">
        <f t="shared" si="1"/>
        <v>22182</v>
      </c>
      <c r="I33" s="1670">
        <f t="shared" si="1"/>
        <v>0</v>
      </c>
      <c r="J33" s="1670">
        <f t="shared" si="1"/>
        <v>0</v>
      </c>
      <c r="K33" s="1670">
        <f t="shared" si="1"/>
        <v>1684849</v>
      </c>
      <c r="L33" s="1670">
        <f t="shared" si="1"/>
        <v>1837600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f>68275+123962+127705+1169255</f>
        <v>1489197</v>
      </c>
      <c r="D38" s="466">
        <f>3186+212643</f>
        <v>215829</v>
      </c>
      <c r="E38" s="466"/>
      <c r="F38" s="466"/>
      <c r="G38" s="466"/>
      <c r="H38" s="466"/>
      <c r="I38" s="467"/>
      <c r="J38" s="467"/>
      <c r="K38" s="1671">
        <f t="shared" si="2"/>
        <v>1705026</v>
      </c>
      <c r="L38" s="466">
        <v>1532400</v>
      </c>
    </row>
    <row r="39" spans="1:14" x14ac:dyDescent="0.2">
      <c r="A39" s="1504" t="s">
        <v>199</v>
      </c>
      <c r="B39" s="614">
        <v>2140</v>
      </c>
      <c r="C39" s="466">
        <f>487465</f>
        <v>487465</v>
      </c>
      <c r="D39" s="466">
        <f>7775</f>
        <v>7775</v>
      </c>
      <c r="E39" s="466"/>
      <c r="F39" s="466"/>
      <c r="G39" s="466"/>
      <c r="H39" s="466"/>
      <c r="I39" s="467"/>
      <c r="J39" s="467"/>
      <c r="K39" s="1671">
        <f t="shared" si="2"/>
        <v>495240</v>
      </c>
      <c r="L39" s="466">
        <v>554500</v>
      </c>
    </row>
    <row r="40" spans="1:14" x14ac:dyDescent="0.2">
      <c r="A40" s="1504" t="s">
        <v>200</v>
      </c>
      <c r="B40" s="614">
        <v>2150</v>
      </c>
      <c r="C40" s="466">
        <f>686938+96087</f>
        <v>783025</v>
      </c>
      <c r="D40" s="466">
        <f>10880</f>
        <v>10880</v>
      </c>
      <c r="E40" s="466"/>
      <c r="F40" s="466">
        <f>304</f>
        <v>304</v>
      </c>
      <c r="G40" s="466"/>
      <c r="H40" s="466"/>
      <c r="I40" s="467"/>
      <c r="J40" s="467"/>
      <c r="K40" s="1671">
        <f t="shared" si="2"/>
        <v>794209</v>
      </c>
      <c r="L40" s="466">
        <v>857400</v>
      </c>
    </row>
    <row r="41" spans="1:14" x14ac:dyDescent="0.2">
      <c r="A41" s="1504" t="s">
        <v>1669</v>
      </c>
      <c r="B41" s="614">
        <v>2190</v>
      </c>
      <c r="C41" s="466"/>
      <c r="D41" s="466"/>
      <c r="E41" s="466">
        <f>4753</f>
        <v>4753</v>
      </c>
      <c r="F41" s="466"/>
      <c r="G41" s="466"/>
      <c r="H41" s="466"/>
      <c r="I41" s="467"/>
      <c r="J41" s="467"/>
      <c r="K41" s="1671">
        <f t="shared" si="2"/>
        <v>4753</v>
      </c>
      <c r="L41" s="466">
        <v>54500</v>
      </c>
    </row>
    <row r="42" spans="1:14" ht="12.75" customHeight="1" thickBot="1" x14ac:dyDescent="0.25">
      <c r="A42" s="1668" t="s">
        <v>560</v>
      </c>
      <c r="B42" s="1669" t="s">
        <v>716</v>
      </c>
      <c r="C42" s="1670">
        <f>SUM(C36:C41)</f>
        <v>2759687</v>
      </c>
      <c r="D42" s="1670">
        <f t="shared" ref="D42:L42" si="3">SUM(D36:D41)</f>
        <v>234484</v>
      </c>
      <c r="E42" s="1670">
        <f t="shared" si="3"/>
        <v>4753</v>
      </c>
      <c r="F42" s="1670">
        <f t="shared" si="3"/>
        <v>304</v>
      </c>
      <c r="G42" s="1670">
        <f t="shared" si="3"/>
        <v>0</v>
      </c>
      <c r="H42" s="1670">
        <f t="shared" si="3"/>
        <v>0</v>
      </c>
      <c r="I42" s="1670">
        <f t="shared" si="3"/>
        <v>0</v>
      </c>
      <c r="J42" s="1670">
        <f t="shared" si="3"/>
        <v>0</v>
      </c>
      <c r="K42" s="1670">
        <f t="shared" si="3"/>
        <v>2999228</v>
      </c>
      <c r="L42" s="1670">
        <f t="shared" si="3"/>
        <v>2998800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f>45</f>
        <v>45</v>
      </c>
      <c r="E44" s="481">
        <f>3069+176908</f>
        <v>179977</v>
      </c>
      <c r="F44" s="481"/>
      <c r="G44" s="481"/>
      <c r="H44" s="481"/>
      <c r="I44" s="467"/>
      <c r="J44" s="467"/>
      <c r="K44" s="1672">
        <f>SUM(C44:J44)</f>
        <v>180022</v>
      </c>
      <c r="L44" s="481">
        <v>113600</v>
      </c>
    </row>
    <row r="45" spans="1:14" x14ac:dyDescent="0.2">
      <c r="A45" s="1504" t="s">
        <v>815</v>
      </c>
      <c r="B45" s="614">
        <v>2220</v>
      </c>
      <c r="C45" s="466"/>
      <c r="D45" s="466"/>
      <c r="E45" s="466"/>
      <c r="F45" s="466"/>
      <c r="G45" s="466"/>
      <c r="H45" s="466"/>
      <c r="I45" s="467"/>
      <c r="J45" s="467"/>
      <c r="K45" s="1672">
        <f>SUM(C45:J45)</f>
        <v>0</v>
      </c>
      <c r="L45" s="466"/>
    </row>
    <row r="46" spans="1:14" x14ac:dyDescent="0.2">
      <c r="A46" s="1504" t="s">
        <v>816</v>
      </c>
      <c r="B46" s="614">
        <v>2230</v>
      </c>
      <c r="C46" s="466"/>
      <c r="D46" s="466"/>
      <c r="E46" s="466">
        <f>12660</f>
        <v>12660</v>
      </c>
      <c r="F46" s="466">
        <f>1500+2584</f>
        <v>4084</v>
      </c>
      <c r="G46" s="466"/>
      <c r="H46" s="466"/>
      <c r="I46" s="467"/>
      <c r="J46" s="467"/>
      <c r="K46" s="1672">
        <f>SUM(C46:J46)</f>
        <v>16744</v>
      </c>
      <c r="L46" s="466">
        <v>11500</v>
      </c>
    </row>
    <row r="47" spans="1:14" ht="12.75" customHeight="1" thickBot="1" x14ac:dyDescent="0.25">
      <c r="A47" s="1668" t="s">
        <v>561</v>
      </c>
      <c r="B47" s="1669" t="s">
        <v>32</v>
      </c>
      <c r="C47" s="1670">
        <f>SUM(C44:C46)</f>
        <v>0</v>
      </c>
      <c r="D47" s="1670">
        <f t="shared" ref="D47:K47" si="4">SUM(D44:D46)</f>
        <v>45</v>
      </c>
      <c r="E47" s="1670">
        <f t="shared" si="4"/>
        <v>192637</v>
      </c>
      <c r="F47" s="1670">
        <f t="shared" si="4"/>
        <v>4084</v>
      </c>
      <c r="G47" s="1670">
        <f t="shared" si="4"/>
        <v>0</v>
      </c>
      <c r="H47" s="1670">
        <f t="shared" si="4"/>
        <v>0</v>
      </c>
      <c r="I47" s="1670">
        <f t="shared" si="4"/>
        <v>0</v>
      </c>
      <c r="J47" s="1670">
        <f t="shared" si="4"/>
        <v>0</v>
      </c>
      <c r="K47" s="1670">
        <f t="shared" si="4"/>
        <v>196766</v>
      </c>
      <c r="L47" s="1670">
        <f>SUM(L44:L46)</f>
        <v>125100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c r="F49" s="481"/>
      <c r="G49" s="481"/>
      <c r="H49" s="481"/>
      <c r="I49" s="467"/>
      <c r="J49" s="467"/>
      <c r="K49" s="1672">
        <f>SUM(C49:J49)</f>
        <v>0</v>
      </c>
      <c r="L49" s="481"/>
    </row>
    <row r="50" spans="1:14" x14ac:dyDescent="0.2">
      <c r="A50" s="1504" t="s">
        <v>818</v>
      </c>
      <c r="B50" s="614">
        <v>2320</v>
      </c>
      <c r="C50" s="466"/>
      <c r="D50" s="466"/>
      <c r="E50" s="466"/>
      <c r="F50" s="466"/>
      <c r="G50" s="466"/>
      <c r="H50" s="466"/>
      <c r="I50" s="467"/>
      <c r="J50" s="467"/>
      <c r="K50" s="1672">
        <f>SUM(C50:J50)</f>
        <v>0</v>
      </c>
      <c r="L50" s="466"/>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f>11435+28225+2621+11833</f>
        <v>54114</v>
      </c>
      <c r="F52" s="474"/>
      <c r="G52" s="474"/>
      <c r="H52" s="474"/>
      <c r="I52" s="474"/>
      <c r="J52" s="474"/>
      <c r="K52" s="1672">
        <f>SUM(C52:J52)</f>
        <v>54114</v>
      </c>
      <c r="L52" s="474">
        <v>47000</v>
      </c>
    </row>
    <row r="53" spans="1:14" ht="12.75" customHeight="1" thickBot="1" x14ac:dyDescent="0.25">
      <c r="A53" s="1668" t="s">
        <v>717</v>
      </c>
      <c r="B53" s="1669" t="s">
        <v>33</v>
      </c>
      <c r="C53" s="1670">
        <f>SUM(C49:C52)</f>
        <v>0</v>
      </c>
      <c r="D53" s="1670">
        <f t="shared" ref="D53:L53" si="5">SUM(D49:D52)</f>
        <v>0</v>
      </c>
      <c r="E53" s="1670">
        <f t="shared" si="5"/>
        <v>54114</v>
      </c>
      <c r="F53" s="1670">
        <f t="shared" si="5"/>
        <v>0</v>
      </c>
      <c r="G53" s="1670">
        <f t="shared" si="5"/>
        <v>0</v>
      </c>
      <c r="H53" s="1670">
        <f t="shared" si="5"/>
        <v>0</v>
      </c>
      <c r="I53" s="1670">
        <f t="shared" si="5"/>
        <v>0</v>
      </c>
      <c r="J53" s="1670">
        <f t="shared" si="5"/>
        <v>0</v>
      </c>
      <c r="K53" s="1670">
        <f t="shared" si="5"/>
        <v>54114</v>
      </c>
      <c r="L53" s="1670">
        <f t="shared" si="5"/>
        <v>47000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c r="D55" s="481"/>
      <c r="E55" s="481"/>
      <c r="F55" s="481"/>
      <c r="G55" s="481"/>
      <c r="H55" s="481"/>
      <c r="I55" s="467"/>
      <c r="J55" s="467"/>
      <c r="K55" s="1672">
        <f>SUM(C55:J55)</f>
        <v>0</v>
      </c>
      <c r="L55" s="481"/>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0</v>
      </c>
      <c r="D57" s="1674">
        <f t="shared" ref="D57:K57" si="6">SUM(D55:D56)</f>
        <v>0</v>
      </c>
      <c r="E57" s="1674">
        <f t="shared" si="6"/>
        <v>0</v>
      </c>
      <c r="F57" s="1674">
        <f t="shared" si="6"/>
        <v>0</v>
      </c>
      <c r="G57" s="1674">
        <f t="shared" si="6"/>
        <v>0</v>
      </c>
      <c r="H57" s="1674">
        <f t="shared" si="6"/>
        <v>0</v>
      </c>
      <c r="I57" s="1674">
        <f t="shared" si="6"/>
        <v>0</v>
      </c>
      <c r="J57" s="1674">
        <f t="shared" si="6"/>
        <v>0</v>
      </c>
      <c r="K57" s="1674">
        <f t="shared" si="6"/>
        <v>0</v>
      </c>
      <c r="L57" s="1670">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c r="D60" s="466"/>
      <c r="E60" s="466">
        <f>90000</f>
        <v>90000</v>
      </c>
      <c r="F60" s="466"/>
      <c r="G60" s="466"/>
      <c r="H60" s="466"/>
      <c r="I60" s="467"/>
      <c r="J60" s="467"/>
      <c r="K60" s="1672">
        <f t="shared" si="7"/>
        <v>90000</v>
      </c>
      <c r="L60" s="466">
        <v>90000</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c r="D63" s="466"/>
      <c r="E63" s="466"/>
      <c r="F63" s="466"/>
      <c r="G63" s="466"/>
      <c r="H63" s="466"/>
      <c r="I63" s="467"/>
      <c r="J63" s="467"/>
      <c r="K63" s="1672">
        <f t="shared" si="7"/>
        <v>0</v>
      </c>
      <c r="L63" s="466"/>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0</v>
      </c>
      <c r="D65" s="1670">
        <f t="shared" ref="D65:L65" si="8">SUM(D59:D64)</f>
        <v>0</v>
      </c>
      <c r="E65" s="1670">
        <f t="shared" si="8"/>
        <v>90000</v>
      </c>
      <c r="F65" s="1670">
        <f t="shared" si="8"/>
        <v>0</v>
      </c>
      <c r="G65" s="1670">
        <f t="shared" si="8"/>
        <v>0</v>
      </c>
      <c r="H65" s="1670">
        <f t="shared" si="8"/>
        <v>0</v>
      </c>
      <c r="I65" s="1670">
        <f t="shared" si="8"/>
        <v>0</v>
      </c>
      <c r="J65" s="1670">
        <f t="shared" si="8"/>
        <v>0</v>
      </c>
      <c r="K65" s="1670">
        <f t="shared" si="8"/>
        <v>90000</v>
      </c>
      <c r="L65" s="1670">
        <f t="shared" si="8"/>
        <v>90000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f>27544</f>
        <v>27544</v>
      </c>
      <c r="E68" s="466"/>
      <c r="F68" s="466"/>
      <c r="G68" s="466"/>
      <c r="H68" s="466"/>
      <c r="I68" s="467"/>
      <c r="J68" s="467"/>
      <c r="K68" s="1672">
        <f>SUM(C68:J68)</f>
        <v>27544</v>
      </c>
      <c r="L68" s="466">
        <v>20000</v>
      </c>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27544</v>
      </c>
      <c r="E72" s="1670">
        <f t="shared" si="9"/>
        <v>0</v>
      </c>
      <c r="F72" s="1670">
        <f t="shared" si="9"/>
        <v>0</v>
      </c>
      <c r="G72" s="1670">
        <f t="shared" si="9"/>
        <v>0</v>
      </c>
      <c r="H72" s="1670">
        <f t="shared" si="9"/>
        <v>0</v>
      </c>
      <c r="I72" s="1670">
        <f t="shared" si="9"/>
        <v>0</v>
      </c>
      <c r="J72" s="1670">
        <f t="shared" si="9"/>
        <v>0</v>
      </c>
      <c r="K72" s="1670">
        <f t="shared" si="9"/>
        <v>27544</v>
      </c>
      <c r="L72" s="1670">
        <f>SUM(L67:L71)</f>
        <v>20000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2759687</v>
      </c>
      <c r="D74" s="1677">
        <f t="shared" ref="D74:K74" si="10">SUM(D42,D47,D53,D57,D65,D72,D73)</f>
        <v>262073</v>
      </c>
      <c r="E74" s="1677">
        <f t="shared" si="10"/>
        <v>341504</v>
      </c>
      <c r="F74" s="1677">
        <f t="shared" si="10"/>
        <v>4388</v>
      </c>
      <c r="G74" s="1677">
        <f t="shared" si="10"/>
        <v>0</v>
      </c>
      <c r="H74" s="1677">
        <f t="shared" si="10"/>
        <v>0</v>
      </c>
      <c r="I74" s="1677">
        <f t="shared" si="10"/>
        <v>0</v>
      </c>
      <c r="J74" s="1677">
        <f t="shared" si="10"/>
        <v>0</v>
      </c>
      <c r="K74" s="1677">
        <f t="shared" si="10"/>
        <v>3367652</v>
      </c>
      <c r="L74" s="1677">
        <f>SUM(L42,L47,L53,L57,L65,L72,L73)</f>
        <v>3280900</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f>1293660</f>
        <v>1293660</v>
      </c>
      <c r="I83" s="477"/>
      <c r="J83" s="477"/>
      <c r="K83" s="1671">
        <f t="shared" si="11"/>
        <v>1293660</v>
      </c>
      <c r="L83" s="466">
        <v>1450000</v>
      </c>
    </row>
    <row r="84" spans="1:12" ht="13.5" thickBot="1" x14ac:dyDescent="0.25">
      <c r="A84" s="1668" t="s">
        <v>1485</v>
      </c>
      <c r="B84" s="1678">
        <v>4100</v>
      </c>
      <c r="C84" s="616"/>
      <c r="D84" s="616"/>
      <c r="E84" s="1670">
        <f>SUM(E78:E83)</f>
        <v>0</v>
      </c>
      <c r="F84" s="616"/>
      <c r="G84" s="616"/>
      <c r="H84" s="1670">
        <f>SUM(H78:H83)</f>
        <v>1293660</v>
      </c>
      <c r="I84" s="477"/>
      <c r="J84" s="477"/>
      <c r="K84" s="1670">
        <f>SUM(K78:K83)</f>
        <v>1293660</v>
      </c>
      <c r="L84" s="1670">
        <f>SUM(L78:L83)</f>
        <v>1450000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1293660</v>
      </c>
      <c r="I102" s="477"/>
      <c r="J102" s="477"/>
      <c r="K102" s="1677">
        <f>SUM(K84,K92,K100,K101)</f>
        <v>1293660</v>
      </c>
      <c r="L102" s="1677">
        <f>SUM(L84,L92,L100,L101)</f>
        <v>1450000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3878809</v>
      </c>
      <c r="D114" s="1670">
        <f t="shared" ref="D114:K114" si="13">SUM(D33,D74,D75,D102,D112,D113)</f>
        <v>477355</v>
      </c>
      <c r="E114" s="1670">
        <f t="shared" si="13"/>
        <v>416332</v>
      </c>
      <c r="F114" s="1670">
        <f t="shared" si="13"/>
        <v>154836</v>
      </c>
      <c r="G114" s="1670">
        <f t="shared" si="13"/>
        <v>102987</v>
      </c>
      <c r="H114" s="1670">
        <f>SUM(H33,H74,H75,H102,H112,H113)</f>
        <v>1315842</v>
      </c>
      <c r="I114" s="1670">
        <f t="shared" si="13"/>
        <v>0</v>
      </c>
      <c r="J114" s="1670">
        <f t="shared" si="13"/>
        <v>0</v>
      </c>
      <c r="K114" s="1670">
        <f t="shared" si="13"/>
        <v>6346161</v>
      </c>
      <c r="L114" s="1670">
        <f>SUM(L33,L74,L75,L102,L112,L113)</f>
        <v>6568500</v>
      </c>
    </row>
    <row r="115" spans="1:14" ht="13.5" thickTop="1" x14ac:dyDescent="0.2">
      <c r="A115" s="2155" t="s">
        <v>996</v>
      </c>
      <c r="B115" s="2156"/>
      <c r="C115" s="618"/>
      <c r="D115" s="618"/>
      <c r="E115" s="618"/>
      <c r="F115" s="618"/>
      <c r="G115" s="618"/>
      <c r="H115" s="618"/>
      <c r="I115" s="618"/>
      <c r="J115" s="618"/>
      <c r="K115" s="1684">
        <f>'Revenues 9-14'!C268-'Expenditures 15-22'!K114</f>
        <v>-204794</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0" t="s">
        <v>296</v>
      </c>
      <c r="B117" s="2161"/>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2057</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v>146740</v>
      </c>
      <c r="F124" s="466">
        <v>670</v>
      </c>
      <c r="G124" s="466"/>
      <c r="H124" s="466"/>
      <c r="I124" s="467"/>
      <c r="J124" s="467"/>
      <c r="K124" s="1670">
        <f>SUM(C124:J124)</f>
        <v>147410</v>
      </c>
      <c r="L124" s="466">
        <v>167500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146740</v>
      </c>
      <c r="F127" s="1670">
        <f t="shared" si="14"/>
        <v>670</v>
      </c>
      <c r="G127" s="1670">
        <f t="shared" si="14"/>
        <v>0</v>
      </c>
      <c r="H127" s="1670">
        <f t="shared" si="14"/>
        <v>0</v>
      </c>
      <c r="I127" s="1670">
        <f t="shared" si="14"/>
        <v>0</v>
      </c>
      <c r="J127" s="1670">
        <f t="shared" si="14"/>
        <v>0</v>
      </c>
      <c r="K127" s="1670">
        <f t="shared" si="14"/>
        <v>147410</v>
      </c>
      <c r="L127" s="1670">
        <f t="shared" si="14"/>
        <v>167500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146740</v>
      </c>
      <c r="F129" s="1677">
        <f t="shared" si="15"/>
        <v>670</v>
      </c>
      <c r="G129" s="1677">
        <f t="shared" si="15"/>
        <v>0</v>
      </c>
      <c r="H129" s="1677">
        <f t="shared" si="15"/>
        <v>0</v>
      </c>
      <c r="I129" s="1677">
        <f t="shared" si="15"/>
        <v>0</v>
      </c>
      <c r="J129" s="1677">
        <f t="shared" si="15"/>
        <v>0</v>
      </c>
      <c r="K129" s="1677">
        <f t="shared" si="15"/>
        <v>147410</v>
      </c>
      <c r="L129" s="1677">
        <f t="shared" si="15"/>
        <v>167500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1842</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2" t="s">
        <v>620</v>
      </c>
      <c r="B151" s="2152"/>
      <c r="C151" s="1670">
        <f>SUM(C129,C130,C139,C149,C150)</f>
        <v>0</v>
      </c>
      <c r="D151" s="1670">
        <f t="shared" ref="D151:K151" si="16">SUM(D129,D130,D139,D149,D150)</f>
        <v>0</v>
      </c>
      <c r="E151" s="1670">
        <f t="shared" si="16"/>
        <v>146740</v>
      </c>
      <c r="F151" s="1670">
        <f t="shared" si="16"/>
        <v>670</v>
      </c>
      <c r="G151" s="1670">
        <f t="shared" si="16"/>
        <v>0</v>
      </c>
      <c r="H151" s="1670">
        <f t="shared" si="16"/>
        <v>0</v>
      </c>
      <c r="I151" s="1670">
        <f t="shared" si="16"/>
        <v>0</v>
      </c>
      <c r="J151" s="1670">
        <f t="shared" si="16"/>
        <v>0</v>
      </c>
      <c r="K151" s="1670">
        <f t="shared" si="16"/>
        <v>147410</v>
      </c>
      <c r="L151" s="1670">
        <f>SUM(L129,L130,L139,L149,L150)</f>
        <v>167500</v>
      </c>
    </row>
    <row r="152" spans="1:14" ht="12.75" customHeight="1" thickTop="1" x14ac:dyDescent="0.2">
      <c r="A152" s="2175" t="s">
        <v>1178</v>
      </c>
      <c r="B152" s="2176"/>
      <c r="C152" s="618"/>
      <c r="D152" s="618"/>
      <c r="E152" s="618"/>
      <c r="F152" s="618"/>
      <c r="G152" s="618"/>
      <c r="H152" s="618"/>
      <c r="I152" s="618"/>
      <c r="J152" s="616"/>
      <c r="K152" s="1684">
        <f>'Revenues 9-14'!D268-'Expenditures 15-22'!K151</f>
        <v>52590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0" t="s">
        <v>621</v>
      </c>
      <c r="B154" s="2162"/>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1843</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1842</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1844</v>
      </c>
      <c r="C158" s="616"/>
      <c r="D158" s="616"/>
      <c r="E158" s="616"/>
      <c r="F158" s="616"/>
      <c r="G158" s="616"/>
      <c r="H158" s="467"/>
      <c r="I158" s="616"/>
      <c r="J158" s="616"/>
      <c r="K158" s="1671">
        <f>H158</f>
        <v>0</v>
      </c>
      <c r="L158" s="467"/>
      <c r="M158" s="619"/>
      <c r="N158" s="619"/>
    </row>
    <row r="159" spans="1:14" s="620" customFormat="1" ht="12" x14ac:dyDescent="0.2">
      <c r="A159" s="1826" t="s">
        <v>1845</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1846</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55" t="s">
        <v>996</v>
      </c>
      <c r="B175" s="2156"/>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2057</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c r="F182" s="466"/>
      <c r="G182" s="466"/>
      <c r="H182" s="466"/>
      <c r="I182" s="467"/>
      <c r="J182" s="467"/>
      <c r="K182" s="1671">
        <f>SUM(C182:J182)</f>
        <v>0</v>
      </c>
      <c r="L182" s="466"/>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0</v>
      </c>
      <c r="F184" s="1677">
        <f t="shared" si="17"/>
        <v>0</v>
      </c>
      <c r="G184" s="1677">
        <f t="shared" si="17"/>
        <v>0</v>
      </c>
      <c r="H184" s="1677">
        <f t="shared" si="17"/>
        <v>0</v>
      </c>
      <c r="I184" s="1677">
        <f t="shared" si="17"/>
        <v>0</v>
      </c>
      <c r="J184" s="1677">
        <f t="shared" si="17"/>
        <v>0</v>
      </c>
      <c r="K184" s="1677">
        <f>SUM(K180,K182,K183)</f>
        <v>0</v>
      </c>
      <c r="L184" s="1677">
        <f>SUM(L180, L182:L183)</f>
        <v>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0</v>
      </c>
      <c r="D210" s="1670">
        <f>SUM(D184,D185)</f>
        <v>0</v>
      </c>
      <c r="E210" s="1670">
        <f>SUM(E184,E185,E196)</f>
        <v>0</v>
      </c>
      <c r="F210" s="1670">
        <f>SUM(F184,F185)</f>
        <v>0</v>
      </c>
      <c r="G210" s="1670">
        <f>SUM(G184,G185)</f>
        <v>0</v>
      </c>
      <c r="H210" s="1670">
        <f>SUM(H184,H185,H196,H208,H209)</f>
        <v>0</v>
      </c>
      <c r="I210" s="1670">
        <f>SUM(I184,I185)</f>
        <v>0</v>
      </c>
      <c r="J210" s="1670">
        <f>SUM(J184,J185)</f>
        <v>0</v>
      </c>
      <c r="K210" s="1671">
        <f>SUM(K184,K185,K196,K208,K209)</f>
        <v>0</v>
      </c>
      <c r="L210" s="1670">
        <f>SUM(L184,L185,L196,L208,L209)</f>
        <v>0</v>
      </c>
    </row>
    <row r="211" spans="1:14" ht="13.5" thickTop="1" x14ac:dyDescent="0.2">
      <c r="A211" s="2155" t="s">
        <v>996</v>
      </c>
      <c r="B211" s="2156"/>
      <c r="C211" s="618"/>
      <c r="D211" s="618"/>
      <c r="E211" s="618"/>
      <c r="F211" s="618"/>
      <c r="G211" s="618"/>
      <c r="H211" s="618"/>
      <c r="I211" s="616"/>
      <c r="J211" s="616"/>
      <c r="K211" s="1684">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7" t="s">
        <v>965</v>
      </c>
      <c r="B213" s="2178"/>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71">
        <f>D215</f>
        <v>0</v>
      </c>
      <c r="L215" s="466"/>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83468</v>
      </c>
      <c r="E217" s="616"/>
      <c r="F217" s="616"/>
      <c r="G217" s="616"/>
      <c r="H217" s="616"/>
      <c r="I217" s="616"/>
      <c r="J217" s="616"/>
      <c r="K217" s="1671">
        <f t="shared" si="19"/>
        <v>83468</v>
      </c>
      <c r="L217" s="466">
        <v>130000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c r="E223" s="616"/>
      <c r="F223" s="616"/>
      <c r="G223" s="616"/>
      <c r="H223" s="616"/>
      <c r="I223" s="616"/>
      <c r="J223" s="616"/>
      <c r="K223" s="1671">
        <f t="shared" si="19"/>
        <v>0</v>
      </c>
      <c r="L223" s="466"/>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83468</v>
      </c>
      <c r="E229" s="616"/>
      <c r="F229" s="616"/>
      <c r="G229" s="616"/>
      <c r="H229" s="616"/>
      <c r="I229" s="616"/>
      <c r="J229" s="616"/>
      <c r="K229" s="1670">
        <f>SUM(K215:K228)</f>
        <v>83468</v>
      </c>
      <c r="L229" s="1670">
        <f>SUM(L215:L228)</f>
        <v>130000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f>13261+808+175475</f>
        <v>189544</v>
      </c>
      <c r="E234" s="616"/>
      <c r="F234" s="616"/>
      <c r="G234" s="616"/>
      <c r="H234" s="616"/>
      <c r="I234" s="616"/>
      <c r="J234" s="616"/>
      <c r="K234" s="1671">
        <f t="shared" si="20"/>
        <v>189544</v>
      </c>
      <c r="L234" s="466">
        <v>204000</v>
      </c>
    </row>
    <row r="235" spans="1:12" x14ac:dyDescent="0.2">
      <c r="A235" s="1504" t="s">
        <v>199</v>
      </c>
      <c r="B235" s="614">
        <v>2140</v>
      </c>
      <c r="C235" s="616"/>
      <c r="D235" s="466">
        <f>6227</f>
        <v>6227</v>
      </c>
      <c r="E235" s="616"/>
      <c r="F235" s="616"/>
      <c r="G235" s="616"/>
      <c r="H235" s="616"/>
      <c r="I235" s="616"/>
      <c r="J235" s="616"/>
      <c r="K235" s="1671">
        <f t="shared" si="20"/>
        <v>6227</v>
      </c>
      <c r="L235" s="466">
        <v>8000</v>
      </c>
    </row>
    <row r="236" spans="1:12" x14ac:dyDescent="0.2">
      <c r="A236" s="1504" t="s">
        <v>200</v>
      </c>
      <c r="B236" s="614">
        <v>2150</v>
      </c>
      <c r="C236" s="616"/>
      <c r="D236" s="466">
        <f>23546</f>
        <v>23546</v>
      </c>
      <c r="E236" s="616"/>
      <c r="F236" s="616"/>
      <c r="G236" s="616"/>
      <c r="H236" s="616"/>
      <c r="I236" s="616"/>
      <c r="J236" s="616"/>
      <c r="K236" s="1671">
        <f t="shared" si="20"/>
        <v>23546</v>
      </c>
      <c r="L236" s="466">
        <v>26500</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219317</v>
      </c>
      <c r="E238" s="616"/>
      <c r="F238" s="616"/>
      <c r="G238" s="616"/>
      <c r="H238" s="616"/>
      <c r="I238" s="616"/>
      <c r="J238" s="616"/>
      <c r="K238" s="1670">
        <f>SUM(K232:K237)</f>
        <v>219317</v>
      </c>
      <c r="L238" s="1670">
        <f>SUM(L232:L237)</f>
        <v>238500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f>338</f>
        <v>338</v>
      </c>
      <c r="E240" s="616"/>
      <c r="F240" s="616"/>
      <c r="G240" s="616"/>
      <c r="H240" s="616"/>
      <c r="I240" s="616"/>
      <c r="J240" s="616"/>
      <c r="K240" s="1672">
        <f>D240</f>
        <v>338</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338</v>
      </c>
      <c r="E243" s="616"/>
      <c r="F243" s="616"/>
      <c r="G243" s="616"/>
      <c r="H243" s="616"/>
      <c r="I243" s="616"/>
      <c r="J243" s="616"/>
      <c r="K243" s="1670">
        <f>SUM(K240:K242)</f>
        <v>338</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c r="E246" s="616"/>
      <c r="F246" s="616"/>
      <c r="G246" s="616"/>
      <c r="H246" s="616"/>
      <c r="I246" s="616"/>
      <c r="J246" s="616"/>
      <c r="K246" s="1672">
        <f t="shared" ref="K246:K256" si="21">D246</f>
        <v>0</v>
      </c>
      <c r="L246" s="466"/>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1802</v>
      </c>
      <c r="B249" s="683" t="s">
        <v>282</v>
      </c>
      <c r="C249" s="616"/>
      <c r="D249" s="474"/>
      <c r="E249" s="616"/>
      <c r="F249" s="616"/>
      <c r="G249" s="616"/>
      <c r="H249" s="616"/>
      <c r="I249" s="616"/>
      <c r="J249" s="616"/>
      <c r="K249" s="1672">
        <f t="shared" si="21"/>
        <v>0</v>
      </c>
      <c r="L249" s="466"/>
    </row>
    <row r="250" spans="1:12" x14ac:dyDescent="0.2">
      <c r="A250" s="1505" t="s">
        <v>1803</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row>
    <row r="260" spans="1:14" s="597" customFormat="1" x14ac:dyDescent="0.2">
      <c r="A260" s="1522" t="s">
        <v>1801</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c r="E266" s="616"/>
      <c r="F266" s="616"/>
      <c r="G266" s="616"/>
      <c r="H266" s="616"/>
      <c r="I266" s="616"/>
      <c r="J266" s="616"/>
      <c r="K266" s="1672">
        <f t="shared" si="22"/>
        <v>0</v>
      </c>
      <c r="L266" s="466"/>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0</v>
      </c>
      <c r="E270" s="616"/>
      <c r="F270" s="616"/>
      <c r="G270" s="616"/>
      <c r="H270" s="616"/>
      <c r="I270" s="616"/>
      <c r="J270" s="616"/>
      <c r="K270" s="1670">
        <f>SUM(K263:K269)</f>
        <v>0</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219655</v>
      </c>
      <c r="E279" s="616"/>
      <c r="F279" s="616"/>
      <c r="G279" s="616"/>
      <c r="H279" s="616"/>
      <c r="I279" s="616"/>
      <c r="J279" s="616"/>
      <c r="K279" s="1677">
        <f>SUM(K238,K243,K257,K261,K270,K277,K278)</f>
        <v>219655</v>
      </c>
      <c r="L279" s="1677">
        <f>SUM(L238,L243,L257,L261,L270,L277,L278)</f>
        <v>238500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1842</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3" t="s">
        <v>505</v>
      </c>
      <c r="B295" s="2174"/>
      <c r="C295" s="616"/>
      <c r="D295" s="1670">
        <f>SUM(D229,D279,D280,D285)</f>
        <v>303123</v>
      </c>
      <c r="E295" s="616"/>
      <c r="F295" s="616"/>
      <c r="G295" s="616"/>
      <c r="H295" s="1670">
        <f>H293</f>
        <v>0</v>
      </c>
      <c r="I295" s="616"/>
      <c r="J295" s="616"/>
      <c r="K295" s="1670">
        <f>SUM(K229,K279,K280,K285,K293,K294)</f>
        <v>303123</v>
      </c>
      <c r="L295" s="1670">
        <f>SUM(L229,L279,L280,L285,L293,L294)</f>
        <v>368500</v>
      </c>
    </row>
    <row r="296" spans="1:14" ht="13.5" thickTop="1" x14ac:dyDescent="0.2">
      <c r="A296" s="2155" t="s">
        <v>996</v>
      </c>
      <c r="B296" s="2156"/>
      <c r="C296" s="616"/>
      <c r="D296" s="618"/>
      <c r="E296" s="616"/>
      <c r="F296" s="616"/>
      <c r="G296" s="616"/>
      <c r="H296" s="687"/>
      <c r="I296" s="616"/>
      <c r="J296" s="616"/>
      <c r="K296" s="1684">
        <f>'Revenues 9-14'!G268-'Expenditures 15-22'!K295</f>
        <v>96877</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5" t="s">
        <v>143</v>
      </c>
      <c r="B298" s="2159"/>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1847</v>
      </c>
      <c r="B306" s="690" t="s">
        <v>1842</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0" t="s">
        <v>277</v>
      </c>
      <c r="B312" s="2171"/>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6" t="s">
        <v>996</v>
      </c>
      <c r="B313" s="2167"/>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9" t="s">
        <v>149</v>
      </c>
      <c r="B315" s="2180"/>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1" t="s">
        <v>898</v>
      </c>
      <c r="B317" s="2180"/>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1802</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1848</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1842</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1844</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1849</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68" t="s">
        <v>996</v>
      </c>
      <c r="B343" s="2169"/>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8" t="s">
        <v>966</v>
      </c>
      <c r="B345" s="2159"/>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1850</v>
      </c>
      <c r="B354" s="683" t="s">
        <v>1842</v>
      </c>
      <c r="C354" s="616"/>
      <c r="D354" s="616"/>
      <c r="E354" s="616"/>
      <c r="F354" s="616"/>
      <c r="G354" s="616"/>
      <c r="H354" s="474"/>
      <c r="I354" s="701"/>
      <c r="J354" s="616"/>
      <c r="K354" s="1699">
        <f>H354</f>
        <v>0</v>
      </c>
      <c r="L354" s="471"/>
    </row>
    <row r="355" spans="1:14" ht="12.75" customHeight="1" x14ac:dyDescent="0.2">
      <c r="A355" s="1513" t="s">
        <v>1851</v>
      </c>
      <c r="B355" s="690" t="s">
        <v>1844</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55" t="s">
        <v>996</v>
      </c>
      <c r="B368" s="2156"/>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schemas.microsoft.com/sharepoint/v3"/>
    <ds:schemaRef ds:uri="http://purl.org/dc/terms/"/>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4d435f69-8686-490b-bd6d-b153bf22ab50"/>
    <ds:schemaRef ds:uri="http://purl.org/dc/elements/1.1/"/>
    <ds:schemaRef ds:uri="d21dc803-237d-4c68-8692-8d731fd29118"/>
    <ds:schemaRef ds:uri="6ce3111e-7420-4802-b50a-75d4e9a0b980"/>
    <ds:schemaRef ds:uri="http://www.w3.org/XML/1998/namespace"/>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SEFA NOTES</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2019-12-03T17:05:55Z</cp:lastPrinted>
  <dcterms:created xsi:type="dcterms:W3CDTF">2003-10-29T19:06:34Z</dcterms:created>
  <dcterms:modified xsi:type="dcterms:W3CDTF">2019-12-30T21:53:55Z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