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0" yWindow="0" windowWidth="24000" windowHeight="97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1" i="106" s="1"/>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B2805" i="106" s="1"/>
  <c r="D2805" i="106" s="1"/>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6" i="108"/>
  <c r="G26" i="108"/>
  <c r="E27" i="108"/>
  <c r="G27" i="108"/>
  <c r="F31" i="108"/>
  <c r="F36" i="108"/>
  <c r="G28" i="108"/>
  <c r="G30" i="108"/>
  <c r="D31" i="108"/>
  <c r="D36" i="108"/>
  <c r="E31" i="108"/>
  <c r="G31" i="108"/>
  <c r="E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J22" i="37"/>
  <c r="D24" i="37"/>
  <c r="B4270" i="106" s="1"/>
  <c r="D4270" i="106" s="1"/>
  <c r="B5752" i="106"/>
  <c r="D5752" i="106" s="1"/>
  <c r="H342" i="29" l="1"/>
  <c r="J129" i="29"/>
  <c r="B7038" i="106" s="1"/>
  <c r="D7038" i="106" s="1"/>
  <c r="F56" i="34"/>
  <c r="F50" i="34"/>
  <c r="G39" i="108"/>
  <c r="D68" i="36"/>
  <c r="H28" i="118"/>
  <c r="F28" i="108"/>
  <c r="L367" i="29"/>
  <c r="F19" i="7"/>
  <c r="B1807" i="106" s="1"/>
  <c r="D1807" i="106" s="1"/>
  <c r="J352" i="29"/>
  <c r="J367" i="29" s="1"/>
  <c r="B7245" i="106" s="1"/>
  <c r="D7245" i="106" s="1"/>
  <c r="D6103" i="106"/>
  <c r="H365" i="29"/>
  <c r="B7242" i="106" s="1"/>
  <c r="D7242" i="106" s="1"/>
  <c r="D14" i="4"/>
  <c r="B2570" i="106" s="1"/>
  <c r="D2570" i="106" s="1"/>
  <c r="L5" i="11"/>
  <c r="B2056" i="106" s="1"/>
  <c r="D2056" i="106" s="1"/>
  <c r="F27" i="108"/>
  <c r="F77" i="4"/>
  <c r="B3255" i="106" s="1"/>
  <c r="D3255" i="106" s="1"/>
  <c r="B2836" i="106"/>
  <c r="D2836" i="106" s="1"/>
  <c r="L13" i="11"/>
  <c r="B2060" i="106" s="1"/>
  <c r="D2060" i="106" s="1"/>
  <c r="K184" i="29"/>
  <c r="F13" i="4" s="1"/>
  <c r="B2596" i="106" s="1"/>
  <c r="D2596" i="106" s="1"/>
  <c r="L22" i="37"/>
  <c r="G29" i="108"/>
  <c r="I129" i="29"/>
  <c r="B7037" i="106" s="1"/>
  <c r="D7037" i="106" s="1"/>
  <c r="E29" i="108"/>
  <c r="D54" i="36"/>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I151" i="29" l="1"/>
  <c r="F59" i="34" s="1"/>
  <c r="K342" i="29"/>
  <c r="F13" i="34" s="1"/>
  <c r="B7235" i="106"/>
  <c r="D7235" i="106" s="1"/>
  <c r="C114" i="29"/>
  <c r="B757" i="106" s="1"/>
  <c r="D757" i="106" s="1"/>
  <c r="I7" i="4"/>
  <c r="B4444" i="106" s="1"/>
  <c r="D4444" i="106" s="1"/>
  <c r="L114" i="29"/>
  <c r="L16" i="11"/>
  <c r="B2061" i="106" s="1"/>
  <c r="D2061"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B2567" i="106"/>
  <c r="D2567" i="106" s="1"/>
  <c r="D8" i="146" l="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<sst xmlns="http://schemas.openxmlformats.org/spreadsheetml/2006/main" count="5107" uniqueCount="2116">
  <si>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</si>
  <si>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</si>
  <si>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</si>
  <si>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</si>
  <si>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</si>
  <si>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</si>
  <si>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</si>
  <si>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</si>
  <si>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</si>
  <si>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</si>
  <si>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</si>
  <si>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</si>
  <si>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</si>
  <si>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</si>
  <si>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</si>
  <si>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</si>
  <si>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</si>
  <si>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</si>
  <si>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</si>
  <si>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</si>
  <si>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</si>
  <si>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</si>
  <si>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</si>
  <si>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</si>
  <si>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</si>
  <si>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</si>
  <si>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</si>
  <si>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</si>
  <si>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</si>
  <si>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</si>
  <si>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</si>
  <si>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</si>
  <si>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</si>
  <si>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</si>
  <si>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</si>
  <si>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</si>
  <si>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</si>
  <si>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</si>
  <si>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</si>
  <si>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</si>
  <si>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</si>
  <si>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</si>
  <si>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</si>
  <si>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</si>
  <si>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</si>
  <si>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</si>
  <si>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</si>
  <si>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</si>
  <si>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</si>
  <si>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</si>
  <si>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</si>
  <si>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</si>
  <si>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</si>
  <si>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</si>
  <si>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</si>
  <si>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</si>
  <si>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</si>
  <si>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</si>
  <si>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</si>
  <si>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</si>
  <si>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</si>
  <si>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</si>
  <si>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</si>
  <si>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</si>
  <si>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</si>
  <si>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</si>
  <si>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</si>
  <si>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</si>
  <si>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</si>
  <si>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</si>
  <si>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</si>
  <si>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</si>
  <si>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</si>
  <si>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</si>
  <si>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</si>
  <si>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</si>
  <si>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</si>
  <si>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</si>
  <si>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</si>
  <si>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</si>
  <si>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</si>
  <si>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</si>
  <si>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</si>
  <si>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</si>
  <si>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</si>
  <si>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</si>
  <si>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</si>
  <si>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</si>
  <si>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</si>
  <si>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</si>
  <si>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</si>
  <si>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</si>
  <si>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</si>
  <si>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</si>
  <si>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</si>
  <si>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</si>
  <si>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</si>
  <si>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</si>
  <si>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</si>
  <si>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</si>
  <si>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</si>
  <si>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</si>
  <si>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</si>
  <si>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</si>
  <si>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</si>
  <si>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</si>
  <si>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</si>
  <si>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</si>
  <si>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</si>
  <si>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</si>
  <si>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</si>
  <si>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</si>
  <si>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</si>
  <si>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</si>
  <si>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</si>
  <si>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</si>
  <si>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</si>
  <si>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</si>
  <si>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</si>
  <si>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</si>
  <si>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</si>
  <si>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</si>
  <si>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</si>
  <si>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</si>
  <si>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</si>
  <si>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</si>
  <si>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</si>
  <si>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</si>
  <si>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</si>
  <si>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</si>
  <si>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</si>
  <si>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</si>
  <si>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</si>
  <si>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</si>
  <si>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</si>
  <si>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</si>
  <si>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</si>
  <si>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</si>
  <si>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</si>
  <si>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</si>
  <si>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</si>
  <si>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</si>
  <si>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</si>
  <si>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</si>
  <si>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</si>
  <si>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</si>
  <si>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</si>
  <si>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</si>
  <si>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</si>
  <si>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</si>
  <si>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</si>
  <si>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</si>
  <si>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</si>
  <si>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</si>
  <si>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</si>
  <si>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</si>
  <si>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</si>
  <si>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</si>
  <si>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</si>
  <si>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</si>
  <si>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</si>
  <si>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</si>
  <si>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</si>
  <si>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</si>
  <si>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</si>
  <si>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</si>
  <si>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</si>
  <si>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</si>
  <si>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</si>
  <si>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</si>
  <si>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</si>
  <si>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</si>
  <si>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</si>
  <si>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</si>
  <si>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</si>
  <si>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</si>
  <si>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</si>
  <si>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</si>
  <si>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</si>
  <si>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</si>
  <si>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</si>
  <si>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</si>
  <si>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</si>
  <si>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</si>
  <si>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</si>
  <si>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</si>
  <si>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</si>
  <si>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</si>
  <si>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</si>
  <si>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</si>
  <si>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</si>
  <si>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</si>
  <si>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</si>
  <si>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</si>
  <si>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</si>
  <si>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</si>
  <si>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</si>
  <si>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</si>
  <si>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</si>
  <si>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</si>
  <si>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</si>
  <si>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</si>
  <si>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</si>
  <si>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</si>
  <si>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</si>
  <si>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</si>
  <si>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</si>
  <si>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</si>
  <si>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</si>
  <si>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</si>
  <si>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</si>
  <si>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</si>
  <si>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</si>
  <si>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</si>
  <si>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</si>
  <si>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</si>
  <si>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</si>
  <si>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</si>
  <si>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</si>
  <si>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</si>
  <si>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</si>
  <si>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</si>
  <si>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</si>
  <si>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</si>
  <si>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</si>
  <si>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</si>
  <si>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</si>
  <si>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</si>
  <si>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</si>
  <si>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</si>
  <si>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</si>
  <si>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</si>
  <si>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</si>
  <si>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</si>
  <si>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</si>
  <si>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</si>
  <si>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</si>
  <si>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</si>
  <si>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</si>
  <si>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</si>
  <si>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</si>
  <si>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</si>
  <si>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</si>
  <si>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</si>
  <si>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</si>
  <si>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</si>
  <si>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</si>
  <si>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</si>
  <si>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</si>
  <si>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</si>
  <si>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</si>
  <si>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</si>
  <si>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</si>
  <si>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</si>
  <si>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</si>
  <si>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</si>
  <si>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</si>
  <si>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</si>
  <si>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</si>
  <si>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</si>
  <si>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</si>
  <si>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</si>
  <si>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</si>
  <si>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</si>
  <si>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</si>
  <si>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</si>
  <si>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</si>
  <si>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</si>
  <si>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</si>
  <si>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</si>
  <si>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</si>
  <si>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</si>
  <si>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</si>
  <si>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</si>
  <si>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</si>
  <si>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</si>
  <si>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</si>
  <si>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</si>
  <si>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</si>
  <si>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</si>
  <si>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</si>
  <si>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</si>
  <si>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</si>
  <si>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</si>
  <si>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</si>
  <si>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</si>
  <si>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</si>
  <si>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</si>
  <si>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</si>
  <si>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</si>
  <si>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</si>
  <si>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</si>
  <si>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</si>
  <si>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</si>
  <si>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</si>
  <si>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</si>
  <si>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</si>
  <si>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</si>
  <si>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</si>
  <si>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</si>
  <si>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</si>
  <si>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</si>
  <si>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</si>
  <si>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</si>
  <si>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</si>
  <si>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</si>
  <si>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</si>
  <si>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</si>
  <si>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</si>
  <si>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</si>
  <si>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</si>
  <si>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</si>
  <si>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</si>
  <si>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</si>
  <si>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</si>
  <si>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</si>
  <si>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</si>
  <si>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</si>
  <si>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</si>
  <si>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</si>
  <si>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</si>
  <si>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</si>
  <si>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</si>
  <si>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</si>
  <si>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</si>
  <si>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</si>
  <si>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</si>
  <si>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</si>
  <si>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</si>
  <si>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</si>
  <si>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</si>
  <si>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</si>
  <si>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</si>
  <si>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</si>
  <si>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</si>
  <si>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</si>
  <si>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</si>
  <si>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</si>
  <si>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</si>
  <si>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</si>
  <si>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</si>
  <si>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</si>
  <si>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</si>
  <si>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</si>
  <si>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</si>
  <si>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</si>
  <si>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</si>
  <si>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</si>
  <si>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</si>
  <si>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</si>
  <si>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</si>
  <si>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</si>
  <si>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</si>
  <si>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</si>
  <si>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</si>
  <si>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</si>
  <si>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</si>
  <si>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</si>
  <si>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</si>
  <si>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</si>
  <si>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</si>
  <si>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</si>
  <si>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</si>
  <si>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</si>
  <si>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</si>
  <si>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</si>
  <si>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</si>
  <si>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</si>
  <si>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</si>
  <si>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</si>
  <si>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</si>
  <si>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</si>
  <si>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</si>
  <si>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</si>
  <si>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</si>
  <si>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</si>
  <si>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</si>
  <si>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</si>
  <si>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</si>
  <si>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</si>
  <si>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</si>
  <si>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</si>
  <si>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</si>
  <si>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</si>
  <si>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</si>
  <si>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</si>
  <si>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</si>
  <si>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</si>
  <si>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</si>
  <si>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</si>
  <si>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</si>
  <si>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</si>
  <si>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</si>
  <si>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</si>
  <si>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</si>
  <si>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</si>
  <si>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</si>
  <si>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</si>
  <si>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</si>
  <si>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</si>
  <si>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</si>
  <si>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</si>
  <si>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</si>
  <si>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</si>
  <si>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</si>
  <si>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</si>
  <si>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</si>
  <si>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</si>
  <si>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</si>
  <si>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</si>
  <si>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</si>
  <si>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</si>
  <si>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</si>
  <si>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</si>
  <si>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</si>
  <si>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</si>
  <si>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</si>
  <si>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</si>
  <si>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</si>
  <si>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</si>
  <si>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</si>
  <si>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</si>
  <si>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</si>
  <si>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</si>
  <si>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</si>
  <si>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</si>
  <si>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</si>
  <si>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</si>
  <si>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</si>
  <si>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</si>
  <si>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</si>
  <si>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</si>
  <si>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</si>
  <si>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</si>
  <si>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</si>
  <si>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</si>
  <si>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</si>
  <si>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</si>
  <si>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</si>
  <si>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</si>
  <si>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</si>
  <si>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</si>
  <si>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</si>
  <si>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</si>
  <si>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</si>
  <si>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</si>
  <si>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</si>
  <si>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</si>
  <si>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</si>
  <si>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</si>
  <si>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</si>
  <si>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</si>
  <si>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</si>
  <si>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</si>
  <si>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</si>
  <si>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</si>
  <si>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</si>
  <si>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</si>
  <si>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</si>
  <si>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</si>
  <si>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</si>
  <si>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</si>
  <si>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</si>
  <si>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</si>
  <si>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</si>
  <si>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</si>
  <si>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</si>
  <si>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</si>
  <si>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</si>
  <si>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</si>
  <si>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</si>
  <si>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</si>
  <si>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</si>
  <si>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</si>
  <si>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</si>
  <si>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</si>
  <si>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</si>
  <si>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</si>
  <si>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</si>
  <si>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</si>
  <si>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</si>
  <si>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</si>
  <si>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</si>
  <si>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</si>
  <si>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</si>
  <si>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</si>
  <si>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</si>
  <si>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</si>
  <si>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</si>
  <si>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</si>
  <si>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</si>
  <si>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</si>
  <si>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</si>
  <si>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</si>
  <si>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</si>
  <si>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</si>
  <si>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</si>
  <si>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</si>
  <si>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</si>
  <si>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</si>
  <si>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</si>
  <si>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</si>
  <si>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</si>
  <si>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</si>
  <si>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</si>
  <si>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</si>
  <si>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</si>
  <si>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</si>
  <si>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</si>
  <si>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</si>
  <si>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</si>
  <si>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</si>
  <si>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</si>
  <si>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</si>
  <si>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</si>
  <si>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</si>
  <si>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</si>
  <si>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</si>
  <si>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</si>
  <si>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</si>
  <si>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</si>
  <si>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</si>
  <si>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</si>
  <si>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</si>
  <si>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</si>
  <si>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</si>
  <si>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</si>
  <si>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</si>
  <si>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</si>
  <si>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</si>
  <si>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</si>
  <si>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</si>
  <si>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</si>
  <si>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</si>
  <si>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</si>
  <si>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</si>
  <si>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</si>
  <si>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</si>
  <si>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</si>
  <si>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</si>
  <si>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</si>
  <si>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</si>
  <si>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</si>
  <si>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</si>
  <si>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</si>
  <si>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</si>
  <si>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</si>
  <si>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</si>
  <si>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</si>
  <si>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</si>
  <si>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</si>
  <si>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</si>
  <si>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</si>
  <si>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</si>
  <si>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</si>
  <si>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</si>
  <si>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</si>
  <si>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</si>
  <si>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</si>
  <si>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</si>
  <si>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</si>
  <si>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</si>
  <si>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</si>
  <si>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</si>
  <si>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</si>
  <si>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</si>
  <si>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</si>
  <si>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</si>
  <si>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</si>
  <si>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</si>
  <si>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</si>
  <si>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</si>
  <si>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</si>
  <si>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</si>
  <si>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</si>
  <si>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</si>
  <si>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</si>
  <si>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</si>
  <si>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</si>
  <si>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</si>
  <si>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</si>
  <si>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</si>
  <si>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</si>
  <si>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</si>
  <si>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</si>
  <si>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</si>
  <si>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</si>
  <si>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</si>
  <si>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</si>
  <si>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</si>
  <si>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</si>
  <si>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</si>
  <si>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</si>
  <si>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</si>
  <si>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</si>
  <si>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</si>
  <si>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</si>
  <si>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</si>
  <si>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</si>
  <si>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</si>
  <si>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</si>
  <si>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</si>
  <si>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</si>
  <si>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</si>
  <si>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</si>
  <si>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</si>
  <si>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</si>
  <si>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</si>
  <si>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</si>
  <si>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</si>
  <si>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</si>
  <si>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</si>
  <si>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</si>
  <si>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</si>
  <si>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</si>
  <si>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</si>
  <si>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</si>
  <si>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</si>
  <si>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</si>
  <si>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</si>
  <si>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</si>
  <si>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</si>
  <si>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</si>
  <si>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</si>
  <si>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</si>
  <si>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</si>
  <si>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</si>
  <si>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</si>
  <si>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</si>
  <si>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</si>
  <si>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</si>
  <si>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</si>
  <si>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</si>
  <si>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</si>
  <si>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</si>
  <si>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</si>
  <si>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</si>
  <si>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</si>
  <si>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</si>
  <si>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</si>
  <si>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</si>
  <si>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</si>
  <si>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</si>
  <si>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</si>
  <si>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</si>
  <si>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</si>
  <si>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</si>
  <si>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</si>
  <si>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</si>
  <si>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</si>
  <si>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</si>
  <si>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</si>
  <si>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</si>
  <si>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</si>
  <si>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</si>
  <si>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</si>
  <si>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</si>
  <si>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</si>
  <si>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</si>
  <si>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</si>
  <si>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</si>
  <si>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</si>
  <si>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</si>
  <si>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</si>
  <si>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</si>
  <si>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</si>
  <si>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</si>
  <si>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</si>
  <si>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</si>
  <si>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</si>
  <si>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</si>
  <si>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</si>
  <si>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</si>
  <si>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</si>
  <si>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</si>
  <si>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</si>
  <si>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</si>
  <si>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</si>
  <si>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</si>
  <si>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</si>
  <si>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</si>
  <si>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</si>
  <si>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</si>
  <si>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</si>
  <si>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</si>
  <si>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</si>
  <si>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</si>
  <si>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</si>
  <si>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</si>
  <si>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</si>
  <si>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</si>
  <si>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</si>
  <si>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</si>
  <si>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</si>
  <si>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</si>
  <si>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</si>
  <si>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</si>
  <si>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</si>
  <si>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</si>
  <si>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</si>
  <si>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</si>
  <si>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</si>
  <si>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</si>
  <si>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</si>
  <si>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</si>
  <si>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</si>
  <si>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</si>
  <si>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</si>
  <si>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</si>
  <si>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</si>
  <si>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</si>
  <si>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</si>
  <si>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</si>
  <si>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</si>
  <si>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</si>
  <si>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</si>
  <si>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</si>
  <si>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</si>
  <si>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</si>
  <si>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</si>
  <si>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</si>
  <si>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</si>
  <si>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</si>
  <si>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</si>
  <si>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</si>
  <si>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</si>
  <si>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</si>
  <si>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</si>
  <si>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</si>
  <si>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</si>
  <si>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</si>
  <si>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</si>
  <si>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</si>
  <si>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</si>
  <si>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</si>
  <si>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</si>
  <si>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</si>
  <si>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</si>
  <si>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</si>
  <si>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</si>
  <si>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</si>
  <si>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</si>
  <si>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</si>
  <si>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</si>
  <si>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</si>
  <si>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</si>
  <si>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</si>
  <si>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</si>
  <si>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</si>
  <si>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</si>
  <si>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</si>
  <si>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</si>
  <si>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</si>
  <si>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</si>
  <si>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</si>
  <si>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</si>
  <si>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</si>
  <si>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</si>
  <si>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</si>
  <si>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</si>
  <si>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</si>
  <si>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</si>
  <si>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</si>
  <si>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</si>
  <si>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</si>
  <si>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</si>
  <si>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</si>
  <si>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</si>
  <si>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</si>
  <si>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</si>
  <si>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</si>
  <si>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</si>
  <si>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</si>
  <si>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</si>
  <si>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</si>
  <si>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</si>
  <si>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</si>
  <si>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</si>
  <si>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</si>
  <si>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</si>
  <si>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</si>
  <si>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</si>
  <si>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</si>
  <si>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</si>
  <si>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</si>
  <si>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</si>
  <si>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</si>
  <si>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</si>
  <si>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</si>
  <si>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</si>
  <si>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</si>
  <si>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</si>
  <si>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</si>
  <si>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</si>
  <si>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</si>
  <si>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</si>
  <si>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</si>
  <si>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</si>
  <si>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</si>
  <si>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</si>
  <si>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</si>
  <si>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</si>
  <si>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</si>
  <si>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</si>
  <si>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</si>
  <si>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</si>
  <si>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</si>
  <si>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</si>
  <si>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</si>
  <si>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</si>
  <si>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</si>
  <si>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</si>
  <si>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</si>
  <si>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</si>
  <si>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</si>
  <si>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</si>
  <si>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</si>
  <si>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</si>
  <si>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</si>
  <si>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</si>
  <si>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</si>
  <si>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</si>
  <si>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</si>
  <si>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</si>
  <si>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</si>
  <si>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</si>
  <si>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</si>
  <si>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</si>
  <si>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</si>
  <si>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</si>
  <si>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</si>
  <si>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</si>
  <si>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</si>
  <si>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</si>
  <si>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</si>
  <si>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</si>
  <si>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</si>
  <si>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</si>
  <si>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</si>
  <si>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</si>
  <si>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</si>
  <si>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</si>
  <si>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</si>
  <si>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</si>
  <si>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</si>
  <si>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</si>
  <si>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</si>
  <si>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</si>
  <si>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</si>
  <si>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</si>
  <si>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</si>
  <si>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</si>
  <si>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</si>
  <si>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</si>
  <si>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</si>
  <si>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</si>
  <si>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</si>
  <si>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</si>
  <si>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</si>
  <si>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</si>
  <si>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</si>
  <si>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</si>
  <si>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</si>
  <si>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</si>
  <si>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</si>
  <si>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</si>
  <si>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</si>
  <si>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</si>
  <si>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</si>
  <si>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</si>
  <si>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</si>
  <si>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</si>
  <si>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</si>
  <si>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</si>
  <si>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</si>
  <si>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</si>
  <si>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</si>
  <si>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</si>
  <si>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</si>
  <si>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</si>
  <si>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</si>
  <si>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</si>
  <si>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</si>
  <si>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</si>
  <si>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</si>
  <si>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</si>
  <si>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</si>
  <si>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</si>
  <si>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</si>
  <si>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</si>
  <si>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</si>
  <si>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</si>
  <si>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</si>
  <si>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</si>
  <si>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</si>
  <si>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</si>
  <si>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</si>
  <si>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</si>
  <si>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</si>
  <si>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</si>
  <si>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</si>
  <si>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</si>
  <si>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</si>
  <si>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</si>
  <si>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</si>
  <si>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</si>
  <si>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</si>
  <si>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</si>
  <si>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</si>
  <si>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</si>
  <si>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</si>
  <si>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</si>
  <si>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</si>
  <si>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</si>
  <si>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</si>
  <si>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</si>
  <si>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</si>
  <si>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</si>
  <si>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</si>
  <si>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</si>
  <si>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</si>
  <si>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</si>
  <si>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</si>
  <si>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</si>
  <si>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</si>
  <si>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</si>
  <si>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</si>
  <si>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</si>
  <si>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</si>
  <si>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</si>
  <si>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</si>
  <si>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</si>
  <si>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</si>
  <si>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</si>
  <si>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</si>
  <si>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</si>
  <si>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</si>
  <si>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</si>
  <si>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</si>
  <si>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</si>
  <si>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</si>
  <si>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</si>
  <si>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</si>
  <si>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</si>
  <si>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</si>
  <si>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</si>
  <si>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</si>
  <si>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</si>
  <si>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</si>
  <si>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</si>
  <si>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</si>
  <si>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</si>
  <si>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</si>
  <si>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</si>
  <si>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</si>
  <si>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</si>
  <si>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</si>
  <si>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</si>
  <si>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</si>
  <si>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</si>
  <si>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</si>
  <si>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</si>
  <si>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</si>
  <si>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</si>
  <si>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</si>
  <si>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</si>
  <si>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</si>
  <si>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</si>
  <si>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</si>
  <si>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</si>
  <si>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</si>
  <si>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</si>
  <si>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</si>
  <si>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</si>
  <si>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</si>
  <si>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</si>
  <si>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</si>
  <si>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</si>
  <si>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</si>
  <si>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</si>
  <si>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</si>
  <si>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</si>
  <si>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</si>
  <si>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</si>
  <si>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</si>
  <si>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</si>
  <si>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</si>
  <si>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</si>
  <si>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</si>
  <si>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</si>
  <si>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</si>
  <si>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</si>
  <si>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</si>
  <si>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</si>
  <si>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</si>
  <si>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</si>
  <si>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</si>
  <si>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</si>
  <si>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</si>
  <si>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</si>
  <si>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</si>
  <si>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</si>
  <si>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</si>
  <si>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</si>
  <si>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</si>
  <si>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</si>
  <si>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</si>
  <si>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</si>
  <si>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</si>
  <si>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</si>
  <si>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</si>
  <si>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</si>
  <si>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</si>
  <si>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</si>
  <si>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</si>
  <si>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</si>
  <si>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</si>
  <si>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</si>
  <si>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</si>
  <si>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</si>
  <si>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</si>
  <si>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</si>
  <si>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</si>
  <si>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</si>
  <si>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</si>
  <si>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</si>
  <si>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</si>
  <si>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</si>
  <si>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</si>
  <si>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</si>
  <si>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</si>
  <si>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</si>
  <si>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</si>
  <si>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</si>
  <si>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</si>
  <si>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</si>
  <si>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</si>
  <si>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</si>
  <si>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</si>
  <si>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</si>
  <si>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</si>
  <si>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</si>
  <si>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</si>
  <si>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</si>
  <si>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</si>
  <si>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</si>
  <si>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</si>
  <si>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</si>
  <si>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</si>
  <si>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</si>
  <si>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</si>
  <si>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</si>
  <si>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</si>
  <si>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</si>
  <si>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</si>
  <si>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</si>
  <si>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</si>
  <si>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</si>
  <si>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</si>
  <si>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</si>
  <si>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</si>
  <si>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</si>
  <si>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</si>
  <si>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</si>
  <si>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</si>
  <si>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</si>
  <si>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</si>
  <si>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</si>
  <si>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</si>
  <si>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</si>
  <si>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</si>
  <si>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</si>
  <si>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</si>
  <si>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</si>
  <si>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</si>
  <si>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</si>
  <si>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</si>
  <si>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</si>
  <si>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</si>
  <si>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</si>
  <si>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</si>
  <si>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</si>
  <si>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</si>
  <si>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</si>
  <si>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</si>
  <si>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</si>
  <si>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</si>
  <si>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</si>
  <si>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</si>
  <si>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</si>
  <si>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</si>
  <si>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</si>
  <si>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</si>
  <si>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</si>
  <si>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</si>
  <si>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</si>
  <si>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</si>
  <si>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</si>
  <si>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</si>
  <si>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</si>
  <si>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</si>
  <si>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</si>
  <si>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</si>
  <si>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</si>
  <si>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</si>
  <si>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</si>
  <si>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</si>
  <si>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</si>
  <si>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</si>
  <si>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</si>
  <si>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</si>
  <si>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</si>
  <si>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</si>
  <si>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</si>
  <si>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</si>
  <si>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</si>
  <si>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</si>
  <si>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</si>
  <si>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</si>
  <si>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</si>
  <si>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</si>
  <si>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</si>
  <si>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</si>
  <si>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</si>
  <si>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</si>
  <si>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</si>
  <si>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</si>
  <si>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</si>
  <si>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</si>
  <si>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</si>
  <si>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</si>
  <si>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</si>
  <si>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</si>
  <si>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</si>
  <si>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</si>
  <si>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</si>
  <si>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</si>
  <si>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</si>
  <si>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</si>
  <si>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</si>
  <si>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</si>
  <si>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</si>
  <si>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</si>
  <si>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</si>
  <si>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</si>
  <si>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</si>
  <si>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</si>
  <si>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</si>
  <si>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</si>
  <si>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</si>
  <si>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</si>
  <si>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</si>
  <si>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</si>
  <si>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</si>
  <si>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</si>
  <si>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</si>
  <si>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</si>
  <si>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</si>
  <si>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</si>
  <si>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</si>
  <si>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</si>
  <si>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</si>
  <si>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</si>
  <si>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</si>
  <si>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</si>
  <si>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</si>
  <si>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</si>
  <si>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</si>
  <si>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</si>
  <si>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</si>
  <si>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</si>
  <si>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</si>
  <si>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</si>
  <si>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</si>
  <si>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</si>
  <si>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</si>
  <si>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</si>
  <si>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</si>
  <si>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</si>
  <si>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</si>
  <si>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</si>
  <si>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</si>
  <si>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</si>
  <si>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</si>
  <si>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</si>
  <si>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</si>
  <si>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</si>
  <si>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</si>
  <si>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</si>
  <si>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</si>
  <si>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</si>
  <si>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</si>
  <si>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</si>
  <si>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</si>
  <si>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</si>
  <si>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</si>
  <si>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</si>
  <si>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</si>
  <si>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</si>
  <si>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</si>
  <si>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</si>
  <si>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</si>
  <si>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</si>
  <si>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</si>
  <si>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</si>
  <si>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</si>
  <si>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</si>
  <si>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</si>
  <si>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</si>
  <si>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</si>
  <si>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</si>
  <si>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</si>
  <si>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</si>
  <si>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</si>
  <si>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</si>
  <si>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</si>
  <si>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</si>
  <si>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</si>
  <si>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</si>
  <si>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</si>
  <si>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</si>
  <si>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</si>
  <si>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</si>
  <si>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</si>
  <si>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</si>
  <si>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</si>
  <si>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</si>
  <si>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</si>
  <si>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</si>
  <si>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</si>
  <si>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</si>
  <si>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</si>
  <si>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</si>
  <si>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</si>
  <si>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</si>
  <si>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</si>
  <si>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</si>
  <si>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</si>
  <si>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</si>
  <si>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</si>
  <si>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</si>
  <si>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</si>
  <si>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</si>
  <si>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</si>
  <si>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</si>
  <si>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</si>
  <si>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</si>
  <si>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</si>
  <si>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</si>
  <si>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</si>
  <si>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</si>
  <si>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</si>
  <si>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</si>
  <si>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</si>
  <si>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</si>
  <si>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</si>
  <si>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</si>
  <si>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</si>
  <si>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</si>
  <si>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</si>
  <si>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</si>
  <si>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</si>
  <si>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</si>
  <si>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</si>
  <si>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</si>
  <si>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</si>
  <si>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</si>
  <si>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</si>
  <si>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</si>
  <si>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</si>
  <si>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</si>
  <si>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</si>
  <si>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</si>
  <si>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</si>
  <si>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</si>
  <si>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</si>
  <si>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</si>
  <si>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</si>
  <si>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</si>
  <si>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</si>
  <si>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</si>
  <si>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</si>
  <si>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</si>
  <si>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</si>
  <si>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</si>
  <si>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</si>
  <si>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</si>
  <si>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</si>
  <si>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</si>
  <si>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</si>
  <si>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</si>
  <si>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</si>
  <si>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</si>
  <si>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</si>
  <si>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</si>
  <si>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</si>
  <si>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</si>
  <si>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</si>
  <si>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</si>
  <si>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</si>
  <si>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</si>
  <si>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</si>
  <si>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</si>
  <si>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</si>
  <si>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</si>
  <si>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</si>
  <si>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</si>
  <si>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</si>
  <si>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</si>
  <si>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</si>
  <si>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</si>
  <si>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</si>
  <si>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</si>
  <si>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</si>
  <si>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</si>
  <si>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</si>
  <si>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</si>
  <si>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</si>
  <si>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</si>
  <si>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</si>
  <si>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</si>
  <si>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</si>
  <si>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</si>
  <si>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</si>
  <si>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</si>
  <si>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</si>
  <si>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</si>
  <si>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</si>
  <si>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</si>
  <si>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</si>
  <si>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</si>
  <si>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</si>
  <si>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</si>
  <si>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</si>
  <si>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</si>
  <si>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</si>
  <si>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</si>
  <si>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</si>
  <si>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</si>
  <si>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</si>
  <si>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</si>
  <si>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</si>
  <si>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</si>
  <si>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</si>
  <si>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</si>
  <si>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</si>
  <si>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</si>
  <si>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</si>
  <si>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</si>
  <si>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</si>
  <si>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</si>
  <si>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</si>
  <si>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</si>
  <si>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</si>
  <si>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</si>
  <si>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</si>
  <si>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</si>
  <si>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</si>
  <si>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</si>
  <si>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</si>
  <si>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</si>
  <si>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</si>
  <si>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</si>
  <si>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</si>
  <si>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</si>
  <si>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</si>
  <si>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</si>
  <si>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</si>
  <si>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</si>
  <si>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</si>
  <si>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</si>
  <si>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</si>
  <si>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</si>
  <si>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</si>
  <si>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</si>
  <si>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</si>
  <si>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</si>
  <si>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</si>
  <si>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</si>
  <si>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</si>
  <si>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</si>
  <si>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</si>
  <si>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</si>
  <si>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</si>
  <si>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</si>
  <si>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</si>
  <si>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</si>
  <si>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</si>
  <si>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</si>
  <si>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</si>
  <si>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</si>
  <si>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</si>
  <si>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</si>
  <si>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</si>
  <si>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</si>
  <si>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</si>
  <si>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</si>
  <si>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</si>
  <si>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</si>
  <si>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</si>
  <si>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</si>
  <si>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</si>
  <si>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</si>
  <si>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</si>
  <si>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</si>
  <si>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</si>
  <si>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</si>
  <si>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</si>
  <si>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</si>
  <si>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</si>
  <si>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</si>
  <si>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</si>
  <si>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</si>
  <si>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</si>
  <si>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</si>
  <si>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</si>
  <si>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</si>
  <si>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</si>
  <si>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</si>
  <si>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</si>
  <si>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</si>
  <si>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</si>
  <si>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</si>
  <si>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</si>
  <si>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</si>
  <si>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</si>
  <si>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</si>
  <si>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</si>
  <si>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</si>
  <si>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</si>
  <si>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</si>
  <si>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</si>
  <si>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</si>
  <si>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</si>
  <si>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</si>
  <si>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</si>
  <si>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</si>
  <si>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</si>
  <si>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</si>
  <si>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</si>
  <si>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</si>
  <si>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</si>
  <si>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</si>
  <si>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</si>
  <si>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</si>
  <si>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</si>
  <si>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</si>
  <si>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</si>
  <si>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</si>
  <si>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</si>
  <si>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</si>
  <si>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</si>
  <si>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</si>
  <si>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</si>
  <si>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</si>
  <si>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</si>
  <si>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</si>
  <si>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</si>
  <si>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</si>
  <si>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</si>
  <si>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</si>
  <si>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</si>
  <si>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</si>
  <si>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</si>
  <si>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</si>
  <si>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</si>
  <si>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</si>
  <si>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</si>
  <si>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</si>
  <si>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</si>
  <si>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</si>
  <si>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</si>
  <si>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</si>
  <si>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</si>
  <si>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</si>
  <si>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</si>
  <si>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</si>
  <si>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</si>
  <si>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</si>
  <si>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</si>
  <si>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</si>
  <si>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</si>
  <si>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</si>
  <si>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</si>
  <si>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</si>
  <si>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</si>
  <si>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</si>
  <si>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</si>
  <si>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</si>
  <si>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</si>
  <si>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</si>
  <si>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</si>
  <si>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</si>
  <si>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</si>
  <si>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</si>
  <si>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</si>
  <si>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</si>
  <si>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</si>
  <si>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</si>
  <si>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</si>
  <si>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</si>
  <si>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</si>
  <si>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</si>
  <si>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</si>
  <si>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</si>
  <si>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</si>
  <si>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</si>
  <si>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</si>
  <si>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</si>
  <si>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</si>
  <si>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</si>
  <si>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</si>
  <si>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</si>
  <si>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</si>
  <si>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</si>
  <si>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</si>
  <si>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</si>
  <si>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</si>
  <si>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</si>
  <si>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</si>
  <si>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</si>
  <si>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</si>
  <si>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</si>
  <si>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</si>
  <si>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</si>
  <si>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</si>
  <si>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</si>
  <si>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</si>
  <si>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</si>
  <si>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</si>
  <si>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</si>
  <si>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</si>
  <si>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</si>
  <si>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</si>
  <si>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</si>
  <si>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</si>
  <si>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</si>
  <si>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</si>
  <si>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</si>
  <si>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</si>
  <si>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</si>
  <si>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</si>
  <si>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</si>
  <si>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</si>
  <si>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</si>
  <si>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</si>
  <si>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</si>
  <si>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</si>
  <si>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</si>
  <si>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</si>
  <si>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</si>
  <si>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</si>
  <si>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</si>
  <si>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</si>
  <si>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</si>
  <si>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</si>
  <si>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</si>
  <si>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</si>
  <si>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</si>
  <si>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</si>
  <si>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</si>
  <si>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</si>
  <si>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</si>
  <si>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</si>
  <si>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</si>
  <si>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</si>
  <si>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</si>
  <si>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</si>
  <si>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</si>
  <si>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</si>
  <si>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</si>
  <si>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</si>
  <si>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</si>
  <si>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</si>
  <si>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</si>
  <si>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</si>
  <si>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</si>
  <si>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</si>
  <si>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</si>
  <si>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</si>
  <si>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</si>
  <si>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</si>
  <si>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</si>
  <si>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</si>
  <si>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</si>
  <si>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</si>
  <si>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</si>
  <si>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</si>
  <si>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</si>
  <si>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</si>
  <si>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</si>
  <si>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</si>
  <si>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</si>
  <si>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</si>
  <si>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</si>
  <si>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</si>
  <si>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</si>
  <si>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</si>
  <si>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</si>
  <si>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</si>
  <si>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</si>
  <si>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</si>
  <si>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</si>
  <si>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</si>
  <si>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</si>
  <si>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</si>
  <si>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</si>
  <si>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</si>
  <si>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</si>
  <si>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</si>
  <si>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</si>
  <si>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</si>
  <si>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</si>
  <si>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</si>
  <si>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</si>
  <si>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</si>
  <si>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</si>
  <si>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</si>
  <si>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</si>
  <si>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</si>
  <si>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</si>
  <si>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</si>
  <si>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</si>
  <si>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</si>
  <si>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</si>
  <si>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</si>
  <si>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</si>
  <si>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</si>
  <si>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</si>
  <si>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</si>
  <si>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</si>
  <si>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</si>
  <si>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</si>
  <si>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</si>
  <si>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</si>
  <si>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</si>
  <si>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</si>
  <si>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</si>
  <si>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</si>
  <si>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</si>
  <si>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</si>
  <si>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</si>
  <si>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</si>
  <si>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</si>
  <si>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</si>
  <si>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</si>
  <si>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</si>
  <si>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</si>
  <si>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</si>
  <si>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</si>
  <si>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</si>
  <si>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</si>
  <si>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</si>
  <si>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</si>
  <si>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</si>
  <si>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</si>
  <si>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</si>
  <si>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</si>
  <si>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</si>
  <si>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</si>
  <si>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</si>
  <si>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</si>
  <si>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</si>
  <si>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</si>
  <si>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</si>
  <si>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</si>
  <si>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</si>
  <si>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</si>
  <si>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</si>
  <si>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</si>
  <si>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</si>
  <si>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</si>
  <si>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</si>
  <si>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</si>
  <si>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</si>
  <si>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</si>
  <si>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</si>
  <si>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</si>
  <si>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</si>
  <si>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</si>
  <si>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</si>
  <si>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</si>
  <si>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</si>
  <si>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</si>
  <si>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</si>
  <si>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</si>
  <si>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</si>
  <si>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</si>
  <si>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</si>
  <si>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</si>
  <si>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</si>
  <si>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</si>
  <si>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</si>
  <si>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</si>
  <si>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</si>
  <si>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</si>
  <si>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</si>
  <si>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</si>
  <si>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</si>
  <si>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</si>
  <si>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</si>
  <si>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</si>
  <si>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</si>
  <si>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</si>
  <si>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</si>
  <si>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</si>
  <si>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</si>
  <si>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</si>
  <si>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</si>
  <si>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</si>
  <si>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</si>
  <si>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</si>
  <si>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</si>
  <si>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</si>
  <si>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</si>
  <si>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</si>
  <si>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</si>
  <si>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</si>
  <si>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</si>
  <si>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</si>
  <si>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</si>
  <si>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</si>
  <si>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</si>
  <si>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</si>
  <si>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</si>
  <si>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</si>
  <si>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</si>
  <si>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</si>
  <si>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</si>
  <si>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</si>
  <si>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</si>
  <si>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</si>
  <si>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</si>
  <si>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</si>
  <si>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</si>
  <si>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</si>
  <si>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</si>
  <si>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</si>
  <si>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</si>
  <si>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</si>
  <si>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</si>
  <si>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</si>
  <si>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</si>
  <si>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</si>
  <si>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</si>
  <si>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</si>
  <si>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</si>
  <si>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</si>
  <si>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</si>
  <si>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</si>
  <si>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</si>
  <si>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</si>
  <si>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</si>
  <si>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</si>
  <si>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</si>
  <si>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</si>
  <si>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</si>
  <si>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</si>
  <si>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</si>
  <si>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</si>
  <si>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</si>
  <si>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</si>
  <si>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</si>
  <si>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</si>
  <si>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</si>
  <si>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</si>
  <si>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</si>
  <si>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</si>
  <si>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</si>
  <si>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</si>
  <si>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</si>
  <si>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</si>
  <si>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</si>
  <si>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</si>
  <si>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</si>
  <si>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</si>
  <si>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</si>
  <si>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</si>
  <si>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</si>
  <si>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</si>
  <si>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</si>
  <si>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</si>
  <si>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</si>
  <si>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</si>
  <si>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</si>
  <si>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</si>
  <si>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</si>
  <si>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</si>
  <si>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</si>
  <si>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</si>
  <si>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</si>
  <si>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</si>
  <si>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</si>
  <si>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</si>
  <si>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</si>
  <si>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</si>
  <si>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</si>
  <si>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</si>
  <si>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</si>
  <si>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</si>
  <si>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</si>
  <si>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</si>
  <si>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</si>
  <si>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</si>
  <si>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</si>
  <si>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</si>
  <si>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</si>
  <si>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</si>
  <si>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</si>
  <si>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</si>
  <si>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</si>
  <si>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</si>
  <si>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</si>
  <si>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</si>
  <si>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</si>
  <si>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</si>
  <si>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</si>
  <si>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</si>
  <si>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</si>
  <si>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</si>
  <si>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</si>
  <si>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</si>
  <si>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</si>
  <si>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</si>
  <si>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</si>
  <si>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</si>
  <si>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</si>
  <si>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</si>
  <si>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</si>
  <si>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</si>
  <si>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</si>
  <si>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</si>
  <si>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</si>
  <si>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</si>
  <si>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</si>
  <si>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</si>
  <si>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</si>
  <si>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</si>
  <si>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</si>
  <si>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</si>
  <si>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</si>
  <si>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</si>
  <si>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</si>
  <si>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</si>
  <si>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</si>
  <si>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</si>
  <si>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</si>
  <si>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</si>
  <si>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</si>
  <si>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</si>
  <si>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</si>
  <si>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</si>
  <si>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</si>
  <si>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</si>
  <si>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</si>
  <si>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</si>
  <si>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</si>
  <si>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</si>
  <si>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</si>
  <si>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</si>
  <si>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</si>
  <si>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</si>
  <si>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</si>
  <si>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</si>
  <si>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</si>
  <si>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</si>
  <si>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</si>
  <si>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</si>
  <si>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</si>
  <si>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</si>
  <si>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</si>
  <si>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</si>
  <si>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</si>
  <si>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</si>
  <si>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</si>
  <si>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</si>
  <si>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</si>
  <si>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</si>
  <si>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</si>
  <si>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</si>
  <si>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</si>
  <si>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</si>
  <si>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</si>
  <si>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</si>
  <si>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</si>
  <si>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</si>
  <si>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</si>
  <si>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</si>
  <si>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</si>
  <si>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</si>
  <si>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</si>
  <si>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</si>
  <si>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</si>
  <si>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</si>
  <si>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</si>
  <si>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</si>
  <si>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</si>
  <si>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</si>
  <si>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</si>
  <si>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</si>
  <si>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</si>
  <si>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</si>
  <si>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</si>
  <si>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</si>
  <si>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</si>
  <si>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</si>
  <si>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</si>
  <si>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</si>
  <si>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</si>
  <si>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</si>
  <si>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</si>
  <si>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</si>
  <si>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</si>
  <si>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</si>
  <si>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</si>
  <si>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</si>
  <si>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</si>
  <si>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</si>
  <si>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</si>
  <si>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</si>
  <si>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</si>
  <si>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</si>
  <si>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</si>
  <si>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</si>
  <si>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</si>
  <si>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</si>
  <si>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</si>
  <si>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</si>
  <si>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</si>
  <si>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</si>
  <si>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</si>
  <si>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</si>
  <si>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</si>
  <si>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</si>
  <si>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</si>
  <si>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</si>
  <si>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</si>
  <si>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</si>
  <si>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</si>
  <si>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</si>
  <si>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</si>
  <si>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</si>
  <si>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</si>
  <si>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</si>
  <si>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</si>
  <si>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</si>
  <si>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</si>
  <si>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</si>
  <si>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</si>
  <si>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</si>
  <si>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</si>
  <si>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</si>
  <si>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</si>
  <si>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</si>
  <si>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</si>
  <si>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</si>
  <si>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</si>
  <si>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</si>
  <si>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</si>
  <si>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</si>
  <si>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</si>
  <si>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</si>
  <si>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</si>
  <si>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</si>
  <si>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</si>
  <si>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</si>
  <si>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</si>
  <si>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</si>
  <si>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</si>
  <si>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</si>
  <si>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</si>
  <si>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</si>
  <si>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</si>
  <si>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</si>
  <si>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</si>
  <si>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</si>
  <si>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</si>
  <si>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</si>
  <si>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</si>
  <si>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</si>
  <si>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</si>
  <si>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</si>
  <si>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</si>
  <si>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</si>
  <si>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</si>
  <si>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</si>
  <si>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</si>
  <si>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</si>
  <si>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</si>
  <si>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</si>
  <si>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</si>
  <si>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</si>
  <si>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</si>
  <si>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</si>
  <si>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</si>
  <si>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</si>
  <si>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</si>
  <si>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</si>
  <si>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</si>
  <si>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</si>
  <si>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</si>
  <si>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</si>
  <si>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</si>
  <si>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</si>
  <si>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</si>
  <si>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</si>
  <si>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</si>
  <si>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</si>
  <si>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</si>
  <si>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</si>
  <si>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</si>
  <si>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</si>
  <si>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</si>
  <si>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</si>
  <si>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</si>
  <si>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</si>
  <si>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</si>
  <si>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</si>
  <si>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</si>
  <si>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</si>
  <si>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</si>
  <si>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</si>
  <si>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</si>
  <si>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</si>
  <si>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</si>
  <si>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</si>
  <si>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</si>
  <si>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</si>
  <si>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</si>
  <si>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</si>
  <si>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</si>
  <si>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</si>
  <si>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</si>
  <si>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</si>
  <si>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</si>
  <si>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</si>
  <si>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</si>
  <si>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</si>
  <si>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</si>
  <si>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</si>
  <si>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</si>
  <si>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</si>
  <si>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</si>
  <si>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</si>
  <si>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</si>
  <si>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</si>
  <si>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</si>
  <si>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</si>
  <si>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</si>
  <si>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</si>
  <si>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</si>
  <si>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</si>
  <si>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</si>
  <si>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</si>
  <si>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</si>
  <si>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</si>
  <si>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</si>
  <si>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</si>
  <si>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</si>
  <si>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</si>
  <si>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</si>
  <si>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</si>
  <si>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</si>
  <si>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</si>
  <si>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</si>
  <si>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</si>
  <si>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Delabar CTE System</t>
  </si>
  <si>
    <t>Monmouth</t>
  </si>
  <si>
    <t>Nancy Bitner</t>
  </si>
  <si>
    <t>nbitner@roe33.net</t>
  </si>
  <si>
    <t>309-734-2452</t>
  </si>
  <si>
    <t>Cavanaugh, Davies, Blackman &amp; Cramblet</t>
  </si>
  <si>
    <t>Rod Davies</t>
  </si>
  <si>
    <t>1021 N. Main Street, PO Box 318</t>
  </si>
  <si>
    <t>IL</t>
  </si>
  <si>
    <t>309-734-2330</t>
  </si>
  <si>
    <t>309-734-2349</t>
  </si>
  <si>
    <t>cdbccpas@monmouthcpa.com</t>
  </si>
  <si>
    <t>Mrs. Jodi Scott</t>
  </si>
  <si>
    <t>jscott@roe33.net</t>
  </si>
  <si>
    <t>309-734-6822</t>
  </si>
  <si>
    <t>Audit Check #11 - The joint agreement does not have any participants in TRS.</t>
  </si>
  <si>
    <t>$19,298  #4745 - CTE Perkins Secondary</t>
  </si>
  <si>
    <t>#4190  Other Payments to In-State Govt. Units - Page 16, Line 83</t>
  </si>
  <si>
    <t>$66,381  Repay Admin Assessment Fee</t>
  </si>
  <si>
    <t>Other Current Assets - Page 5, Line 12</t>
  </si>
  <si>
    <t>$10,379 Cash held by ROE for Use by Delabar</t>
  </si>
  <si>
    <t>Statement on Auditing Standards 115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</si>
  <si>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key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</si>
  <si>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System accounting financial records are maintained by a limited number of employee.</t>
  </si>
  <si>
    <t>Segregation of duties is normally difficult to accomplish within a small governmental entity.  This corrective action is not practical in the circumstances, because the cost of implementing internal control procedures should not exceed the benefit derived.</t>
  </si>
  <si>
    <t>It is not economically feasible for the system to hire extra bookkeeping personnel at this time.</t>
  </si>
  <si>
    <t>2018-001</t>
  </si>
  <si>
    <t>Inadequate Segregation of Duties</t>
  </si>
  <si>
    <t xml:space="preserve">Repeat Finding - Corrective Action is not </t>
  </si>
  <si>
    <t>Practical in the Circumstances.</t>
  </si>
  <si>
    <t>2018-002</t>
  </si>
  <si>
    <t>Not all Economic Interest Statements were</t>
  </si>
  <si>
    <t>Filed By May 1st</t>
  </si>
  <si>
    <t>2018-003</t>
  </si>
  <si>
    <t xml:space="preserve">Total Expenditures May Not Exceed the System's </t>
  </si>
  <si>
    <t>121 S. Prairie St</t>
  </si>
  <si>
    <t>Galesburg</t>
  </si>
  <si>
    <t>Knox</t>
  </si>
  <si>
    <t>309-345-3828</t>
  </si>
  <si>
    <t>309-345-6735</t>
  </si>
  <si>
    <t>Total expenditures disbursed may not legally exceed the System's budgeted amounts.</t>
  </si>
  <si>
    <t>For the year ended June 30, 2019, actual expenditures exceeded the budget by $92,801.</t>
  </si>
  <si>
    <t>Not all of the System's expenditures were recorded in the accounting records.</t>
  </si>
  <si>
    <t>A review of expenditures compared to budget should be done on an ongoing basis.</t>
  </si>
  <si>
    <t>The Director will review actual and budgeted amounts before year-end, and amend the budget with the amounts necessary to cover actual expenditures.  Due to an oversight, the repayment of the members administrative assessment fee was not included in the budget.</t>
  </si>
  <si>
    <t>N/A - The System no longer has payroll</t>
  </si>
  <si>
    <t>Repeat Finding</t>
  </si>
  <si>
    <t>#4799 CTE Other - Page 13, Line 220</t>
  </si>
  <si>
    <t xml:space="preserve">Certain individuals have the ability to complete and record accounting functions which ideally would be segregated.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</si>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</sst>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54" fillId="0" borderId="0" xfId="3" applyFont="1" applyAlignment="1" applyProtection="1">
      <alignment horizontal="center"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 fillId="0" borderId="157" xfId="17" applyFont="1" applyBorder="1" applyAlignment="1" applyProtection="1">
      <alignment horizontal="left" vertical="top"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xdr:row>
          <xdr:rowOff>133350</xdr:rowOff>
        </xdr:from>
        <xdr:to>
          <xdr:col>1</xdr:col>
          <xdr:colOff>981075</xdr:colOff>
          <xdr:row>11</xdr:row>
          <xdr:rowOff>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xdr:row>
          <xdr:rowOff>76200</xdr:rowOff>
        </xdr:from>
        <xdr:to>
          <xdr:col>1</xdr:col>
          <xdr:colOff>1266825</xdr:colOff>
          <xdr:row>5</xdr:row>
          <xdr:rowOff>114300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3" t="s">
        <v>405</v>
      </c>
      <c r="J1" s="1984"/>
      <c r="K1" s="1984"/>
      <c r="L1" s="1984"/>
      <c r="M1" s="1984"/>
      <c r="N1" s="1984"/>
      <c r="O1" s="1984"/>
      <c r="P1" s="1984"/>
      <c r="Q1" s="1984"/>
      <c r="R1" s="1984"/>
      <c r="S1" s="1984"/>
    </row>
    <row r="2" spans="1:28" ht="12" customHeight="1" x14ac:dyDescent="0.2">
      <c r="A2" s="47" t="s">
        <v>1991</v>
      </c>
      <c r="D2" s="48"/>
      <c r="I2" s="1985" t="s">
        <v>979</v>
      </c>
      <c r="J2" s="1984"/>
      <c r="K2" s="1984"/>
      <c r="L2" s="1984"/>
      <c r="M2" s="1984"/>
      <c r="N2" s="1984"/>
      <c r="O2" s="1984"/>
      <c r="P2" s="1984"/>
      <c r="Q2" s="1984"/>
      <c r="R2" s="1984"/>
      <c r="S2" s="1984"/>
    </row>
    <row r="3" spans="1:28" ht="12" customHeight="1" x14ac:dyDescent="0.2">
      <c r="A3" s="155" t="s">
        <v>1943</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c r="C5" s="26" t="s">
        <v>910</v>
      </c>
      <c r="D5" s="84"/>
      <c r="E5" s="84"/>
      <c r="H5" s="38"/>
      <c r="I5" s="1993" t="s">
        <v>680</v>
      </c>
      <c r="J5" s="1992"/>
      <c r="K5" s="1992"/>
      <c r="L5" s="1992"/>
      <c r="M5" s="1992"/>
      <c r="N5" s="1992"/>
      <c r="O5" s="1992"/>
      <c r="P5" s="1992"/>
      <c r="Q5" s="1992"/>
      <c r="R5" s="1992"/>
      <c r="S5" s="1992"/>
    </row>
    <row r="6" spans="1:28" ht="14.1" customHeight="1" x14ac:dyDescent="0.2">
      <c r="B6" s="104" t="s">
        <v>2065</v>
      </c>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2065</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33094729045</v>
      </c>
      <c r="B13" s="2019"/>
      <c r="C13" s="2019"/>
      <c r="D13" s="2019"/>
      <c r="E13" s="2019"/>
      <c r="F13" s="2019"/>
      <c r="G13" s="2019"/>
      <c r="H13" s="2020"/>
      <c r="I13" s="31"/>
      <c r="J13" s="30"/>
      <c r="K13" s="28"/>
      <c r="L13" s="30"/>
      <c r="M13" s="30"/>
      <c r="N13" s="30"/>
      <c r="O13" s="30"/>
      <c r="P13" s="30"/>
      <c r="Q13" s="30"/>
      <c r="R13" s="30"/>
      <c r="S13" s="30"/>
      <c r="T13" s="2023" t="s">
        <v>2071</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2103</v>
      </c>
      <c r="B15" s="2021"/>
      <c r="C15" s="2021"/>
      <c r="D15" s="2021"/>
      <c r="E15" s="2021"/>
      <c r="F15" s="2021"/>
      <c r="G15" s="2021"/>
      <c r="H15" s="2022"/>
      <c r="T15" s="2027" t="s">
        <v>2072</v>
      </c>
      <c r="U15" s="1971"/>
      <c r="V15" s="1971"/>
      <c r="W15" s="1971"/>
      <c r="X15" s="1971"/>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2066</v>
      </c>
      <c r="B17" s="1978"/>
      <c r="C17" s="1978"/>
      <c r="D17" s="1978"/>
      <c r="E17" s="1978"/>
      <c r="F17" s="1978"/>
      <c r="G17" s="1978"/>
      <c r="H17" s="2003"/>
      <c r="T17" s="2034" t="s">
        <v>2073</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7" t="s">
        <v>2101</v>
      </c>
      <c r="B19" s="1963"/>
      <c r="C19" s="1963"/>
      <c r="D19" s="1963"/>
      <c r="E19" s="1963"/>
      <c r="F19" s="1963"/>
      <c r="G19" s="1963"/>
      <c r="H19" s="1943"/>
      <c r="I19" s="30"/>
      <c r="J19" s="99"/>
      <c r="K19" s="40"/>
      <c r="L19" s="38"/>
      <c r="M19" s="112" t="s">
        <v>315</v>
      </c>
      <c r="P19" s="27"/>
      <c r="Q19" s="27"/>
      <c r="R19" s="27"/>
      <c r="S19" s="31"/>
      <c r="T19" s="2017" t="s">
        <v>2067</v>
      </c>
      <c r="U19" s="1942"/>
      <c r="V19" s="1942"/>
      <c r="W19" s="1943"/>
      <c r="X19" s="2032" t="s">
        <v>2074</v>
      </c>
      <c r="Y19" s="2033"/>
      <c r="Z19" s="2030">
        <v>61462</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2102</v>
      </c>
      <c r="B21" s="1942"/>
      <c r="C21" s="1942"/>
      <c r="D21" s="1942"/>
      <c r="E21" s="1942"/>
      <c r="F21" s="1942"/>
      <c r="G21" s="1942"/>
      <c r="H21" s="1943"/>
      <c r="I21" s="1997" t="s">
        <v>678</v>
      </c>
      <c r="J21" s="1992"/>
      <c r="K21" s="1992"/>
      <c r="L21" s="1992"/>
      <c r="M21" s="1992"/>
      <c r="N21" s="1992"/>
      <c r="O21" s="1992"/>
      <c r="P21" s="1992"/>
      <c r="Q21" s="1992"/>
      <c r="R21" s="1992"/>
      <c r="S21" s="1998"/>
      <c r="T21" s="2041" t="s">
        <v>2075</v>
      </c>
      <c r="U21" s="2042"/>
      <c r="V21" s="2042"/>
      <c r="W21" s="2042"/>
      <c r="X21" s="2047" t="s">
        <v>2076</v>
      </c>
      <c r="Y21" s="2048"/>
      <c r="Z21" s="2048"/>
      <c r="AA21" s="2049"/>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t="s">
        <v>2069</v>
      </c>
      <c r="B23" s="1995"/>
      <c r="C23" s="1995"/>
      <c r="D23" s="1995"/>
      <c r="E23" s="1995"/>
      <c r="F23" s="1995"/>
      <c r="G23" s="1995"/>
      <c r="H23" s="1996"/>
      <c r="T23" s="1977">
        <v>60.008476000000002</v>
      </c>
      <c r="U23" s="2040"/>
      <c r="V23" s="2040"/>
      <c r="W23" s="2040"/>
      <c r="X23" s="2044">
        <v>44562</v>
      </c>
      <c r="Y23" s="2045"/>
      <c r="Z23" s="2045"/>
      <c r="AA23" s="2046"/>
    </row>
    <row r="24" spans="1:27" ht="14.1" customHeight="1" x14ac:dyDescent="0.2">
      <c r="A24" s="88" t="s">
        <v>677</v>
      </c>
      <c r="B24" s="49"/>
      <c r="C24" s="49"/>
      <c r="D24" s="49"/>
      <c r="E24" s="49"/>
      <c r="F24" s="49"/>
      <c r="G24" s="49"/>
      <c r="H24" s="61"/>
      <c r="J24" s="1964" t="str">
        <f>IF(B5="x",IF(AUDITCHECK!D29="AFR form Incomplete.","",IF(AUDITCHECK!D29="Deficit reduction plan is required.","School District must complete a deficit reduction plan in the 2019-2020 Budget",)),"")</f>
        <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1">
        <v>61401</v>
      </c>
      <c r="B25" s="1942"/>
      <c r="C25" s="1942"/>
      <c r="D25" s="1942"/>
      <c r="E25" s="1942"/>
      <c r="F25" s="1942"/>
      <c r="G25" s="1942"/>
      <c r="H25" s="1943"/>
      <c r="I25" s="113"/>
      <c r="J25" s="1966"/>
      <c r="K25" s="1966"/>
      <c r="L25" s="1966"/>
      <c r="M25" s="1966"/>
      <c r="N25" s="1966"/>
      <c r="O25" s="1966"/>
      <c r="P25" s="1966"/>
      <c r="Q25" s="1966"/>
      <c r="R25" s="1966"/>
      <c r="S25" s="1967"/>
      <c r="T25" s="2037" t="s">
        <v>2077</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42"/>
      <c r="R35" s="19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2068</v>
      </c>
      <c r="B38" s="1978"/>
      <c r="C38" s="1978"/>
      <c r="D38" s="1978"/>
      <c r="E38" s="1978"/>
      <c r="F38" s="1942"/>
      <c r="G38" s="1942"/>
      <c r="H38" s="1943"/>
      <c r="I38" s="1970"/>
      <c r="J38" s="1971"/>
      <c r="K38" s="1971"/>
      <c r="L38" s="1971"/>
      <c r="M38" s="1971"/>
      <c r="N38" s="1971"/>
      <c r="O38" s="1971"/>
      <c r="P38" s="1972"/>
      <c r="Q38" s="1972"/>
      <c r="R38" s="1972"/>
      <c r="S38" s="1973"/>
      <c r="T38" s="2027" t="s">
        <v>2078</v>
      </c>
      <c r="U38" s="1971"/>
      <c r="V38" s="1971"/>
      <c r="W38" s="1971"/>
      <c r="X38" s="1972"/>
      <c r="Y38" s="1972"/>
      <c r="Z38" s="1972"/>
      <c r="AA38" s="1973"/>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2069</v>
      </c>
      <c r="B40" s="1956"/>
      <c r="C40" s="1957"/>
      <c r="D40" s="1957"/>
      <c r="E40" s="1957"/>
      <c r="F40" s="1958"/>
      <c r="G40" s="1958"/>
      <c r="H40" s="1959"/>
      <c r="I40" s="1980"/>
      <c r="J40" s="1981"/>
      <c r="K40" s="1981"/>
      <c r="L40" s="1981"/>
      <c r="M40" s="1981"/>
      <c r="N40" s="1981"/>
      <c r="O40" s="1981"/>
      <c r="P40" s="1981"/>
      <c r="Q40" s="1981"/>
      <c r="R40" s="1981"/>
      <c r="S40" s="1982"/>
      <c r="T40" s="1980" t="s">
        <v>2079</v>
      </c>
      <c r="U40" s="2043"/>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2104</v>
      </c>
      <c r="B42" s="1961"/>
      <c r="C42" s="1962"/>
      <c r="D42" s="1960" t="s">
        <v>2105</v>
      </c>
      <c r="E42" s="1961"/>
      <c r="F42" s="1961"/>
      <c r="G42" s="1961"/>
      <c r="H42" s="1962"/>
      <c r="I42" s="1944"/>
      <c r="J42" s="1945"/>
      <c r="K42" s="1945"/>
      <c r="L42" s="1945"/>
      <c r="M42" s="1945"/>
      <c r="N42" s="1945"/>
      <c r="O42" s="1946"/>
      <c r="P42" s="1979"/>
      <c r="Q42" s="1945"/>
      <c r="R42" s="1945"/>
      <c r="S42" s="1946"/>
      <c r="T42" s="1944" t="s">
        <v>2080</v>
      </c>
      <c r="U42" s="1945"/>
      <c r="V42" s="1945"/>
      <c r="W42" s="1946"/>
      <c r="X42" s="1979" t="s">
        <v>2070</v>
      </c>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9"/>
      <c r="J44" s="1950"/>
      <c r="K44" s="1950"/>
      <c r="L44" s="1950"/>
      <c r="M44" s="1950"/>
      <c r="N44" s="1950"/>
      <c r="O44" s="1950"/>
      <c r="P44" s="1950"/>
      <c r="Q44" s="1950"/>
      <c r="R44" s="1950"/>
      <c r="S44" s="1951"/>
      <c r="T44" s="1949"/>
      <c r="U44" s="1968"/>
      <c r="V44" s="1968"/>
      <c r="W44" s="1968"/>
      <c r="X44" s="1968"/>
      <c r="Y44" s="1968"/>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43" sqref="D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7" colorId="8" zoomScale="110" zoomScaleNormal="110" workbookViewId="0">
      <selection activeCell="D43" sqref="D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1905</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43" sqref="D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1">
        <f>ROUND(D10+F10+H10,5)</f>
        <v>0</v>
      </c>
      <c r="K10" s="222"/>
      <c r="L10" s="355"/>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481017</v>
      </c>
      <c r="E16" s="356"/>
      <c r="F16" s="1732">
        <f>SUM('Acct Summary 7-8'!C17,'Acct Summary 7-8'!D17,'Acct Summary 7-8'!F17)</f>
        <v>546304</v>
      </c>
      <c r="G16" s="356"/>
      <c r="H16" s="1732">
        <f>SUM(D16-F16)</f>
        <v>-65287</v>
      </c>
      <c r="I16" s="222"/>
      <c r="J16" s="1732">
        <f>SUM('Acct Summary 7-8'!C81,'Acct Summary 7-8'!D81,'Acct Summary 7-8'!F81,'Acct Summary 7-8'!I81)</f>
        <v>10379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3" sqref="D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Delabar CTE System</v>
      </c>
      <c r="E7" s="391"/>
      <c r="G7" s="252"/>
      <c r="H7" s="387"/>
      <c r="I7" s="387"/>
      <c r="J7" s="387"/>
      <c r="K7" s="387"/>
      <c r="L7" s="329"/>
      <c r="M7" s="329"/>
      <c r="N7" s="329"/>
      <c r="O7" s="329"/>
      <c r="P7" s="329"/>
    </row>
    <row r="8" spans="1:18" ht="12.75" x14ac:dyDescent="0.2">
      <c r="A8" s="329"/>
      <c r="B8" s="329"/>
      <c r="C8" s="389" t="s">
        <v>1125</v>
      </c>
      <c r="D8" s="392">
        <f>COVER!A13</f>
        <v>33094729045</v>
      </c>
      <c r="E8" s="393"/>
      <c r="G8" s="329"/>
      <c r="H8" s="329"/>
      <c r="I8" s="329"/>
      <c r="J8" s="329"/>
      <c r="K8" s="329"/>
      <c r="L8" s="329"/>
      <c r="M8" s="329"/>
      <c r="N8" s="329"/>
      <c r="O8" s="329"/>
      <c r="P8" s="329"/>
    </row>
    <row r="9" spans="1:18" ht="12.75" x14ac:dyDescent="0.2">
      <c r="A9" s="329"/>
      <c r="B9" s="329"/>
      <c r="C9" s="389" t="s">
        <v>713</v>
      </c>
      <c r="D9" s="394" t="str">
        <f>COVER!A15</f>
        <v>Knox</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10379</v>
      </c>
      <c r="I12" s="404"/>
      <c r="J12" s="404"/>
      <c r="K12" s="405">
        <f>TRUNC((H12/H13*100000),5)/100000</f>
        <v>2.15771999E-2</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481017</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546304</v>
      </c>
      <c r="I17" s="404"/>
      <c r="J17" s="416"/>
      <c r="K17" s="405">
        <f>TRUNC((H17/H18*100000),5)/100000</f>
        <v>1.1357270117</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481017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-0.57779800000000003</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0</v>
      </c>
      <c r="I24" s="422"/>
      <c r="J24" s="422"/>
      <c r="K24" s="423">
        <f>TRUNC(((H24/H25*100000)/100000),2)</f>
        <v>0</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1517.5111099999999</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3" activePane="bottomLeft" state="frozen"/>
      <selection activeCell="D43" sqref="D43"/>
      <selection pane="bottomLeft" activeCell="D43" sqref="D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8"/>
      <c r="D3" s="1559"/>
      <c r="E3" s="1559"/>
      <c r="F3" s="1559"/>
      <c r="G3" s="1559"/>
      <c r="H3" s="1559"/>
      <c r="I3" s="1559"/>
      <c r="J3" s="1559"/>
      <c r="K3" s="1559"/>
      <c r="L3" s="1559"/>
      <c r="M3" s="1560"/>
      <c r="N3" s="1561"/>
    </row>
    <row r="4" spans="1:14" ht="13.5" customHeight="1" x14ac:dyDescent="0.2">
      <c r="A4" s="463" t="s">
        <v>1651</v>
      </c>
      <c r="B4" s="464"/>
      <c r="C4" s="465"/>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10379</v>
      </c>
      <c r="D12" s="466"/>
      <c r="E12" s="466"/>
      <c r="F12" s="466"/>
      <c r="G12" s="466"/>
      <c r="H12" s="466"/>
      <c r="I12" s="466"/>
      <c r="J12" s="467"/>
      <c r="K12" s="466"/>
      <c r="L12" s="466"/>
      <c r="M12" s="469"/>
      <c r="N12" s="469"/>
    </row>
    <row r="13" spans="1:14" ht="13.5" customHeight="1" thickBot="1" x14ac:dyDescent="0.25">
      <c r="A13" s="1735" t="s">
        <v>644</v>
      </c>
      <c r="B13" s="1708"/>
      <c r="C13" s="1736">
        <f>SUM(C4:C12)</f>
        <v>10379</v>
      </c>
      <c r="D13" s="1736">
        <f t="shared" ref="D13:L13" si="0">SUM(D4:D12)</f>
        <v>0</v>
      </c>
      <c r="E13" s="1736">
        <f t="shared" si="0"/>
        <v>0</v>
      </c>
      <c r="F13" s="1736">
        <f t="shared" si="0"/>
        <v>0</v>
      </c>
      <c r="G13" s="1736">
        <f t="shared" si="0"/>
        <v>0</v>
      </c>
      <c r="H13" s="1736">
        <f t="shared" si="0"/>
        <v>0</v>
      </c>
      <c r="I13" s="1736">
        <f t="shared" si="0"/>
        <v>0</v>
      </c>
      <c r="J13" s="1736">
        <f t="shared" si="0"/>
        <v>0</v>
      </c>
      <c r="K13" s="1736">
        <f t="shared" si="0"/>
        <v>0</v>
      </c>
      <c r="L13" s="1736">
        <f t="shared" si="0"/>
        <v>0</v>
      </c>
      <c r="M13" s="468"/>
      <c r="N13" s="469"/>
    </row>
    <row r="14" spans="1:14" ht="18" customHeight="1" thickTop="1" x14ac:dyDescent="0.2">
      <c r="A14" s="2110" t="s">
        <v>147</v>
      </c>
      <c r="B14" s="2111"/>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853568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5" t="s">
        <v>643</v>
      </c>
      <c r="B23" s="1740"/>
      <c r="C23" s="468"/>
      <c r="D23" s="468"/>
      <c r="E23" s="468"/>
      <c r="F23" s="468"/>
      <c r="G23" s="468"/>
      <c r="H23" s="468"/>
      <c r="I23" s="468"/>
      <c r="J23" s="468"/>
      <c r="K23" s="468"/>
      <c r="L23" s="468"/>
      <c r="M23" s="1687">
        <f>SUM(M15:M22)</f>
        <v>853568</v>
      </c>
      <c r="N23" s="1687">
        <f>SUM(N21:N22)</f>
        <v>0</v>
      </c>
    </row>
    <row r="24" spans="1:14" ht="18" customHeight="1" thickTop="1" x14ac:dyDescent="0.2">
      <c r="A24" s="2112" t="s">
        <v>598</v>
      </c>
      <c r="B24" s="2113"/>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0</v>
      </c>
      <c r="M34" s="468"/>
      <c r="N34" s="480"/>
    </row>
    <row r="35" spans="1:14" ht="18" customHeight="1" thickTop="1" x14ac:dyDescent="0.2">
      <c r="A35" s="2114" t="s">
        <v>529</v>
      </c>
      <c r="B35" s="2115"/>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5" t="s">
        <v>653</v>
      </c>
      <c r="B37" s="1740"/>
      <c r="C37" s="477"/>
      <c r="D37" s="477"/>
      <c r="E37" s="477"/>
      <c r="F37" s="477"/>
      <c r="G37" s="477"/>
      <c r="H37" s="477"/>
      <c r="I37" s="477"/>
      <c r="J37" s="477"/>
      <c r="K37" s="477"/>
      <c r="L37" s="480"/>
      <c r="M37" s="468"/>
      <c r="N37" s="1687">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10379</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853568</v>
      </c>
      <c r="N40" s="497"/>
    </row>
    <row r="41" spans="1:14" ht="13.5" customHeight="1" thickBot="1" x14ac:dyDescent="0.25">
      <c r="A41" s="1735" t="s">
        <v>655</v>
      </c>
      <c r="B41" s="1705"/>
      <c r="C41" s="1687">
        <f>(SUM(C34,C37,C38,C39))</f>
        <v>10379</v>
      </c>
      <c r="D41" s="1687">
        <f t="shared" ref="D41:L41" si="2">SUM(D34,D37,D38:D39)</f>
        <v>0</v>
      </c>
      <c r="E41" s="1687">
        <f t="shared" si="2"/>
        <v>0</v>
      </c>
      <c r="F41" s="1687">
        <f t="shared" si="2"/>
        <v>0</v>
      </c>
      <c r="G41" s="1687">
        <f t="shared" si="2"/>
        <v>0</v>
      </c>
      <c r="H41" s="1687">
        <f t="shared" si="2"/>
        <v>0</v>
      </c>
      <c r="I41" s="1687">
        <f t="shared" si="2"/>
        <v>0</v>
      </c>
      <c r="J41" s="1687">
        <f t="shared" si="2"/>
        <v>0</v>
      </c>
      <c r="K41" s="1687">
        <f t="shared" si="2"/>
        <v>0</v>
      </c>
      <c r="L41" s="1687">
        <f t="shared" si="2"/>
        <v>0</v>
      </c>
      <c r="M41" s="1687">
        <f>SUM(M40)</f>
        <v>853568</v>
      </c>
      <c r="N41" s="1687">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D43" sqref="D43"/>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2"/>
      <c r="D3" s="1573"/>
      <c r="E3" s="1573"/>
      <c r="F3" s="1573"/>
      <c r="G3" s="1573"/>
      <c r="H3" s="1573"/>
      <c r="I3" s="1573"/>
      <c r="J3" s="1573"/>
      <c r="K3" s="1574"/>
      <c r="L3" s="506"/>
    </row>
    <row r="4" spans="1:13" ht="15.75" customHeight="1" x14ac:dyDescent="0.2">
      <c r="A4" s="1927" t="s">
        <v>1499</v>
      </c>
      <c r="B4" s="1928">
        <v>1000</v>
      </c>
      <c r="C4" s="1741">
        <f>'Revenues 9-14'!C109</f>
        <v>78451</v>
      </c>
      <c r="D4" s="1741">
        <f>'Revenues 9-14'!D109</f>
        <v>0</v>
      </c>
      <c r="E4" s="1741">
        <f>'Revenues 9-14'!E109</f>
        <v>0</v>
      </c>
      <c r="F4" s="1741">
        <f>'Revenues 9-14'!F109</f>
        <v>0</v>
      </c>
      <c r="G4" s="1741">
        <f>'Revenues 9-14'!G109</f>
        <v>0</v>
      </c>
      <c r="H4" s="1741">
        <f>'Revenues 9-14'!H109</f>
        <v>0</v>
      </c>
      <c r="I4" s="1741">
        <f>'Revenues 9-14'!I109</f>
        <v>0</v>
      </c>
      <c r="J4" s="1741">
        <f>'Revenues 9-14'!J109</f>
        <v>0</v>
      </c>
      <c r="K4" s="1741">
        <f>'Revenues 9-14'!K109</f>
        <v>0</v>
      </c>
      <c r="L4" s="347"/>
    </row>
    <row r="5" spans="1:13" ht="15.75" customHeight="1" x14ac:dyDescent="0.2">
      <c r="A5" s="1575" t="s">
        <v>1500</v>
      </c>
      <c r="B5" s="1576">
        <v>2000</v>
      </c>
      <c r="C5" s="1742">
        <f>'Revenues 9-14'!C114</f>
        <v>169180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214088</v>
      </c>
      <c r="D6" s="1742">
        <f>'Revenues 9-14'!D170</f>
        <v>0</v>
      </c>
      <c r="E6" s="1742">
        <f>'Revenues 9-14'!E170</f>
        <v>0</v>
      </c>
      <c r="F6" s="1742">
        <f>'Revenues 9-14'!F170</f>
        <v>0</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19298</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481017</v>
      </c>
      <c r="D8" s="1687">
        <f t="shared" ref="D8:K8" si="0">SUM(D4:D7)</f>
        <v>0</v>
      </c>
      <c r="E8" s="1687">
        <f t="shared" si="0"/>
        <v>0</v>
      </c>
      <c r="F8" s="1687">
        <f t="shared" si="0"/>
        <v>0</v>
      </c>
      <c r="G8" s="1687">
        <f t="shared" si="0"/>
        <v>0</v>
      </c>
      <c r="H8" s="1687">
        <f t="shared" si="0"/>
        <v>0</v>
      </c>
      <c r="I8" s="1687">
        <f t="shared" si="0"/>
        <v>0</v>
      </c>
      <c r="J8" s="1687">
        <f t="shared" si="0"/>
        <v>0</v>
      </c>
      <c r="K8" s="1687">
        <f t="shared" si="0"/>
        <v>0</v>
      </c>
      <c r="L8" s="347"/>
    </row>
    <row r="9" spans="1:13" ht="15.75" thickTop="1" x14ac:dyDescent="0.2">
      <c r="A9" s="514" t="s">
        <v>1653</v>
      </c>
      <c r="B9" s="515">
        <v>3998</v>
      </c>
      <c r="C9" s="481">
        <v>0</v>
      </c>
      <c r="D9" s="516"/>
      <c r="E9" s="481"/>
      <c r="F9" s="481"/>
      <c r="G9" s="517"/>
      <c r="H9" s="481"/>
      <c r="I9" s="509" t="s">
        <v>1169</v>
      </c>
      <c r="J9" s="478"/>
      <c r="K9" s="481"/>
      <c r="L9" s="347"/>
    </row>
    <row r="10" spans="1:13" s="519" customFormat="1" ht="13.5" thickBot="1" x14ac:dyDescent="0.25">
      <c r="A10" s="1735" t="s">
        <v>1173</v>
      </c>
      <c r="B10" s="1708"/>
      <c r="C10" s="1687">
        <f>SUM(C8:C9)</f>
        <v>481017</v>
      </c>
      <c r="D10" s="1687">
        <f t="shared" ref="D10:K10" si="1">SUM(D8:D9)</f>
        <v>0</v>
      </c>
      <c r="E10" s="1687">
        <f t="shared" si="1"/>
        <v>0</v>
      </c>
      <c r="F10" s="1687">
        <f t="shared" si="1"/>
        <v>0</v>
      </c>
      <c r="G10" s="1687">
        <f t="shared" si="1"/>
        <v>0</v>
      </c>
      <c r="H10" s="1687">
        <f t="shared" si="1"/>
        <v>0</v>
      </c>
      <c r="I10" s="1687">
        <f t="shared" si="1"/>
        <v>0</v>
      </c>
      <c r="J10" s="1687">
        <f t="shared" si="1"/>
        <v>0</v>
      </c>
      <c r="K10" s="1687">
        <f t="shared" si="1"/>
        <v>0</v>
      </c>
      <c r="L10" s="518"/>
    </row>
    <row r="11" spans="1:13" s="519" customFormat="1" ht="16.7" customHeight="1" thickTop="1" x14ac:dyDescent="0.2">
      <c r="A11" s="2110" t="s">
        <v>1176</v>
      </c>
      <c r="B11" s="2111"/>
      <c r="C11" s="1569"/>
      <c r="D11" s="1570"/>
      <c r="E11" s="1570"/>
      <c r="F11" s="1570"/>
      <c r="G11" s="1570"/>
      <c r="H11" s="1570"/>
      <c r="I11" s="1570"/>
      <c r="J11" s="1570"/>
      <c r="K11" s="1571"/>
      <c r="L11" s="518"/>
    </row>
    <row r="12" spans="1:13" ht="15.75" customHeight="1" x14ac:dyDescent="0.2">
      <c r="A12" s="1575" t="s">
        <v>456</v>
      </c>
      <c r="B12" s="1577">
        <v>1000</v>
      </c>
      <c r="C12" s="1741">
        <f>'Expenditures 15-22'!K33</f>
        <v>174217</v>
      </c>
      <c r="D12" s="520" t="s">
        <v>1169</v>
      </c>
      <c r="E12" s="468" t="s">
        <v>1169</v>
      </c>
      <c r="F12" s="468" t="s">
        <v>1169</v>
      </c>
      <c r="G12" s="1741">
        <f>'Expenditures 15-22'!K229</f>
        <v>0</v>
      </c>
      <c r="H12" s="521"/>
      <c r="I12" s="468" t="s">
        <v>1169</v>
      </c>
      <c r="J12" s="468" t="s">
        <v>1169</v>
      </c>
      <c r="K12" s="521" t="s">
        <v>1169</v>
      </c>
      <c r="L12" s="347"/>
    </row>
    <row r="13" spans="1:13" ht="15.75" customHeight="1" x14ac:dyDescent="0.2">
      <c r="A13" s="1575" t="s">
        <v>457</v>
      </c>
      <c r="B13" s="1577">
        <v>2000</v>
      </c>
      <c r="C13" s="1742">
        <f>'Expenditures 15-22'!K74</f>
        <v>136208</v>
      </c>
      <c r="D13" s="1742">
        <f>'Expenditures 15-22'!K129</f>
        <v>0</v>
      </c>
      <c r="E13" s="469" t="s">
        <v>1169</v>
      </c>
      <c r="F13" s="1742">
        <f>'Expenditures 15-22'!K184</f>
        <v>0</v>
      </c>
      <c r="G13" s="1742">
        <f>'Expenditures 15-22'!K279</f>
        <v>0</v>
      </c>
      <c r="H13" s="1742">
        <f>'Expenditures 15-22'!K303</f>
        <v>0</v>
      </c>
      <c r="I13" s="468" t="s">
        <v>1169</v>
      </c>
      <c r="J13" s="1742">
        <f>'Expenditures 15-22'!K330</f>
        <v>0</v>
      </c>
      <c r="K13" s="1746">
        <f>'Expenditures 15-22'!K352</f>
        <v>0</v>
      </c>
      <c r="L13" s="347"/>
    </row>
    <row r="14" spans="1:13" ht="15.75" customHeight="1" x14ac:dyDescent="0.2">
      <c r="A14" s="1575" t="s">
        <v>449</v>
      </c>
      <c r="B14" s="1577">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235879</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0</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546304</v>
      </c>
      <c r="D17" s="1687">
        <f t="shared" si="2"/>
        <v>0</v>
      </c>
      <c r="E17" s="1687">
        <f t="shared" si="2"/>
        <v>0</v>
      </c>
      <c r="F17" s="1687">
        <f t="shared" si="2"/>
        <v>0</v>
      </c>
      <c r="G17" s="1687">
        <f t="shared" si="2"/>
        <v>0</v>
      </c>
      <c r="H17" s="1687">
        <f t="shared" si="2"/>
        <v>0</v>
      </c>
      <c r="I17" s="468"/>
      <c r="J17" s="1687">
        <f>SUM(J12:J16)</f>
        <v>0</v>
      </c>
      <c r="K17" s="1687">
        <f>SUM(K12:K16)</f>
        <v>0</v>
      </c>
      <c r="L17" s="347"/>
    </row>
    <row r="18" spans="1:12" ht="15" customHeight="1" thickTop="1" x14ac:dyDescent="0.2">
      <c r="A18" s="1743" t="s">
        <v>1654</v>
      </c>
      <c r="B18" s="1744">
        <v>4180</v>
      </c>
      <c r="C18" s="1741">
        <f t="shared" ref="C18:H18" si="3">C9</f>
        <v>0</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546304</v>
      </c>
      <c r="D19" s="1687">
        <f t="shared" si="4"/>
        <v>0</v>
      </c>
      <c r="E19" s="1687">
        <f t="shared" si="4"/>
        <v>0</v>
      </c>
      <c r="F19" s="1687">
        <f t="shared" si="4"/>
        <v>0</v>
      </c>
      <c r="G19" s="1687">
        <f t="shared" si="4"/>
        <v>0</v>
      </c>
      <c r="H19" s="1687">
        <f t="shared" si="4"/>
        <v>0</v>
      </c>
      <c r="I19" s="468"/>
      <c r="J19" s="1687">
        <f>SUM(J17:J18)</f>
        <v>0</v>
      </c>
      <c r="K19" s="1687">
        <f>SUM(K17:K18)</f>
        <v>0</v>
      </c>
      <c r="L19" s="347"/>
    </row>
    <row r="20" spans="1:12" ht="16.5" thickTop="1" thickBot="1" x14ac:dyDescent="0.25">
      <c r="A20" s="2126" t="s">
        <v>1655</v>
      </c>
      <c r="B20" s="2127"/>
      <c r="C20" s="1745">
        <f>C8-C17</f>
        <v>-65287</v>
      </c>
      <c r="D20" s="1745">
        <f t="shared" ref="D20:K20" si="5">D8-D17</f>
        <v>0</v>
      </c>
      <c r="E20" s="1745">
        <f t="shared" si="5"/>
        <v>0</v>
      </c>
      <c r="F20" s="1745">
        <f t="shared" si="5"/>
        <v>0</v>
      </c>
      <c r="G20" s="1745">
        <f t="shared" si="5"/>
        <v>0</v>
      </c>
      <c r="H20" s="1745">
        <f t="shared" si="5"/>
        <v>0</v>
      </c>
      <c r="I20" s="1745">
        <f t="shared" si="5"/>
        <v>0</v>
      </c>
      <c r="J20" s="1745">
        <f t="shared" si="5"/>
        <v>0</v>
      </c>
      <c r="K20" s="1745">
        <f t="shared" si="5"/>
        <v>0</v>
      </c>
      <c r="L20" s="347"/>
    </row>
    <row r="21" spans="1:12" ht="16.7" customHeight="1" thickTop="1" x14ac:dyDescent="0.2">
      <c r="A21" s="2138" t="s">
        <v>595</v>
      </c>
      <c r="B21" s="2139"/>
      <c r="C21" s="1569"/>
      <c r="D21" s="1570"/>
      <c r="E21" s="1570"/>
      <c r="F21" s="1570"/>
      <c r="G21" s="1570"/>
      <c r="H21" s="1570"/>
      <c r="I21" s="1570"/>
      <c r="J21" s="1570"/>
      <c r="K21" s="1571"/>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8" t="s">
        <v>1177</v>
      </c>
      <c r="B77" s="2119"/>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2" t="s">
        <v>597</v>
      </c>
      <c r="B78" s="2123"/>
      <c r="C78" s="1701">
        <f t="shared" ref="C78:K78" si="9">C20+C77</f>
        <v>-65287</v>
      </c>
      <c r="D78" s="1701">
        <f t="shared" si="9"/>
        <v>0</v>
      </c>
      <c r="E78" s="1701">
        <f t="shared" si="9"/>
        <v>0</v>
      </c>
      <c r="F78" s="1701">
        <f t="shared" si="9"/>
        <v>0</v>
      </c>
      <c r="G78" s="1701">
        <f t="shared" si="9"/>
        <v>0</v>
      </c>
      <c r="H78" s="1701">
        <f t="shared" si="9"/>
        <v>0</v>
      </c>
      <c r="I78" s="1701">
        <f t="shared" si="9"/>
        <v>0</v>
      </c>
      <c r="J78" s="1701">
        <f t="shared" si="9"/>
        <v>0</v>
      </c>
      <c r="K78" s="1701">
        <f t="shared" si="9"/>
        <v>0</v>
      </c>
      <c r="L78" s="533"/>
    </row>
    <row r="79" spans="1:12" ht="13.5" thickTop="1" x14ac:dyDescent="0.2">
      <c r="A79" s="1493" t="s">
        <v>1947</v>
      </c>
      <c r="B79" s="534"/>
      <c r="C79" s="478">
        <v>75666</v>
      </c>
      <c r="D79" s="535"/>
      <c r="E79" s="535"/>
      <c r="F79" s="535"/>
      <c r="G79" s="535"/>
      <c r="H79" s="535"/>
      <c r="I79" s="535"/>
      <c r="J79" s="535"/>
      <c r="K79" s="535"/>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1948</v>
      </c>
      <c r="B81" s="2121"/>
      <c r="C81" s="1687">
        <f>(SUM(C78:C80))</f>
        <v>10379</v>
      </c>
      <c r="D81" s="1687">
        <f>SUM(D78:D80)</f>
        <v>0</v>
      </c>
      <c r="E81" s="1687">
        <f t="shared" ref="E81:K81" si="10">SUM(E78:E80)</f>
        <v>0</v>
      </c>
      <c r="F81" s="1687">
        <f t="shared" si="10"/>
        <v>0</v>
      </c>
      <c r="G81" s="1687">
        <f t="shared" si="10"/>
        <v>0</v>
      </c>
      <c r="H81" s="1687">
        <f t="shared" si="10"/>
        <v>0</v>
      </c>
      <c r="I81" s="1687">
        <f t="shared" si="10"/>
        <v>0</v>
      </c>
      <c r="J81" s="1687">
        <f t="shared" si="10"/>
        <v>0</v>
      </c>
      <c r="K81" s="1687">
        <f t="shared" si="10"/>
        <v>0</v>
      </c>
      <c r="L81" s="347"/>
    </row>
    <row r="82" spans="1:12" ht="0.75" customHeight="1" thickTop="1" thickBot="1" x14ac:dyDescent="0.25">
      <c r="A82" s="536" t="s">
        <v>343</v>
      </c>
      <c r="B82" s="537"/>
      <c r="C82" s="538">
        <f>(C81-C79)</f>
        <v>-65287</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-6.2902977165430194</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D43" sqref="D43"/>
      <selection pane="bottomLeft" activeCell="C135" sqref="C13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0</v>
      </c>
      <c r="D12" s="1706">
        <f t="shared" si="0"/>
        <v>0</v>
      </c>
      <c r="E12" s="1706">
        <f t="shared" si="0"/>
        <v>0</v>
      </c>
      <c r="F12" s="1706">
        <f t="shared" si="0"/>
        <v>0</v>
      </c>
      <c r="G12" s="1706">
        <f t="shared" si="0"/>
        <v>0</v>
      </c>
      <c r="H12" s="1706">
        <f t="shared" si="0"/>
        <v>0</v>
      </c>
      <c r="I12" s="1706">
        <f t="shared" si="0"/>
        <v>0</v>
      </c>
      <c r="J12" s="1706">
        <f t="shared" si="0"/>
        <v>0</v>
      </c>
      <c r="K12" s="1687">
        <f t="shared" si="0"/>
        <v>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0</v>
      </c>
      <c r="D18" s="1709">
        <f t="shared" ref="D18:K18" si="1">SUM(D14:D17)</f>
        <v>0</v>
      </c>
      <c r="E18" s="1709">
        <f t="shared" si="1"/>
        <v>0</v>
      </c>
      <c r="F18" s="1709">
        <f t="shared" si="1"/>
        <v>0</v>
      </c>
      <c r="G18" s="1709">
        <f t="shared" si="1"/>
        <v>0</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96</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96</v>
      </c>
      <c r="D67" s="1687">
        <f t="shared" ref="D67:K67" si="2">SUM(D65:D66)</f>
        <v>0</v>
      </c>
      <c r="E67" s="1687">
        <f t="shared" si="2"/>
        <v>0</v>
      </c>
      <c r="F67" s="1687">
        <f t="shared" si="2"/>
        <v>0</v>
      </c>
      <c r="G67" s="1687">
        <f t="shared" si="2"/>
        <v>0</v>
      </c>
      <c r="H67" s="1687">
        <f t="shared" si="2"/>
        <v>0</v>
      </c>
      <c r="I67" s="1687">
        <f t="shared" si="2"/>
        <v>0</v>
      </c>
      <c r="J67" s="1687">
        <f t="shared" si="2"/>
        <v>0</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0</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0</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v>78122</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233</v>
      </c>
      <c r="D107" s="466"/>
      <c r="E107" s="466"/>
      <c r="F107" s="466"/>
      <c r="G107" s="466"/>
      <c r="H107" s="466"/>
      <c r="I107" s="466"/>
      <c r="J107" s="467"/>
      <c r="K107" s="466"/>
    </row>
    <row r="108" spans="1:12" ht="12.75" customHeight="1" thickBot="1" x14ac:dyDescent="0.25">
      <c r="A108" s="1707" t="s">
        <v>487</v>
      </c>
      <c r="B108" s="1711"/>
      <c r="C108" s="1706">
        <f>SUM(C95:C107)</f>
        <v>78355</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78451</v>
      </c>
      <c r="D109" s="1714">
        <f t="shared" si="4"/>
        <v>0</v>
      </c>
      <c r="E109" s="1714">
        <f t="shared" si="4"/>
        <v>0</v>
      </c>
      <c r="F109" s="1714">
        <f t="shared" si="4"/>
        <v>0</v>
      </c>
      <c r="G109" s="1714">
        <f t="shared" si="4"/>
        <v>0</v>
      </c>
      <c r="H109" s="1714">
        <f t="shared" si="4"/>
        <v>0</v>
      </c>
      <c r="I109" s="1714">
        <f t="shared" si="4"/>
        <v>0</v>
      </c>
      <c r="J109" s="1714">
        <f t="shared" si="4"/>
        <v>0</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v>111285</v>
      </c>
      <c r="D111" s="481"/>
      <c r="E111" s="561"/>
      <c r="F111" s="481"/>
      <c r="G111" s="481"/>
      <c r="H111" s="561"/>
      <c r="I111" s="468"/>
      <c r="J111" s="468"/>
      <c r="K111" s="468"/>
    </row>
    <row r="112" spans="1:12" ht="12.75" customHeight="1" x14ac:dyDescent="0.2">
      <c r="A112" s="463" t="s">
        <v>824</v>
      </c>
      <c r="B112" s="470">
        <v>2200</v>
      </c>
      <c r="C112" s="551">
        <v>57895</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169180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1934</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0</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214088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214088</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0</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c r="D168" s="580"/>
      <c r="E168" s="580"/>
      <c r="F168" s="580"/>
      <c r="G168" s="581"/>
      <c r="H168" s="582"/>
      <c r="I168" s="581"/>
      <c r="J168" s="581"/>
      <c r="K168" s="582"/>
    </row>
    <row r="169" spans="1:11" ht="12.75" customHeight="1" thickTop="1" thickBot="1" x14ac:dyDescent="0.25">
      <c r="A169" s="2144" t="s">
        <v>398</v>
      </c>
      <c r="B169" s="2145"/>
      <c r="C169" s="1721">
        <f t="shared" ref="C169:K169" si="6">SUM(C132,C141,C145,C146:C150,C155,C156:C167,C168)</f>
        <v>214088</v>
      </c>
      <c r="D169" s="1721">
        <f t="shared" si="6"/>
        <v>0</v>
      </c>
      <c r="E169" s="1721">
        <f t="shared" si="6"/>
        <v>0</v>
      </c>
      <c r="F169" s="1721">
        <f t="shared" si="6"/>
        <v>0</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214088</v>
      </c>
      <c r="D170" s="1714">
        <f t="shared" si="7"/>
        <v>0</v>
      </c>
      <c r="E170" s="1714">
        <f t="shared" si="7"/>
        <v>0</v>
      </c>
      <c r="F170" s="1714">
        <f t="shared" si="7"/>
        <v>0</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0</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0</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19298</v>
      </c>
      <c r="D220" s="466"/>
      <c r="E220" s="468"/>
      <c r="F220" s="468"/>
      <c r="G220" s="466"/>
      <c r="H220" s="468"/>
      <c r="I220" s="468"/>
      <c r="J220" s="468"/>
      <c r="K220" s="468"/>
    </row>
    <row r="221" spans="1:11" ht="12.75" customHeight="1" thickBot="1" x14ac:dyDescent="0.25">
      <c r="A221" s="1722" t="s">
        <v>1085</v>
      </c>
      <c r="B221" s="1723"/>
      <c r="C221" s="1706">
        <f>SUM(C219:C220)</f>
        <v>19298</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1935</v>
      </c>
      <c r="B261" s="470">
        <v>4981</v>
      </c>
      <c r="C261" s="575"/>
      <c r="D261" s="576"/>
      <c r="E261" s="468"/>
      <c r="F261" s="576"/>
      <c r="G261" s="576"/>
      <c r="H261" s="468"/>
      <c r="I261" s="468"/>
      <c r="J261" s="468"/>
      <c r="K261" s="468"/>
    </row>
    <row r="262" spans="1:11" ht="12.75" customHeight="1" thickTop="1" thickBot="1" x14ac:dyDescent="0.25">
      <c r="A262" s="1930"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19298</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19298</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481017</v>
      </c>
      <c r="D268" s="1714">
        <f t="shared" si="12"/>
        <v>0</v>
      </c>
      <c r="E268" s="1714">
        <f t="shared" si="12"/>
        <v>0</v>
      </c>
      <c r="F268" s="1714">
        <f t="shared" si="12"/>
        <v>0</v>
      </c>
      <c r="G268" s="1714">
        <f t="shared" si="12"/>
        <v>0</v>
      </c>
      <c r="H268" s="1714">
        <f t="shared" si="12"/>
        <v>0</v>
      </c>
      <c r="I268" s="1714">
        <f t="shared" si="12"/>
        <v>0</v>
      </c>
      <c r="J268" s="1714">
        <f t="shared" si="12"/>
        <v>0</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04" activePane="bottomLeft" state="frozen"/>
      <selection activeCell="D43" sqref="D43"/>
      <selection pane="bottomLeft" activeCell="D43" sqref="D4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c r="D5" s="466"/>
      <c r="E5" s="466"/>
      <c r="F5" s="466"/>
      <c r="G5" s="466"/>
      <c r="H5" s="466"/>
      <c r="I5" s="467"/>
      <c r="J5" s="467"/>
      <c r="K5" s="1670">
        <f>SUM(C5:J5)</f>
        <v>0</v>
      </c>
      <c r="L5" s="466"/>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c r="D7" s="467"/>
      <c r="E7" s="467"/>
      <c r="F7" s="467"/>
      <c r="G7" s="467"/>
      <c r="H7" s="467"/>
      <c r="I7" s="467"/>
      <c r="J7" s="467"/>
      <c r="K7" s="1670">
        <f t="shared" ref="K7:K32" si="0">SUM(C7:J7)</f>
        <v>0</v>
      </c>
      <c r="L7" s="466"/>
    </row>
    <row r="8" spans="1:14" x14ac:dyDescent="0.2">
      <c r="A8" s="1503" t="s">
        <v>164</v>
      </c>
      <c r="B8" s="614">
        <v>1200</v>
      </c>
      <c r="C8" s="466"/>
      <c r="D8" s="466"/>
      <c r="E8" s="466"/>
      <c r="F8" s="466"/>
      <c r="G8" s="466"/>
      <c r="H8" s="466"/>
      <c r="I8" s="467"/>
      <c r="J8" s="467"/>
      <c r="K8" s="1670">
        <f t="shared" si="0"/>
        <v>0</v>
      </c>
      <c r="L8" s="466"/>
    </row>
    <row r="9" spans="1:14" x14ac:dyDescent="0.2">
      <c r="A9" s="1503" t="s">
        <v>721</v>
      </c>
      <c r="B9" s="614" t="s">
        <v>968</v>
      </c>
      <c r="C9" s="467"/>
      <c r="D9" s="467"/>
      <c r="E9" s="467"/>
      <c r="F9" s="467"/>
      <c r="G9" s="467"/>
      <c r="H9" s="467"/>
      <c r="I9" s="467"/>
      <c r="J9" s="467"/>
      <c r="K9" s="1670">
        <f t="shared" si="0"/>
        <v>0</v>
      </c>
      <c r="L9" s="466"/>
    </row>
    <row r="10" spans="1:14" x14ac:dyDescent="0.2">
      <c r="A10" s="1503" t="s">
        <v>722</v>
      </c>
      <c r="B10" s="614">
        <v>1250</v>
      </c>
      <c r="C10" s="466"/>
      <c r="D10" s="466"/>
      <c r="E10" s="466"/>
      <c r="F10" s="466"/>
      <c r="G10" s="466"/>
      <c r="H10" s="466"/>
      <c r="I10" s="467"/>
      <c r="J10" s="467"/>
      <c r="K10" s="1670">
        <f t="shared" si="0"/>
        <v>0</v>
      </c>
      <c r="L10" s="466"/>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c r="D13" s="466"/>
      <c r="E13" s="466"/>
      <c r="F13" s="466">
        <v>52884</v>
      </c>
      <c r="G13" s="466">
        <v>121333</v>
      </c>
      <c r="H13" s="466"/>
      <c r="I13" s="467"/>
      <c r="J13" s="467"/>
      <c r="K13" s="1670">
        <f t="shared" si="0"/>
        <v>174217</v>
      </c>
      <c r="L13" s="466">
        <v>146152</v>
      </c>
    </row>
    <row r="14" spans="1:14" x14ac:dyDescent="0.2">
      <c r="A14" s="1503" t="s">
        <v>963</v>
      </c>
      <c r="B14" s="614">
        <v>1500</v>
      </c>
      <c r="C14" s="466"/>
      <c r="D14" s="466"/>
      <c r="E14" s="466"/>
      <c r="F14" s="466"/>
      <c r="G14" s="466"/>
      <c r="H14" s="466"/>
      <c r="I14" s="467"/>
      <c r="J14" s="467"/>
      <c r="K14" s="1670">
        <f t="shared" si="0"/>
        <v>0</v>
      </c>
      <c r="L14" s="466"/>
    </row>
    <row r="15" spans="1:14" x14ac:dyDescent="0.2">
      <c r="A15" s="1503" t="s">
        <v>964</v>
      </c>
      <c r="B15" s="614">
        <v>1600</v>
      </c>
      <c r="C15" s="466"/>
      <c r="D15" s="466"/>
      <c r="E15" s="466"/>
      <c r="F15" s="466"/>
      <c r="G15" s="466"/>
      <c r="H15" s="466"/>
      <c r="I15" s="467"/>
      <c r="J15" s="467"/>
      <c r="K15" s="1670">
        <f t="shared" si="0"/>
        <v>0</v>
      </c>
      <c r="L15" s="466"/>
    </row>
    <row r="16" spans="1:14" x14ac:dyDescent="0.2">
      <c r="A16" s="1503" t="s">
        <v>987</v>
      </c>
      <c r="B16" s="614" t="s">
        <v>424</v>
      </c>
      <c r="C16" s="466"/>
      <c r="D16" s="466"/>
      <c r="E16" s="466"/>
      <c r="F16" s="466"/>
      <c r="G16" s="466"/>
      <c r="H16" s="466"/>
      <c r="I16" s="467"/>
      <c r="J16" s="467"/>
      <c r="K16" s="1670">
        <f t="shared" si="0"/>
        <v>0</v>
      </c>
      <c r="L16" s="466"/>
    </row>
    <row r="17" spans="1:12" x14ac:dyDescent="0.2">
      <c r="A17" s="1503" t="s">
        <v>724</v>
      </c>
      <c r="B17" s="614" t="s">
        <v>162</v>
      </c>
      <c r="C17" s="467"/>
      <c r="D17" s="467"/>
      <c r="E17" s="467"/>
      <c r="F17" s="467"/>
      <c r="G17" s="467"/>
      <c r="H17" s="467"/>
      <c r="I17" s="467"/>
      <c r="J17" s="467"/>
      <c r="K17" s="1670">
        <f t="shared" si="0"/>
        <v>0</v>
      </c>
      <c r="L17" s="466"/>
    </row>
    <row r="18" spans="1:12" x14ac:dyDescent="0.2">
      <c r="A18" s="1503" t="s">
        <v>1087</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c r="I22" s="616"/>
      <c r="J22" s="477"/>
      <c r="K22" s="1670">
        <f t="shared" si="0"/>
        <v>0</v>
      </c>
      <c r="L22" s="471"/>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0</v>
      </c>
      <c r="D33" s="1669">
        <f t="shared" ref="D33:L33" si="1">SUM(D5:D32)</f>
        <v>0</v>
      </c>
      <c r="E33" s="1669">
        <f t="shared" si="1"/>
        <v>0</v>
      </c>
      <c r="F33" s="1669">
        <f t="shared" si="1"/>
        <v>52884</v>
      </c>
      <c r="G33" s="1669">
        <f t="shared" si="1"/>
        <v>121333</v>
      </c>
      <c r="H33" s="1669">
        <f t="shared" si="1"/>
        <v>0</v>
      </c>
      <c r="I33" s="1669">
        <f t="shared" si="1"/>
        <v>0</v>
      </c>
      <c r="J33" s="1669">
        <f t="shared" si="1"/>
        <v>0</v>
      </c>
      <c r="K33" s="1669">
        <f t="shared" si="1"/>
        <v>174217</v>
      </c>
      <c r="L33" s="1669">
        <f t="shared" si="1"/>
        <v>146152</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70">
        <f t="shared" ref="K36:K41" si="2">SUM(C36:J36)</f>
        <v>0</v>
      </c>
      <c r="L36" s="466"/>
    </row>
    <row r="37" spans="1:14" x14ac:dyDescent="0.2">
      <c r="A37" s="1503" t="s">
        <v>1090</v>
      </c>
      <c r="B37" s="614">
        <v>2120</v>
      </c>
      <c r="C37" s="466"/>
      <c r="D37" s="466"/>
      <c r="E37" s="466">
        <v>17526</v>
      </c>
      <c r="F37" s="466"/>
      <c r="G37" s="466"/>
      <c r="H37" s="466"/>
      <c r="I37" s="467"/>
      <c r="J37" s="467"/>
      <c r="K37" s="1670">
        <f t="shared" si="2"/>
        <v>17526</v>
      </c>
      <c r="L37" s="466">
        <v>17203</v>
      </c>
    </row>
    <row r="38" spans="1:14" x14ac:dyDescent="0.2">
      <c r="A38" s="1503" t="s">
        <v>198</v>
      </c>
      <c r="B38" s="614">
        <v>2130</v>
      </c>
      <c r="C38" s="466"/>
      <c r="D38" s="466"/>
      <c r="E38" s="466"/>
      <c r="F38" s="466"/>
      <c r="G38" s="466"/>
      <c r="H38" s="466"/>
      <c r="I38" s="467"/>
      <c r="J38" s="467"/>
      <c r="K38" s="1670">
        <f t="shared" si="2"/>
        <v>0</v>
      </c>
      <c r="L38" s="466"/>
    </row>
    <row r="39" spans="1:14" x14ac:dyDescent="0.2">
      <c r="A39" s="1503" t="s">
        <v>199</v>
      </c>
      <c r="B39" s="614">
        <v>2140</v>
      </c>
      <c r="C39" s="466"/>
      <c r="D39" s="466"/>
      <c r="E39" s="466"/>
      <c r="F39" s="466"/>
      <c r="G39" s="466"/>
      <c r="H39" s="466"/>
      <c r="I39" s="467"/>
      <c r="J39" s="467"/>
      <c r="K39" s="1670">
        <f t="shared" si="2"/>
        <v>0</v>
      </c>
      <c r="L39" s="466"/>
    </row>
    <row r="40" spans="1:14" x14ac:dyDescent="0.2">
      <c r="A40" s="1503" t="s">
        <v>200</v>
      </c>
      <c r="B40" s="614">
        <v>2150</v>
      </c>
      <c r="C40" s="466"/>
      <c r="D40" s="466"/>
      <c r="E40" s="466"/>
      <c r="F40" s="466"/>
      <c r="G40" s="466"/>
      <c r="H40" s="466"/>
      <c r="I40" s="467"/>
      <c r="J40" s="467"/>
      <c r="K40" s="1670">
        <f t="shared" si="2"/>
        <v>0</v>
      </c>
      <c r="L40" s="466"/>
    </row>
    <row r="41" spans="1:14" x14ac:dyDescent="0.2">
      <c r="A41" s="1503"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0</v>
      </c>
      <c r="D42" s="1669">
        <f t="shared" ref="D42:L42" si="3">SUM(D36:D41)</f>
        <v>0</v>
      </c>
      <c r="E42" s="1669">
        <f t="shared" si="3"/>
        <v>17526</v>
      </c>
      <c r="F42" s="1669">
        <f t="shared" si="3"/>
        <v>0</v>
      </c>
      <c r="G42" s="1669">
        <f t="shared" si="3"/>
        <v>0</v>
      </c>
      <c r="H42" s="1669">
        <f t="shared" si="3"/>
        <v>0</v>
      </c>
      <c r="I42" s="1669">
        <f t="shared" si="3"/>
        <v>0</v>
      </c>
      <c r="J42" s="1669">
        <f t="shared" si="3"/>
        <v>0</v>
      </c>
      <c r="K42" s="1669">
        <f t="shared" si="3"/>
        <v>17526</v>
      </c>
      <c r="L42" s="1669">
        <f t="shared" si="3"/>
        <v>17203</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c r="D44" s="481"/>
      <c r="E44" s="481">
        <v>31310</v>
      </c>
      <c r="F44" s="481"/>
      <c r="G44" s="481"/>
      <c r="H44" s="481"/>
      <c r="I44" s="467"/>
      <c r="J44" s="467"/>
      <c r="K44" s="1671">
        <f>SUM(C44:J44)</f>
        <v>31310</v>
      </c>
      <c r="L44" s="481">
        <v>37112</v>
      </c>
    </row>
    <row r="45" spans="1:14" x14ac:dyDescent="0.2">
      <c r="A45" s="1503" t="s">
        <v>815</v>
      </c>
      <c r="B45" s="614">
        <v>2220</v>
      </c>
      <c r="C45" s="466"/>
      <c r="D45" s="466"/>
      <c r="E45" s="466"/>
      <c r="F45" s="466"/>
      <c r="G45" s="466"/>
      <c r="H45" s="466"/>
      <c r="I45" s="467"/>
      <c r="J45" s="467"/>
      <c r="K45" s="1671">
        <f>SUM(C45:J45)</f>
        <v>0</v>
      </c>
      <c r="L45" s="466"/>
    </row>
    <row r="46" spans="1:14" x14ac:dyDescent="0.2">
      <c r="A46" s="1503" t="s">
        <v>816</v>
      </c>
      <c r="B46" s="614">
        <v>2230</v>
      </c>
      <c r="C46" s="466"/>
      <c r="D46" s="466"/>
      <c r="E46" s="466">
        <v>1630</v>
      </c>
      <c r="F46" s="466"/>
      <c r="G46" s="466"/>
      <c r="H46" s="466"/>
      <c r="I46" s="467"/>
      <c r="J46" s="467"/>
      <c r="K46" s="1671">
        <f>SUM(C46:J46)</f>
        <v>1630</v>
      </c>
      <c r="L46" s="466">
        <v>1630</v>
      </c>
    </row>
    <row r="47" spans="1:14" ht="12.75" customHeight="1" thickBot="1" x14ac:dyDescent="0.25">
      <c r="A47" s="1667" t="s">
        <v>561</v>
      </c>
      <c r="B47" s="1668" t="s">
        <v>32</v>
      </c>
      <c r="C47" s="1669">
        <f>SUM(C44:C46)</f>
        <v>0</v>
      </c>
      <c r="D47" s="1669">
        <f t="shared" ref="D47:K47" si="4">SUM(D44:D46)</f>
        <v>0</v>
      </c>
      <c r="E47" s="1669">
        <f t="shared" si="4"/>
        <v>32940</v>
      </c>
      <c r="F47" s="1669">
        <f t="shared" si="4"/>
        <v>0</v>
      </c>
      <c r="G47" s="1669">
        <f t="shared" si="4"/>
        <v>0</v>
      </c>
      <c r="H47" s="1669">
        <f t="shared" si="4"/>
        <v>0</v>
      </c>
      <c r="I47" s="1669">
        <f t="shared" si="4"/>
        <v>0</v>
      </c>
      <c r="J47" s="1669">
        <f t="shared" si="4"/>
        <v>0</v>
      </c>
      <c r="K47" s="1669">
        <f t="shared" si="4"/>
        <v>32940</v>
      </c>
      <c r="L47" s="1669">
        <f>SUM(L44:L46)</f>
        <v>38742</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c r="D49" s="481"/>
      <c r="E49" s="481"/>
      <c r="F49" s="481"/>
      <c r="G49" s="481"/>
      <c r="H49" s="481"/>
      <c r="I49" s="467"/>
      <c r="J49" s="467"/>
      <c r="K49" s="1671">
        <f>SUM(C49:J49)</f>
        <v>0</v>
      </c>
      <c r="L49" s="481"/>
    </row>
    <row r="50" spans="1:14" x14ac:dyDescent="0.2">
      <c r="A50" s="1503" t="s">
        <v>818</v>
      </c>
      <c r="B50" s="614">
        <v>2320</v>
      </c>
      <c r="C50" s="466"/>
      <c r="D50" s="466"/>
      <c r="E50" s="466"/>
      <c r="F50" s="466"/>
      <c r="G50" s="466"/>
      <c r="H50" s="466"/>
      <c r="I50" s="467"/>
      <c r="J50" s="467"/>
      <c r="K50" s="1671">
        <f>SUM(C50:J50)</f>
        <v>0</v>
      </c>
      <c r="L50" s="466"/>
    </row>
    <row r="51" spans="1:14" x14ac:dyDescent="0.2">
      <c r="A51" s="1503" t="s">
        <v>42</v>
      </c>
      <c r="B51" s="614">
        <v>2330</v>
      </c>
      <c r="C51" s="466"/>
      <c r="D51" s="466"/>
      <c r="E51" s="466">
        <v>81995</v>
      </c>
      <c r="F51" s="466">
        <v>3747</v>
      </c>
      <c r="G51" s="466"/>
      <c r="H51" s="466"/>
      <c r="I51" s="467"/>
      <c r="J51" s="467"/>
      <c r="K51" s="1671">
        <f>SUM(C51:J51)</f>
        <v>85742</v>
      </c>
      <c r="L51" s="466">
        <v>78457</v>
      </c>
    </row>
    <row r="52" spans="1:14" ht="22.5" x14ac:dyDescent="0.2">
      <c r="A52" s="1504"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0</v>
      </c>
      <c r="D53" s="1669">
        <f t="shared" ref="D53:L53" si="5">SUM(D49:D52)</f>
        <v>0</v>
      </c>
      <c r="E53" s="1669">
        <f t="shared" si="5"/>
        <v>81995</v>
      </c>
      <c r="F53" s="1669">
        <f t="shared" si="5"/>
        <v>3747</v>
      </c>
      <c r="G53" s="1669">
        <f t="shared" si="5"/>
        <v>0</v>
      </c>
      <c r="H53" s="1669">
        <f t="shared" si="5"/>
        <v>0</v>
      </c>
      <c r="I53" s="1669">
        <f t="shared" si="5"/>
        <v>0</v>
      </c>
      <c r="J53" s="1669">
        <f t="shared" si="5"/>
        <v>0</v>
      </c>
      <c r="K53" s="1669">
        <f t="shared" si="5"/>
        <v>85742</v>
      </c>
      <c r="L53" s="1669">
        <f t="shared" si="5"/>
        <v>78457</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c r="D55" s="481"/>
      <c r="E55" s="481"/>
      <c r="F55" s="481"/>
      <c r="G55" s="481"/>
      <c r="H55" s="481"/>
      <c r="I55" s="467"/>
      <c r="J55" s="467"/>
      <c r="K55" s="1671">
        <f>SUM(C55:J55)</f>
        <v>0</v>
      </c>
      <c r="L55" s="481"/>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0</v>
      </c>
      <c r="D57" s="1673">
        <f t="shared" ref="D57:K57" si="6">SUM(D55:D56)</f>
        <v>0</v>
      </c>
      <c r="E57" s="1673">
        <f t="shared" si="6"/>
        <v>0</v>
      </c>
      <c r="F57" s="1673">
        <f t="shared" si="6"/>
        <v>0</v>
      </c>
      <c r="G57" s="1673">
        <f t="shared" si="6"/>
        <v>0</v>
      </c>
      <c r="H57" s="1673">
        <f t="shared" si="6"/>
        <v>0</v>
      </c>
      <c r="I57" s="1673">
        <f t="shared" si="6"/>
        <v>0</v>
      </c>
      <c r="J57" s="1673">
        <f t="shared" si="6"/>
        <v>0</v>
      </c>
      <c r="K57" s="1673">
        <f t="shared" si="6"/>
        <v>0</v>
      </c>
      <c r="L57" s="1669">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c r="D60" s="466"/>
      <c r="E60" s="466"/>
      <c r="F60" s="466"/>
      <c r="G60" s="466"/>
      <c r="H60" s="466"/>
      <c r="I60" s="467"/>
      <c r="J60" s="467"/>
      <c r="K60" s="1671">
        <f t="shared" si="7"/>
        <v>0</v>
      </c>
      <c r="L60" s="466"/>
      <c r="M60" s="609"/>
      <c r="N60" s="609"/>
    </row>
    <row r="61" spans="1:14" s="343" customFormat="1" x14ac:dyDescent="0.2">
      <c r="A61" s="1503" t="s">
        <v>197</v>
      </c>
      <c r="B61" s="614">
        <v>2540</v>
      </c>
      <c r="C61" s="466"/>
      <c r="D61" s="466"/>
      <c r="E61" s="466"/>
      <c r="F61" s="466"/>
      <c r="G61" s="466"/>
      <c r="H61" s="466"/>
      <c r="I61" s="467"/>
      <c r="J61" s="467"/>
      <c r="K61" s="1671">
        <f t="shared" si="7"/>
        <v>0</v>
      </c>
      <c r="L61" s="466"/>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c r="D63" s="466"/>
      <c r="E63" s="466"/>
      <c r="F63" s="466"/>
      <c r="G63" s="466"/>
      <c r="H63" s="466"/>
      <c r="I63" s="467"/>
      <c r="J63" s="467"/>
      <c r="K63" s="1671">
        <f t="shared" si="7"/>
        <v>0</v>
      </c>
      <c r="L63" s="466"/>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0</v>
      </c>
      <c r="D65" s="1669">
        <f t="shared" ref="D65:L65" si="8">SUM(D59:D64)</f>
        <v>0</v>
      </c>
      <c r="E65" s="1669">
        <f t="shared" si="8"/>
        <v>0</v>
      </c>
      <c r="F65" s="1669">
        <f t="shared" si="8"/>
        <v>0</v>
      </c>
      <c r="G65" s="1669">
        <f t="shared" si="8"/>
        <v>0</v>
      </c>
      <c r="H65" s="1669">
        <f t="shared" si="8"/>
        <v>0</v>
      </c>
      <c r="I65" s="1669">
        <f t="shared" si="8"/>
        <v>0</v>
      </c>
      <c r="J65" s="1669">
        <f t="shared" si="8"/>
        <v>0</v>
      </c>
      <c r="K65" s="1669">
        <f t="shared" si="8"/>
        <v>0</v>
      </c>
      <c r="L65" s="1669">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c r="D69" s="466"/>
      <c r="E69" s="466"/>
      <c r="F69" s="466"/>
      <c r="G69" s="466"/>
      <c r="H69" s="466"/>
      <c r="I69" s="467"/>
      <c r="J69" s="467"/>
      <c r="K69" s="1671">
        <f>SUM(C69:J69)</f>
        <v>0</v>
      </c>
      <c r="L69" s="466"/>
      <c r="M69" s="609"/>
      <c r="N69" s="609"/>
    </row>
    <row r="70" spans="1:14" s="343" customFormat="1" x14ac:dyDescent="0.2">
      <c r="A70" s="1503" t="s">
        <v>403</v>
      </c>
      <c r="B70" s="614">
        <v>2640</v>
      </c>
      <c r="C70" s="466"/>
      <c r="D70" s="466"/>
      <c r="E70" s="466"/>
      <c r="F70" s="466"/>
      <c r="G70" s="466"/>
      <c r="H70" s="466"/>
      <c r="I70" s="467"/>
      <c r="J70" s="467"/>
      <c r="K70" s="1671">
        <f>SUM(C70:J70)</f>
        <v>0</v>
      </c>
      <c r="L70" s="466"/>
      <c r="M70" s="609"/>
      <c r="N70" s="609"/>
    </row>
    <row r="71" spans="1:14" s="343" customFormat="1" x14ac:dyDescent="0.2">
      <c r="A71" s="1503"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c r="D73" s="573"/>
      <c r="E73" s="573"/>
      <c r="F73" s="573"/>
      <c r="G73" s="573"/>
      <c r="H73" s="573"/>
      <c r="I73" s="531"/>
      <c r="J73" s="531"/>
      <c r="K73" s="1669">
        <f>SUM(C73:J73)</f>
        <v>0</v>
      </c>
      <c r="L73" s="576"/>
      <c r="M73" s="609"/>
      <c r="N73" s="609"/>
    </row>
    <row r="74" spans="1:14" ht="12.75" customHeight="1" thickTop="1" thickBot="1" x14ac:dyDescent="0.25">
      <c r="A74" s="1667" t="s">
        <v>811</v>
      </c>
      <c r="B74" s="1675">
        <v>2000</v>
      </c>
      <c r="C74" s="1676">
        <f>SUM(C42,C47,C53,C57,C65,C72,C73)</f>
        <v>0</v>
      </c>
      <c r="D74" s="1676">
        <f t="shared" ref="D74:K74" si="10">SUM(D42,D47,D53,D57,D65,D72,D73)</f>
        <v>0</v>
      </c>
      <c r="E74" s="1676">
        <f t="shared" si="10"/>
        <v>132461</v>
      </c>
      <c r="F74" s="1676">
        <f t="shared" si="10"/>
        <v>3747</v>
      </c>
      <c r="G74" s="1676">
        <f t="shared" si="10"/>
        <v>0</v>
      </c>
      <c r="H74" s="1676">
        <f t="shared" si="10"/>
        <v>0</v>
      </c>
      <c r="I74" s="1676">
        <f t="shared" si="10"/>
        <v>0</v>
      </c>
      <c r="J74" s="1676">
        <f t="shared" si="10"/>
        <v>0</v>
      </c>
      <c r="K74" s="1676">
        <f t="shared" si="10"/>
        <v>136208</v>
      </c>
      <c r="L74" s="1676">
        <f>SUM(L42,L47,L53,L57,L65,L72,L73)</f>
        <v>134402</v>
      </c>
    </row>
    <row r="75" spans="1:14" s="259" customFormat="1" ht="15.75" customHeight="1" thickTop="1" thickBot="1" x14ac:dyDescent="0.25">
      <c r="A75" s="1609" t="s">
        <v>47</v>
      </c>
      <c r="B75" s="1610" t="s">
        <v>575</v>
      </c>
      <c r="C75" s="573"/>
      <c r="D75" s="573"/>
      <c r="E75" s="573"/>
      <c r="F75" s="573"/>
      <c r="G75" s="573"/>
      <c r="H75" s="573"/>
      <c r="I75" s="531"/>
      <c r="J75" s="531"/>
      <c r="K75" s="1669">
        <f>SUM(C75:J75)</f>
        <v>0</v>
      </c>
      <c r="L75" s="576"/>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row>
    <row r="79" spans="1:14" x14ac:dyDescent="0.2">
      <c r="A79" s="1503" t="s">
        <v>304</v>
      </c>
      <c r="B79" s="614">
        <v>4120</v>
      </c>
      <c r="C79" s="616"/>
      <c r="D79" s="616"/>
      <c r="E79" s="466"/>
      <c r="F79" s="616"/>
      <c r="G79" s="616"/>
      <c r="H79" s="466"/>
      <c r="I79" s="477"/>
      <c r="J79" s="477"/>
      <c r="K79" s="1670">
        <f t="shared" si="11"/>
        <v>0</v>
      </c>
      <c r="L79" s="466"/>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c r="F81" s="616"/>
      <c r="G81" s="616"/>
      <c r="H81" s="466">
        <v>169498</v>
      </c>
      <c r="I81" s="477"/>
      <c r="J81" s="477"/>
      <c r="K81" s="1670">
        <f t="shared" si="11"/>
        <v>169498</v>
      </c>
      <c r="L81" s="466">
        <v>172949</v>
      </c>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v>66381</v>
      </c>
      <c r="I83" s="477"/>
      <c r="J83" s="477"/>
      <c r="K83" s="1670">
        <f t="shared" si="11"/>
        <v>66381</v>
      </c>
      <c r="L83" s="466"/>
    </row>
    <row r="84" spans="1:12" ht="13.5" thickBot="1" x14ac:dyDescent="0.25">
      <c r="A84" s="1667" t="s">
        <v>1485</v>
      </c>
      <c r="B84" s="1677">
        <v>4100</v>
      </c>
      <c r="C84" s="616"/>
      <c r="D84" s="616"/>
      <c r="E84" s="1669">
        <f>SUM(E78:E83)</f>
        <v>0</v>
      </c>
      <c r="F84" s="616"/>
      <c r="G84" s="616"/>
      <c r="H84" s="1669">
        <f>SUM(H78:H83)</f>
        <v>235879</v>
      </c>
      <c r="I84" s="477"/>
      <c r="J84" s="477"/>
      <c r="K84" s="1669">
        <f>SUM(K78:K83)</f>
        <v>235879</v>
      </c>
      <c r="L84" s="1669">
        <f>SUM(L78:L83)</f>
        <v>172949</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699</v>
      </c>
      <c r="B86" s="637">
        <v>4220</v>
      </c>
      <c r="C86" s="616"/>
      <c r="D86" s="616"/>
      <c r="E86" s="638"/>
      <c r="F86" s="616"/>
      <c r="G86" s="616"/>
      <c r="H86" s="467"/>
      <c r="I86" s="477"/>
      <c r="J86" s="477"/>
      <c r="K86" s="1676">
        <f t="shared" ref="K86:K98" si="12">H86</f>
        <v>0</v>
      </c>
      <c r="L86" s="530"/>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c r="I88" s="477"/>
      <c r="J88" s="477"/>
      <c r="K88" s="1676">
        <f t="shared" si="12"/>
        <v>0</v>
      </c>
      <c r="L88" s="530"/>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c r="I90" s="477"/>
      <c r="J90" s="477"/>
      <c r="K90" s="1676">
        <f t="shared" si="12"/>
        <v>0</v>
      </c>
      <c r="L90" s="530"/>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0</v>
      </c>
      <c r="F102" s="616"/>
      <c r="G102" s="616"/>
      <c r="H102" s="1676">
        <f>SUM(H84,H92,H100,H101)</f>
        <v>235879</v>
      </c>
      <c r="I102" s="477"/>
      <c r="J102" s="477"/>
      <c r="K102" s="1676">
        <f>SUM(K84,K92,K100,K101)</f>
        <v>235879</v>
      </c>
      <c r="L102" s="1676">
        <f>SUM(L84,L92,L100,L101)</f>
        <v>172949</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0</v>
      </c>
      <c r="D114" s="1669">
        <f t="shared" ref="D114:K114" si="13">SUM(D33,D74,D75,D102,D112,D113)</f>
        <v>0</v>
      </c>
      <c r="E114" s="1669">
        <f t="shared" si="13"/>
        <v>132461</v>
      </c>
      <c r="F114" s="1669">
        <f t="shared" si="13"/>
        <v>56631</v>
      </c>
      <c r="G114" s="1669">
        <f t="shared" si="13"/>
        <v>121333</v>
      </c>
      <c r="H114" s="1669">
        <f>SUM(H33,H74,H75,H102,H112,H113)</f>
        <v>235879</v>
      </c>
      <c r="I114" s="1669">
        <f t="shared" si="13"/>
        <v>0</v>
      </c>
      <c r="J114" s="1669">
        <f t="shared" si="13"/>
        <v>0</v>
      </c>
      <c r="K114" s="1669">
        <f t="shared" si="13"/>
        <v>546304</v>
      </c>
      <c r="L114" s="1669">
        <f>SUM(L33,L74,L75,L102,L112,L113)</f>
        <v>453503</v>
      </c>
    </row>
    <row r="115" spans="1:14" ht="13.5" thickTop="1" x14ac:dyDescent="0.2">
      <c r="A115" s="2156" t="s">
        <v>996</v>
      </c>
      <c r="B115" s="2157"/>
      <c r="C115" s="618"/>
      <c r="D115" s="618"/>
      <c r="E115" s="618"/>
      <c r="F115" s="618"/>
      <c r="G115" s="618"/>
      <c r="H115" s="618"/>
      <c r="I115" s="618"/>
      <c r="J115" s="618"/>
      <c r="K115" s="1683">
        <f>'Revenues 9-14'!C268-'Expenditures 15-22'!K114</f>
        <v>-65287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2058</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c r="D124" s="466"/>
      <c r="E124" s="466"/>
      <c r="F124" s="466"/>
      <c r="G124" s="466"/>
      <c r="H124" s="466"/>
      <c r="I124" s="467"/>
      <c r="J124" s="467"/>
      <c r="K124" s="1669">
        <f>SUM(C124:J124)</f>
        <v>0</v>
      </c>
      <c r="L124" s="466"/>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0</v>
      </c>
      <c r="D127" s="1669">
        <f t="shared" ref="D127:L127" si="14">SUM(D122:D126)</f>
        <v>0</v>
      </c>
      <c r="E127" s="1669">
        <f t="shared" si="14"/>
        <v>0</v>
      </c>
      <c r="F127" s="1669">
        <f t="shared" si="14"/>
        <v>0</v>
      </c>
      <c r="G127" s="1669">
        <f t="shared" si="14"/>
        <v>0</v>
      </c>
      <c r="H127" s="1669">
        <f t="shared" si="14"/>
        <v>0</v>
      </c>
      <c r="I127" s="1669">
        <f t="shared" si="14"/>
        <v>0</v>
      </c>
      <c r="J127" s="1669">
        <f t="shared" si="14"/>
        <v>0</v>
      </c>
      <c r="K127" s="1669">
        <f t="shared" si="14"/>
        <v>0</v>
      </c>
      <c r="L127" s="1669">
        <f t="shared" si="14"/>
        <v>0</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0</v>
      </c>
      <c r="D129" s="1676">
        <f t="shared" ref="D129:L129" si="15">SUM(D120,D127,D128)</f>
        <v>0</v>
      </c>
      <c r="E129" s="1676">
        <f t="shared" si="15"/>
        <v>0</v>
      </c>
      <c r="F129" s="1676">
        <f t="shared" si="15"/>
        <v>0</v>
      </c>
      <c r="G129" s="1676">
        <f t="shared" si="15"/>
        <v>0</v>
      </c>
      <c r="H129" s="1676">
        <f t="shared" si="15"/>
        <v>0</v>
      </c>
      <c r="I129" s="1676">
        <f t="shared" si="15"/>
        <v>0</v>
      </c>
      <c r="J129" s="1676">
        <f t="shared" si="15"/>
        <v>0</v>
      </c>
      <c r="K129" s="1676">
        <f t="shared" si="15"/>
        <v>0</v>
      </c>
      <c r="L129" s="1676">
        <f t="shared" si="15"/>
        <v>0</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1844</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c r="F134" s="616"/>
      <c r="G134" s="616"/>
      <c r="H134" s="481"/>
      <c r="I134" s="477"/>
      <c r="J134" s="616"/>
      <c r="K134" s="1671">
        <f>SUM(E134,H134)</f>
        <v>0</v>
      </c>
      <c r="L134" s="481"/>
    </row>
    <row r="135" spans="1:14" x14ac:dyDescent="0.2">
      <c r="A135" s="1503" t="s">
        <v>697</v>
      </c>
      <c r="B135" s="614">
        <v>4140</v>
      </c>
      <c r="C135" s="616"/>
      <c r="D135" s="616"/>
      <c r="E135" s="467"/>
      <c r="F135" s="616"/>
      <c r="G135" s="616"/>
      <c r="H135" s="466"/>
      <c r="I135" s="477"/>
      <c r="J135" s="616"/>
      <c r="K135" s="1671">
        <f>SUM(E135,H135)</f>
        <v>0</v>
      </c>
      <c r="L135" s="466"/>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73" t="s">
        <v>620</v>
      </c>
      <c r="B151" s="2153"/>
      <c r="C151" s="1669">
        <f>SUM(C129,C130,C139,C149,C150)</f>
        <v>0</v>
      </c>
      <c r="D151" s="1669">
        <f t="shared" ref="D151:K151" si="16">SUM(D129,D130,D139,D149,D150)</f>
        <v>0</v>
      </c>
      <c r="E151" s="1669">
        <f t="shared" si="16"/>
        <v>0</v>
      </c>
      <c r="F151" s="1669">
        <f t="shared" si="16"/>
        <v>0</v>
      </c>
      <c r="G151" s="1669">
        <f t="shared" si="16"/>
        <v>0</v>
      </c>
      <c r="H151" s="1669">
        <f t="shared" si="16"/>
        <v>0</v>
      </c>
      <c r="I151" s="1669">
        <f t="shared" si="16"/>
        <v>0</v>
      </c>
      <c r="J151" s="1669">
        <f t="shared" si="16"/>
        <v>0</v>
      </c>
      <c r="K151" s="1669">
        <f t="shared" si="16"/>
        <v>0</v>
      </c>
      <c r="L151" s="1669">
        <f>SUM(L129,L130,L139,L149,L150)</f>
        <v>0</v>
      </c>
    </row>
    <row r="152" spans="1:14" ht="12.75" customHeight="1" thickTop="1" x14ac:dyDescent="0.2">
      <c r="A152" s="2176" t="s">
        <v>1178</v>
      </c>
      <c r="B152" s="2177"/>
      <c r="C152" s="618"/>
      <c r="D152" s="618"/>
      <c r="E152" s="618"/>
      <c r="F152" s="618"/>
      <c r="G152" s="618"/>
      <c r="H152" s="618"/>
      <c r="I152" s="618"/>
      <c r="J152" s="616"/>
      <c r="K152" s="1683">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1845</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c r="I169" s="616"/>
      <c r="J169" s="616"/>
      <c r="K169" s="1670">
        <f>SUM(C169:H169)</f>
        <v>0</v>
      </c>
      <c r="L169" s="656"/>
    </row>
    <row r="170" spans="1:14" ht="33.75" customHeight="1" x14ac:dyDescent="0.2">
      <c r="A170" s="669" t="s">
        <v>1670</v>
      </c>
      <c r="B170" s="671" t="s">
        <v>31</v>
      </c>
      <c r="C170" s="616"/>
      <c r="D170" s="616"/>
      <c r="E170" s="616"/>
      <c r="F170" s="616"/>
      <c r="G170" s="616"/>
      <c r="H170" s="569"/>
      <c r="I170" s="616"/>
      <c r="J170" s="616"/>
      <c r="K170" s="1670">
        <f>SUM(C170:J170)</f>
        <v>0</v>
      </c>
      <c r="L170" s="569"/>
    </row>
    <row r="171" spans="1:14" ht="15.75" customHeight="1" x14ac:dyDescent="0.2">
      <c r="A171" s="621" t="s">
        <v>766</v>
      </c>
      <c r="B171" s="672" t="s">
        <v>84</v>
      </c>
      <c r="C171" s="616"/>
      <c r="D171" s="616"/>
      <c r="E171" s="466"/>
      <c r="F171" s="616"/>
      <c r="G171" s="616"/>
      <c r="H171" s="569"/>
      <c r="I171" s="477"/>
      <c r="J171" s="616"/>
      <c r="K171" s="1670">
        <f>SUM(C171:J171)</f>
        <v>0</v>
      </c>
      <c r="L171" s="569"/>
    </row>
    <row r="172" spans="1:14" ht="12.75" customHeight="1" thickBot="1" x14ac:dyDescent="0.25">
      <c r="A172" s="1667" t="s">
        <v>638</v>
      </c>
      <c r="B172" s="1668" t="s">
        <v>492</v>
      </c>
      <c r="C172" s="616"/>
      <c r="D172" s="616"/>
      <c r="E172" s="1676">
        <f>SUM(E168,E169,E170,E171)</f>
        <v>0</v>
      </c>
      <c r="F172" s="616"/>
      <c r="G172" s="616"/>
      <c r="H172" s="1676">
        <f>SUM(H168,H169,H170,H171)</f>
        <v>0</v>
      </c>
      <c r="I172" s="638"/>
      <c r="J172" s="616"/>
      <c r="K172" s="1676">
        <f>SUM(K168,K169,K170,K171)</f>
        <v>0</v>
      </c>
      <c r="L172" s="1676">
        <f>SUM(L168,L169,L170,L171)</f>
        <v>0</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0</v>
      </c>
      <c r="I174" s="638"/>
      <c r="J174" s="616"/>
      <c r="K174" s="1676">
        <f>SUM(K160,K172,K173)</f>
        <v>0</v>
      </c>
      <c r="L174" s="1676">
        <f>SUM(L160,L172,L173)</f>
        <v>0</v>
      </c>
    </row>
    <row r="175" spans="1:14" ht="13.5" thickTop="1" x14ac:dyDescent="0.2">
      <c r="A175" s="2156" t="s">
        <v>996</v>
      </c>
      <c r="B175" s="2157"/>
      <c r="C175" s="616"/>
      <c r="D175" s="616"/>
      <c r="E175" s="616"/>
      <c r="F175" s="616"/>
      <c r="G175" s="616"/>
      <c r="H175" s="618"/>
      <c r="I175" s="616"/>
      <c r="J175" s="616"/>
      <c r="K175" s="1683">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2058</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c r="D182" s="466"/>
      <c r="E182" s="466"/>
      <c r="F182" s="466"/>
      <c r="G182" s="466"/>
      <c r="H182" s="466"/>
      <c r="I182" s="467"/>
      <c r="J182" s="467"/>
      <c r="K182" s="1670">
        <f>SUM(C182:J182)</f>
        <v>0</v>
      </c>
      <c r="L182" s="466"/>
    </row>
    <row r="183" spans="1:14" ht="12.75" customHeight="1" thickBot="1" x14ac:dyDescent="0.25">
      <c r="A183" s="1508"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0</v>
      </c>
      <c r="D184" s="1676">
        <f t="shared" ref="D184:J184" si="17">SUM(D180,D182,D183)</f>
        <v>0</v>
      </c>
      <c r="E184" s="1676">
        <f t="shared" si="17"/>
        <v>0</v>
      </c>
      <c r="F184" s="1676">
        <f t="shared" si="17"/>
        <v>0</v>
      </c>
      <c r="G184" s="1676">
        <f t="shared" si="17"/>
        <v>0</v>
      </c>
      <c r="H184" s="1676">
        <f t="shared" si="17"/>
        <v>0</v>
      </c>
      <c r="I184" s="1676">
        <f t="shared" si="17"/>
        <v>0</v>
      </c>
      <c r="J184" s="1676">
        <f t="shared" si="17"/>
        <v>0</v>
      </c>
      <c r="K184" s="1676">
        <f>SUM(K180,K182,K183)</f>
        <v>0</v>
      </c>
      <c r="L184" s="1676">
        <f>SUM(L180, L182:L183)</f>
        <v>0</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0</v>
      </c>
      <c r="D210" s="1669">
        <f>SUM(D184,D185)</f>
        <v>0</v>
      </c>
      <c r="E210" s="1669">
        <f>SUM(E184,E185,E196)</f>
        <v>0</v>
      </c>
      <c r="F210" s="1669">
        <f>SUM(F184,F185)</f>
        <v>0</v>
      </c>
      <c r="G210" s="1669">
        <f>SUM(G184,G185)</f>
        <v>0</v>
      </c>
      <c r="H210" s="1669">
        <f>SUM(H184,H185,H196,H208,H209)</f>
        <v>0</v>
      </c>
      <c r="I210" s="1669">
        <f>SUM(I184,I185)</f>
        <v>0</v>
      </c>
      <c r="J210" s="1669">
        <f>SUM(J184,J185)</f>
        <v>0</v>
      </c>
      <c r="K210" s="1670">
        <f>SUM(K184,K185,K196,K208,K209)</f>
        <v>0</v>
      </c>
      <c r="L210" s="1669">
        <f>SUM(L184,L185,L196,L208,L209)</f>
        <v>0</v>
      </c>
    </row>
    <row r="211" spans="1:14" ht="13.5" thickTop="1" x14ac:dyDescent="0.2">
      <c r="A211" s="2156" t="s">
        <v>996</v>
      </c>
      <c r="B211" s="2157"/>
      <c r="C211" s="618"/>
      <c r="D211" s="618"/>
      <c r="E211" s="618"/>
      <c r="F211" s="618"/>
      <c r="G211" s="618"/>
      <c r="H211" s="618"/>
      <c r="I211" s="616"/>
      <c r="J211" s="616"/>
      <c r="K211" s="1683">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c r="E215" s="616"/>
      <c r="F215" s="616"/>
      <c r="G215" s="616"/>
      <c r="H215" s="616"/>
      <c r="I215" s="616"/>
      <c r="J215" s="616"/>
      <c r="K215" s="1670">
        <f>D215</f>
        <v>0</v>
      </c>
      <c r="L215" s="466"/>
    </row>
    <row r="216" spans="1:14" x14ac:dyDescent="0.2">
      <c r="A216" s="1503" t="s">
        <v>163</v>
      </c>
      <c r="B216" s="614" t="s">
        <v>967</v>
      </c>
      <c r="C216" s="616"/>
      <c r="D216" s="467"/>
      <c r="E216" s="616"/>
      <c r="F216" s="616"/>
      <c r="G216" s="616"/>
      <c r="H216" s="616"/>
      <c r="I216" s="616"/>
      <c r="J216" s="616"/>
      <c r="K216" s="1670">
        <f t="shared" ref="K216:K228" si="19">D216</f>
        <v>0</v>
      </c>
      <c r="L216" s="466"/>
    </row>
    <row r="217" spans="1:14" x14ac:dyDescent="0.2">
      <c r="A217" s="1503" t="s">
        <v>164</v>
      </c>
      <c r="B217" s="614">
        <v>1200</v>
      </c>
      <c r="C217" s="616"/>
      <c r="D217" s="466"/>
      <c r="E217" s="616"/>
      <c r="F217" s="616"/>
      <c r="G217" s="616"/>
      <c r="H217" s="616"/>
      <c r="I217" s="616"/>
      <c r="J217" s="616"/>
      <c r="K217" s="1670">
        <f t="shared" si="19"/>
        <v>0</v>
      </c>
      <c r="L217" s="466"/>
    </row>
    <row r="218" spans="1:14" x14ac:dyDescent="0.2">
      <c r="A218" s="1503" t="s">
        <v>278</v>
      </c>
      <c r="B218" s="614" t="s">
        <v>968</v>
      </c>
      <c r="C218" s="616"/>
      <c r="D218" s="467"/>
      <c r="E218" s="616"/>
      <c r="F218" s="616"/>
      <c r="G218" s="616"/>
      <c r="H218" s="616"/>
      <c r="I218" s="616"/>
      <c r="J218" s="616"/>
      <c r="K218" s="1670">
        <f t="shared" si="19"/>
        <v>0</v>
      </c>
      <c r="L218" s="466"/>
    </row>
    <row r="219" spans="1:14" x14ac:dyDescent="0.2">
      <c r="A219" s="1503" t="s">
        <v>279</v>
      </c>
      <c r="B219" s="614">
        <v>1250</v>
      </c>
      <c r="C219" s="616"/>
      <c r="D219" s="466"/>
      <c r="E219" s="616"/>
      <c r="F219" s="616"/>
      <c r="G219" s="616"/>
      <c r="H219" s="616"/>
      <c r="I219" s="616"/>
      <c r="J219" s="616"/>
      <c r="K219" s="1670">
        <f t="shared" si="19"/>
        <v>0</v>
      </c>
      <c r="L219" s="466"/>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c r="E222" s="616"/>
      <c r="F222" s="616"/>
      <c r="G222" s="616"/>
      <c r="H222" s="616"/>
      <c r="I222" s="616"/>
      <c r="J222" s="616"/>
      <c r="K222" s="1670">
        <f t="shared" si="19"/>
        <v>0</v>
      </c>
      <c r="L222" s="466"/>
    </row>
    <row r="223" spans="1:14" x14ac:dyDescent="0.2">
      <c r="A223" s="1503" t="s">
        <v>963</v>
      </c>
      <c r="B223" s="614">
        <v>1500</v>
      </c>
      <c r="C223" s="616"/>
      <c r="D223" s="466"/>
      <c r="E223" s="616"/>
      <c r="F223" s="616"/>
      <c r="G223" s="616"/>
      <c r="H223" s="616"/>
      <c r="I223" s="616"/>
      <c r="J223" s="616"/>
      <c r="K223" s="1670">
        <f t="shared" si="19"/>
        <v>0</v>
      </c>
      <c r="L223" s="466"/>
    </row>
    <row r="224" spans="1:14" x14ac:dyDescent="0.2">
      <c r="A224" s="1503" t="s">
        <v>964</v>
      </c>
      <c r="B224" s="614">
        <v>1600</v>
      </c>
      <c r="C224" s="616"/>
      <c r="D224" s="466"/>
      <c r="E224" s="616"/>
      <c r="F224" s="616"/>
      <c r="G224" s="616"/>
      <c r="H224" s="616"/>
      <c r="I224" s="616"/>
      <c r="J224" s="616"/>
      <c r="K224" s="1670">
        <f t="shared" si="19"/>
        <v>0</v>
      </c>
      <c r="L224" s="466"/>
    </row>
    <row r="225" spans="1:12" x14ac:dyDescent="0.2">
      <c r="A225" s="1503" t="s">
        <v>987</v>
      </c>
      <c r="B225" s="614">
        <v>1650</v>
      </c>
      <c r="C225" s="616"/>
      <c r="D225" s="466"/>
      <c r="E225" s="616"/>
      <c r="F225" s="616"/>
      <c r="G225" s="616"/>
      <c r="H225" s="616"/>
      <c r="I225" s="616"/>
      <c r="J225" s="616"/>
      <c r="K225" s="1670">
        <f t="shared" si="19"/>
        <v>0</v>
      </c>
      <c r="L225" s="466"/>
    </row>
    <row r="226" spans="1:12" x14ac:dyDescent="0.2">
      <c r="A226" s="1503" t="s">
        <v>724</v>
      </c>
      <c r="B226" s="614" t="s">
        <v>162</v>
      </c>
      <c r="C226" s="616"/>
      <c r="D226" s="467"/>
      <c r="E226" s="616"/>
      <c r="F226" s="616"/>
      <c r="G226" s="616"/>
      <c r="H226" s="616"/>
      <c r="I226" s="616"/>
      <c r="J226" s="616"/>
      <c r="K226" s="1670">
        <f t="shared" si="19"/>
        <v>0</v>
      </c>
      <c r="L226" s="466"/>
    </row>
    <row r="227" spans="1:12" x14ac:dyDescent="0.2">
      <c r="A227" s="1503" t="s">
        <v>1087</v>
      </c>
      <c r="B227" s="614">
        <v>1800</v>
      </c>
      <c r="C227" s="616"/>
      <c r="D227" s="466"/>
      <c r="E227" s="616"/>
      <c r="F227" s="616"/>
      <c r="G227" s="616"/>
      <c r="H227" s="616"/>
      <c r="I227" s="616"/>
      <c r="J227" s="616"/>
      <c r="K227" s="1670">
        <f t="shared" si="19"/>
        <v>0</v>
      </c>
      <c r="L227" s="466"/>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0</v>
      </c>
      <c r="E229" s="616"/>
      <c r="F229" s="616"/>
      <c r="G229" s="616"/>
      <c r="H229" s="616"/>
      <c r="I229" s="616"/>
      <c r="J229" s="616"/>
      <c r="K229" s="1669">
        <f>SUM(K215:K228)</f>
        <v>0</v>
      </c>
      <c r="L229" s="1669">
        <f>SUM(L215:L228)</f>
        <v>0</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70">
        <f t="shared" ref="K232:K237" si="20">D232</f>
        <v>0</v>
      </c>
      <c r="L232" s="466"/>
    </row>
    <row r="233" spans="1:12" x14ac:dyDescent="0.2">
      <c r="A233" s="1503" t="s">
        <v>1090</v>
      </c>
      <c r="B233" s="614">
        <v>2120</v>
      </c>
      <c r="C233" s="616"/>
      <c r="D233" s="466"/>
      <c r="E233" s="616"/>
      <c r="F233" s="616"/>
      <c r="G233" s="616"/>
      <c r="H233" s="616"/>
      <c r="I233" s="616"/>
      <c r="J233" s="616"/>
      <c r="K233" s="1670">
        <f t="shared" si="20"/>
        <v>0</v>
      </c>
      <c r="L233" s="466"/>
    </row>
    <row r="234" spans="1:12" x14ac:dyDescent="0.2">
      <c r="A234" s="1503" t="s">
        <v>198</v>
      </c>
      <c r="B234" s="614">
        <v>2130</v>
      </c>
      <c r="C234" s="616"/>
      <c r="D234" s="466"/>
      <c r="E234" s="616"/>
      <c r="F234" s="616"/>
      <c r="G234" s="616"/>
      <c r="H234" s="616"/>
      <c r="I234" s="616"/>
      <c r="J234" s="616"/>
      <c r="K234" s="1670">
        <f t="shared" si="20"/>
        <v>0</v>
      </c>
      <c r="L234" s="466"/>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c r="E236" s="616"/>
      <c r="F236" s="616"/>
      <c r="G236" s="616"/>
      <c r="H236" s="616"/>
      <c r="I236" s="616"/>
      <c r="J236" s="616"/>
      <c r="K236" s="1670">
        <f t="shared" si="20"/>
        <v>0</v>
      </c>
      <c r="L236" s="466"/>
    </row>
    <row r="237" spans="1:12" x14ac:dyDescent="0.2">
      <c r="A237" s="1503"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0</v>
      </c>
      <c r="E238" s="616"/>
      <c r="F238" s="616"/>
      <c r="G238" s="616"/>
      <c r="H238" s="616"/>
      <c r="I238" s="616"/>
      <c r="J238" s="616"/>
      <c r="K238" s="1669">
        <f>SUM(K232:K237)</f>
        <v>0</v>
      </c>
      <c r="L238" s="1669">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c r="E240" s="616"/>
      <c r="F240" s="616"/>
      <c r="G240" s="616"/>
      <c r="H240" s="616"/>
      <c r="I240" s="616"/>
      <c r="J240" s="616"/>
      <c r="K240" s="1671">
        <f>D240</f>
        <v>0</v>
      </c>
      <c r="L240" s="481"/>
    </row>
    <row r="241" spans="1:12" x14ac:dyDescent="0.2">
      <c r="A241" s="1503" t="s">
        <v>815</v>
      </c>
      <c r="B241" s="614">
        <v>2220</v>
      </c>
      <c r="C241" s="616"/>
      <c r="D241" s="466"/>
      <c r="E241" s="616"/>
      <c r="F241" s="616"/>
      <c r="G241" s="616"/>
      <c r="H241" s="616"/>
      <c r="I241" s="616"/>
      <c r="J241" s="616"/>
      <c r="K241" s="1671">
        <f>D241</f>
        <v>0</v>
      </c>
      <c r="L241" s="466"/>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0</v>
      </c>
      <c r="E243" s="616"/>
      <c r="F243" s="616"/>
      <c r="G243" s="616"/>
      <c r="H243" s="616"/>
      <c r="I243" s="616"/>
      <c r="J243" s="616"/>
      <c r="K243" s="1669">
        <f>SUM(K240:K242)</f>
        <v>0</v>
      </c>
      <c r="L243" s="1669">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c r="E245" s="616"/>
      <c r="F245" s="616"/>
      <c r="G245" s="616"/>
      <c r="H245" s="616"/>
      <c r="I245" s="616"/>
      <c r="J245" s="616"/>
      <c r="K245" s="1671">
        <f>D245</f>
        <v>0</v>
      </c>
      <c r="L245" s="481"/>
    </row>
    <row r="246" spans="1:12" x14ac:dyDescent="0.2">
      <c r="A246" s="1503" t="s">
        <v>818</v>
      </c>
      <c r="B246" s="614">
        <v>2320</v>
      </c>
      <c r="C246" s="616"/>
      <c r="D246" s="466"/>
      <c r="E246" s="616"/>
      <c r="F246" s="616"/>
      <c r="G246" s="616"/>
      <c r="H246" s="616"/>
      <c r="I246" s="616"/>
      <c r="J246" s="616"/>
      <c r="K246" s="1671">
        <f t="shared" ref="K246:K256" si="21">D246</f>
        <v>0</v>
      </c>
      <c r="L246" s="466"/>
    </row>
    <row r="247" spans="1:12" x14ac:dyDescent="0.2">
      <c r="A247" s="1503" t="s">
        <v>819</v>
      </c>
      <c r="B247" s="614">
        <v>2330</v>
      </c>
      <c r="C247" s="616"/>
      <c r="D247" s="466"/>
      <c r="E247" s="616"/>
      <c r="F247" s="616"/>
      <c r="G247" s="616"/>
      <c r="H247" s="616"/>
      <c r="I247" s="616"/>
      <c r="J247" s="616"/>
      <c r="K247" s="1671">
        <f t="shared" si="21"/>
        <v>0</v>
      </c>
      <c r="L247" s="466"/>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0</v>
      </c>
      <c r="E257" s="616"/>
      <c r="F257" s="616"/>
      <c r="G257" s="616"/>
      <c r="H257" s="616"/>
      <c r="I257" s="616"/>
      <c r="J257" s="616"/>
      <c r="K257" s="1669">
        <f>SUM(K245:K256)</f>
        <v>0</v>
      </c>
      <c r="L257" s="1669">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c r="E259" s="616"/>
      <c r="F259" s="616"/>
      <c r="G259" s="616"/>
      <c r="H259" s="616"/>
      <c r="I259" s="616"/>
      <c r="J259" s="616"/>
      <c r="K259" s="1671">
        <f>D259</f>
        <v>0</v>
      </c>
      <c r="L259" s="481"/>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0</v>
      </c>
      <c r="E261" s="616"/>
      <c r="F261" s="616"/>
      <c r="G261" s="616"/>
      <c r="H261" s="616"/>
      <c r="I261" s="616"/>
      <c r="J261" s="616"/>
      <c r="K261" s="1669">
        <f>SUM(K259:K260)</f>
        <v>0</v>
      </c>
      <c r="L261" s="1669">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c r="E264" s="616"/>
      <c r="F264" s="616"/>
      <c r="G264" s="616"/>
      <c r="H264" s="616"/>
      <c r="I264" s="616"/>
      <c r="J264" s="616"/>
      <c r="K264" s="1671">
        <f t="shared" ref="K264:K269" si="22">D264</f>
        <v>0</v>
      </c>
      <c r="L264" s="466"/>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c r="E266" s="616"/>
      <c r="F266" s="616"/>
      <c r="G266" s="616"/>
      <c r="H266" s="616"/>
      <c r="I266" s="616"/>
      <c r="J266" s="616"/>
      <c r="K266" s="1671">
        <f t="shared" si="22"/>
        <v>0</v>
      </c>
      <c r="L266" s="466"/>
    </row>
    <row r="267" spans="1:14" x14ac:dyDescent="0.2">
      <c r="A267" s="1503" t="s">
        <v>953</v>
      </c>
      <c r="B267" s="614">
        <v>2550</v>
      </c>
      <c r="C267" s="616"/>
      <c r="D267" s="466"/>
      <c r="E267" s="616"/>
      <c r="F267" s="616"/>
      <c r="G267" s="616"/>
      <c r="H267" s="616"/>
      <c r="I267" s="616"/>
      <c r="J267" s="616"/>
      <c r="K267" s="1671">
        <f t="shared" si="22"/>
        <v>0</v>
      </c>
      <c r="L267" s="466"/>
    </row>
    <row r="268" spans="1:14" x14ac:dyDescent="0.2">
      <c r="A268" s="1503" t="s">
        <v>100</v>
      </c>
      <c r="B268" s="614">
        <v>2560</v>
      </c>
      <c r="C268" s="616"/>
      <c r="D268" s="466"/>
      <c r="E268" s="616"/>
      <c r="F268" s="616"/>
      <c r="G268" s="616"/>
      <c r="H268" s="616"/>
      <c r="I268" s="616"/>
      <c r="J268" s="616"/>
      <c r="K268" s="1671">
        <f t="shared" si="22"/>
        <v>0</v>
      </c>
      <c r="L268" s="466"/>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0</v>
      </c>
      <c r="E270" s="616"/>
      <c r="F270" s="616"/>
      <c r="G270" s="616"/>
      <c r="H270" s="616"/>
      <c r="I270" s="616"/>
      <c r="J270" s="616"/>
      <c r="K270" s="1669">
        <f>SUM(K263:K269)</f>
        <v>0</v>
      </c>
      <c r="L270" s="1669">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c r="E274" s="616"/>
      <c r="F274" s="616"/>
      <c r="G274" s="616"/>
      <c r="H274" s="616"/>
      <c r="I274" s="616"/>
      <c r="J274" s="616"/>
      <c r="K274" s="1671">
        <f>D274</f>
        <v>0</v>
      </c>
      <c r="L274" s="466"/>
    </row>
    <row r="275" spans="1:12" x14ac:dyDescent="0.2">
      <c r="A275" s="1503" t="s">
        <v>403</v>
      </c>
      <c r="B275" s="614">
        <v>2640</v>
      </c>
      <c r="C275" s="616"/>
      <c r="D275" s="466"/>
      <c r="E275" s="616"/>
      <c r="F275" s="616"/>
      <c r="G275" s="616"/>
      <c r="H275" s="616"/>
      <c r="I275" s="616"/>
      <c r="J275" s="616"/>
      <c r="K275" s="1671">
        <f>D275</f>
        <v>0</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0</v>
      </c>
      <c r="E279" s="616"/>
      <c r="F279" s="616"/>
      <c r="G279" s="616"/>
      <c r="H279" s="616"/>
      <c r="I279" s="616"/>
      <c r="J279" s="616"/>
      <c r="K279" s="1676">
        <f>SUM(K238,K243,K257,K261,K270,K277,K278)</f>
        <v>0</v>
      </c>
      <c r="L279" s="1676">
        <f>SUM(L238,L243,L257,L261,L270,L277,L278)</f>
        <v>0</v>
      </c>
    </row>
    <row r="280" spans="1:12" ht="15.75" customHeight="1" thickTop="1" thickBot="1" x14ac:dyDescent="0.25">
      <c r="A280" s="1623" t="s">
        <v>875</v>
      </c>
      <c r="B280" s="1612">
        <v>3000</v>
      </c>
      <c r="C280" s="616"/>
      <c r="D280" s="576"/>
      <c r="E280" s="616"/>
      <c r="F280" s="616"/>
      <c r="G280" s="616"/>
      <c r="H280" s="616"/>
      <c r="I280" s="616"/>
      <c r="J280" s="616"/>
      <c r="K280" s="1678">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69">
        <f>SUM(D229,D279,D280,D285)</f>
        <v>0</v>
      </c>
      <c r="E295" s="616"/>
      <c r="F295" s="616"/>
      <c r="G295" s="616"/>
      <c r="H295" s="1669">
        <f>H293</f>
        <v>0</v>
      </c>
      <c r="I295" s="616"/>
      <c r="J295" s="616"/>
      <c r="K295" s="1669">
        <f>SUM(K229,K279,K280,K285,K293,K294)</f>
        <v>0</v>
      </c>
      <c r="L295" s="1669">
        <f>SUM(L229,L279,L280,L285,L293,L294)</f>
        <v>0</v>
      </c>
    </row>
    <row r="296" spans="1:14" ht="13.5" thickTop="1" x14ac:dyDescent="0.2">
      <c r="A296" s="2156" t="s">
        <v>996</v>
      </c>
      <c r="B296" s="2157"/>
      <c r="C296" s="616"/>
      <c r="D296" s="618"/>
      <c r="E296" s="616"/>
      <c r="F296" s="616"/>
      <c r="G296" s="616"/>
      <c r="H296" s="687"/>
      <c r="I296" s="616"/>
      <c r="J296" s="616"/>
      <c r="K296" s="1683">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c r="H301" s="466"/>
      <c r="I301" s="467"/>
      <c r="J301" s="467"/>
      <c r="K301" s="1670">
        <f>SUM(C301:J301)</f>
        <v>0</v>
      </c>
      <c r="L301" s="467"/>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1849</v>
      </c>
      <c r="B306" s="690" t="s">
        <v>1844</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7" t="s">
        <v>996</v>
      </c>
      <c r="B313" s="2168"/>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c r="F320" s="467"/>
      <c r="G320" s="467"/>
      <c r="H320" s="467"/>
      <c r="I320" s="467"/>
      <c r="J320" s="467"/>
      <c r="K320" s="1670">
        <f t="shared" ref="K320:K327" si="24">SUM(C320:J320)</f>
        <v>0</v>
      </c>
      <c r="L320" s="467"/>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284</v>
      </c>
      <c r="C322" s="467"/>
      <c r="D322" s="467"/>
      <c r="E322" s="467"/>
      <c r="F322" s="467"/>
      <c r="G322" s="467"/>
      <c r="H322" s="467"/>
      <c r="I322" s="467"/>
      <c r="J322" s="467"/>
      <c r="K322" s="1670">
        <f t="shared" si="24"/>
        <v>0</v>
      </c>
      <c r="L322" s="467"/>
      <c r="M322" s="665"/>
      <c r="N322" s="665"/>
    </row>
    <row r="323" spans="1:14" s="674" customFormat="1" x14ac:dyDescent="0.2">
      <c r="A323" s="1518"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SUM(L330,L334,L340,L341)</f>
        <v>0</v>
      </c>
    </row>
    <row r="343" spans="1:14" ht="12.75" customHeight="1" thickTop="1" x14ac:dyDescent="0.2">
      <c r="A343" s="2169" t="s">
        <v>996</v>
      </c>
      <c r="B343" s="2170"/>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row>
    <row r="355" spans="1:14" ht="12.75" customHeight="1" x14ac:dyDescent="0.2">
      <c r="A355" s="1512" t="s">
        <v>1853</v>
      </c>
      <c r="B355" s="690" t="s">
        <v>1846</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6" t="s">
        <v>996</v>
      </c>
      <c r="B368" s="2157"/>
      <c r="C368" s="654"/>
      <c r="D368" s="654"/>
      <c r="E368" s="626"/>
      <c r="F368" s="626"/>
      <c r="G368" s="626"/>
      <c r="H368" s="626"/>
      <c r="I368" s="626"/>
      <c r="J368" s="623"/>
      <c r="K368" s="1670">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43" sqref="D4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3" t="s">
        <v>1802</v>
      </c>
      <c r="B2" s="1527" t="s">
        <v>1949</v>
      </c>
      <c r="C2" s="714" t="s">
        <v>1950</v>
      </c>
      <c r="D2" s="714" t="s">
        <v>1951</v>
      </c>
      <c r="E2" s="714" t="s">
        <v>1952</v>
      </c>
      <c r="F2" s="714" t="s">
        <v>1953</v>
      </c>
    </row>
    <row r="3" spans="1:6" ht="12" customHeight="1" x14ac:dyDescent="0.2">
      <c r="A3" s="2184"/>
      <c r="B3" s="1524"/>
      <c r="C3" s="1525"/>
      <c r="D3" s="1526" t="s">
        <v>256</v>
      </c>
      <c r="E3" s="1525"/>
      <c r="F3" s="1526" t="s">
        <v>257</v>
      </c>
    </row>
    <row r="4" spans="1:6" ht="13.7" customHeight="1" x14ac:dyDescent="0.2">
      <c r="A4" s="715" t="s">
        <v>1155</v>
      </c>
      <c r="B4" s="1748">
        <f>'Revenues 9-14'!C5</f>
        <v>0</v>
      </c>
      <c r="C4" s="1523"/>
      <c r="D4" s="1751">
        <f>B4-C4</f>
        <v>0</v>
      </c>
      <c r="E4" s="1523"/>
      <c r="F4" s="1751">
        <f>E4-C4</f>
        <v>0</v>
      </c>
    </row>
    <row r="5" spans="1:6" ht="13.7" customHeight="1" x14ac:dyDescent="0.2">
      <c r="A5" s="715" t="s">
        <v>870</v>
      </c>
      <c r="B5" s="1749">
        <f>'Revenues 9-14'!D5</f>
        <v>0</v>
      </c>
      <c r="C5" s="585"/>
      <c r="D5" s="1752">
        <f t="shared" ref="D5:D18" si="0">B5-C5</f>
        <v>0</v>
      </c>
      <c r="E5" s="585"/>
      <c r="F5" s="1752">
        <f>E5-C5</f>
        <v>0</v>
      </c>
    </row>
    <row r="6" spans="1:6" ht="13.7" customHeight="1" x14ac:dyDescent="0.2">
      <c r="A6" s="715" t="s">
        <v>411</v>
      </c>
      <c r="B6" s="1749">
        <f>'Revenues 9-14'!E5</f>
        <v>0</v>
      </c>
      <c r="C6" s="585"/>
      <c r="D6" s="1752">
        <f t="shared" si="0"/>
        <v>0</v>
      </c>
      <c r="E6" s="585"/>
      <c r="F6" s="1752">
        <f t="shared" ref="F6:F18" si="1">E6-C6</f>
        <v>0</v>
      </c>
    </row>
    <row r="7" spans="1:6" ht="13.7" customHeight="1" x14ac:dyDescent="0.2">
      <c r="A7" s="715" t="s">
        <v>155</v>
      </c>
      <c r="B7" s="1749">
        <f>'Revenues 9-14'!F5</f>
        <v>0</v>
      </c>
      <c r="C7" s="585"/>
      <c r="D7" s="1752">
        <f t="shared" si="0"/>
        <v>0</v>
      </c>
      <c r="E7" s="585"/>
      <c r="F7" s="1752">
        <f t="shared" si="1"/>
        <v>0</v>
      </c>
    </row>
    <row r="8" spans="1:6" ht="13.7" customHeight="1" x14ac:dyDescent="0.2">
      <c r="A8" s="715" t="s">
        <v>1179</v>
      </c>
      <c r="B8" s="1749">
        <f>'Revenues 9-14'!G5</f>
        <v>0</v>
      </c>
      <c r="C8" s="585"/>
      <c r="D8" s="1752">
        <f t="shared" si="0"/>
        <v>0</v>
      </c>
      <c r="E8" s="585"/>
      <c r="F8" s="1752">
        <f t="shared" si="1"/>
        <v>0</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0</v>
      </c>
      <c r="C10" s="585"/>
      <c r="D10" s="1752">
        <f t="shared" si="0"/>
        <v>0</v>
      </c>
      <c r="E10" s="585"/>
      <c r="F10" s="1752">
        <f t="shared" si="1"/>
        <v>0</v>
      </c>
    </row>
    <row r="11" spans="1:6" x14ac:dyDescent="0.2">
      <c r="A11" s="715" t="s">
        <v>409</v>
      </c>
      <c r="B11" s="1749">
        <f>'Revenues 9-14'!J5</f>
        <v>0</v>
      </c>
      <c r="C11" s="585"/>
      <c r="D11" s="1752">
        <f t="shared" si="0"/>
        <v>0</v>
      </c>
      <c r="E11" s="585"/>
      <c r="F11" s="1752">
        <f t="shared" si="1"/>
        <v>0</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0</v>
      </c>
      <c r="C14" s="585"/>
      <c r="D14" s="1752">
        <f t="shared" si="0"/>
        <v>0</v>
      </c>
      <c r="E14" s="585"/>
      <c r="F14" s="1752">
        <f t="shared" si="1"/>
        <v>0</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0</v>
      </c>
      <c r="C16" s="585"/>
      <c r="D16" s="1752">
        <f t="shared" si="0"/>
        <v>0</v>
      </c>
      <c r="E16" s="585"/>
      <c r="F16" s="1752">
        <f t="shared" si="1"/>
        <v>0</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0</v>
      </c>
      <c r="C19" s="1750">
        <f>SUM(C4:C18)</f>
        <v>0</v>
      </c>
      <c r="D19" s="1750">
        <f>SUM(D4:D18)</f>
        <v>0</v>
      </c>
      <c r="E19" s="1750">
        <f>SUM(E4:E18)</f>
        <v>0</v>
      </c>
      <c r="F19" s="1750">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67" colorId="8" zoomScale="110" zoomScaleNormal="110" workbookViewId="0">
      <selection activeCell="D43" sqref="D4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3"/>
      <c r="C1" s="721"/>
    </row>
    <row r="2" spans="1:7" ht="33.75" x14ac:dyDescent="0.2">
      <c r="A2" s="2210" t="s">
        <v>1802</v>
      </c>
      <c r="B2" s="2211"/>
      <c r="C2" s="1883" t="s">
        <v>1954</v>
      </c>
      <c r="D2" s="723" t="s">
        <v>1955</v>
      </c>
      <c r="E2" s="723" t="s">
        <v>1956</v>
      </c>
      <c r="F2" s="1883" t="s">
        <v>1957</v>
      </c>
    </row>
    <row r="3" spans="1:7" ht="15.75" customHeight="1" x14ac:dyDescent="0.2">
      <c r="A3" s="2212" t="s">
        <v>1114</v>
      </c>
      <c r="B3" s="2213"/>
      <c r="C3" s="2206"/>
      <c r="D3" s="2207"/>
      <c r="E3" s="2207"/>
      <c r="F3" s="2208"/>
    </row>
    <row r="4" spans="1:7" ht="12.75" customHeight="1" thickBot="1" x14ac:dyDescent="0.25">
      <c r="A4" s="2200" t="s">
        <v>630</v>
      </c>
      <c r="B4" s="2201"/>
      <c r="C4" s="581"/>
      <c r="D4" s="581"/>
      <c r="E4" s="581"/>
      <c r="F4" s="1754">
        <f>SUM(C4+D4)-E4</f>
        <v>0</v>
      </c>
    </row>
    <row r="5" spans="1:7" ht="15.75" customHeight="1" thickTop="1" x14ac:dyDescent="0.2">
      <c r="A5" s="2204" t="s">
        <v>1110</v>
      </c>
      <c r="B5" s="2199"/>
      <c r="C5" s="2193"/>
      <c r="D5" s="2194"/>
      <c r="E5" s="2194"/>
      <c r="F5" s="2195"/>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6" t="s">
        <v>631</v>
      </c>
      <c r="B15" s="2197"/>
      <c r="C15" s="1754">
        <f>SUM(C6:C14)</f>
        <v>0</v>
      </c>
      <c r="D15" s="1754">
        <f>SUM(D6:D14)</f>
        <v>0</v>
      </c>
      <c r="E15" s="1754">
        <f>SUM(E6:E14)</f>
        <v>0</v>
      </c>
      <c r="F15" s="1754">
        <f>SUM(F6:F14)</f>
        <v>0</v>
      </c>
      <c r="G15" s="552"/>
    </row>
    <row r="16" spans="1:7" s="202" customFormat="1" ht="15.75" customHeight="1" thickTop="1" x14ac:dyDescent="0.2">
      <c r="A16" s="2209" t="s">
        <v>1111</v>
      </c>
      <c r="B16" s="2199"/>
      <c r="C16" s="2193"/>
      <c r="D16" s="2194"/>
      <c r="E16" s="2194"/>
      <c r="F16" s="2195"/>
    </row>
    <row r="17" spans="1:11" ht="12.75" customHeight="1" thickBot="1" x14ac:dyDescent="0.25">
      <c r="A17" s="2191" t="s">
        <v>64</v>
      </c>
      <c r="B17" s="2192"/>
      <c r="C17" s="726"/>
      <c r="D17" s="585"/>
      <c r="E17" s="726"/>
      <c r="F17" s="1754">
        <f>SUM(C17+D17)-E17</f>
        <v>0</v>
      </c>
    </row>
    <row r="18" spans="1:11" ht="12.75" customHeight="1" thickTop="1" thickBot="1" x14ac:dyDescent="0.25">
      <c r="A18" s="2191" t="s">
        <v>6</v>
      </c>
      <c r="B18" s="2192"/>
      <c r="C18" s="726"/>
      <c r="D18" s="585"/>
      <c r="E18" s="726"/>
      <c r="F18" s="1754">
        <f>SUM(C18+D18)-E18</f>
        <v>0</v>
      </c>
    </row>
    <row r="19" spans="1:11" ht="12.75" customHeight="1" thickTop="1" thickBot="1" x14ac:dyDescent="0.25">
      <c r="A19" s="2191" t="s">
        <v>388</v>
      </c>
      <c r="B19" s="2192"/>
      <c r="C19" s="726"/>
      <c r="D19" s="585"/>
      <c r="E19" s="726"/>
      <c r="F19" s="1754">
        <f>SUM(C19+D19)-E19</f>
        <v>0</v>
      </c>
    </row>
    <row r="20" spans="1:11" ht="12.75" customHeight="1" thickTop="1" thickBot="1" x14ac:dyDescent="0.25">
      <c r="A20" s="2191" t="s">
        <v>448</v>
      </c>
      <c r="B20" s="2192"/>
      <c r="C20" s="726"/>
      <c r="D20" s="585"/>
      <c r="E20" s="726"/>
      <c r="F20" s="1754">
        <f>SUM(C20+D20)-E20</f>
        <v>0</v>
      </c>
    </row>
    <row r="21" spans="1:11" ht="14.25" thickTop="1" thickBot="1" x14ac:dyDescent="0.25">
      <c r="A21" s="2196" t="s">
        <v>632</v>
      </c>
      <c r="B21" s="2197"/>
      <c r="C21" s="1754">
        <f>SUM(C17:C20)</f>
        <v>0</v>
      </c>
      <c r="D21" s="1754">
        <f>SUM(D17:D20)</f>
        <v>0</v>
      </c>
      <c r="E21" s="1754">
        <f>SUM(E17:E20)</f>
        <v>0</v>
      </c>
      <c r="F21" s="1754">
        <f>SUM(F17:F20)</f>
        <v>0</v>
      </c>
      <c r="G21" s="552"/>
    </row>
    <row r="22" spans="1:11" ht="15.75" customHeight="1" thickTop="1" x14ac:dyDescent="0.2">
      <c r="A22" s="2198" t="s">
        <v>1112</v>
      </c>
      <c r="B22" s="2199"/>
      <c r="C22" s="2193"/>
      <c r="D22" s="2194"/>
      <c r="E22" s="2194"/>
      <c r="F22" s="2195"/>
    </row>
    <row r="23" spans="1:11" ht="13.5" thickBot="1" x14ac:dyDescent="0.25">
      <c r="A23" s="2200" t="s">
        <v>633</v>
      </c>
      <c r="B23" s="2201"/>
      <c r="C23" s="581"/>
      <c r="D23" s="581"/>
      <c r="E23" s="581"/>
      <c r="F23" s="1754">
        <f>SUM(C23+D23)-E23</f>
        <v>0</v>
      </c>
      <c r="G23" s="552"/>
    </row>
    <row r="24" spans="1:11" ht="15.75" customHeight="1" thickTop="1" x14ac:dyDescent="0.2">
      <c r="A24" s="2198" t="s">
        <v>1113</v>
      </c>
      <c r="B24" s="2199"/>
      <c r="C24" s="2193"/>
      <c r="D24" s="2194"/>
      <c r="E24" s="2194"/>
      <c r="F24" s="2195"/>
    </row>
    <row r="25" spans="1:11" ht="13.5" thickBot="1" x14ac:dyDescent="0.25">
      <c r="A25" s="2200" t="s">
        <v>634</v>
      </c>
      <c r="B25" s="2201"/>
      <c r="C25" s="581"/>
      <c r="D25" s="581"/>
      <c r="E25" s="581"/>
      <c r="F25" s="1754">
        <f>SUM(C25+D25)-E25</f>
        <v>0</v>
      </c>
      <c r="G25" s="552"/>
    </row>
    <row r="26" spans="1:11" ht="15.75" customHeight="1" thickTop="1" x14ac:dyDescent="0.2">
      <c r="A26" s="2204" t="s">
        <v>657</v>
      </c>
      <c r="B26" s="2199"/>
      <c r="C26" s="727"/>
      <c r="D26" s="727"/>
      <c r="E26" s="727"/>
      <c r="F26" s="728"/>
    </row>
    <row r="27" spans="1:11" ht="13.5" thickBot="1" x14ac:dyDescent="0.25">
      <c r="A27" s="2196" t="s">
        <v>1070</v>
      </c>
      <c r="B27" s="2197"/>
      <c r="C27" s="585"/>
      <c r="D27" s="585"/>
      <c r="E27" s="585"/>
      <c r="F27" s="1754">
        <f>SUM(C27+D27)-E27</f>
        <v>0</v>
      </c>
      <c r="G27" s="552"/>
    </row>
    <row r="28" spans="1:11" ht="7.5" customHeight="1" thickTop="1" x14ac:dyDescent="0.2">
      <c r="A28" s="593"/>
    </row>
    <row r="29" spans="1:11" ht="23.25" customHeight="1" x14ac:dyDescent="0.2">
      <c r="A29" s="2202" t="s">
        <v>582</v>
      </c>
      <c r="B29" s="2203"/>
      <c r="C29" s="729"/>
      <c r="D29" s="729"/>
      <c r="E29" s="729"/>
      <c r="F29" s="729"/>
      <c r="G29" s="729"/>
      <c r="H29" s="729"/>
      <c r="I29" s="729"/>
      <c r="J29" s="729"/>
    </row>
    <row r="30" spans="1:11" ht="33.75" x14ac:dyDescent="0.2">
      <c r="A30" s="1528" t="s">
        <v>1071</v>
      </c>
      <c r="B30" s="730" t="s">
        <v>1124</v>
      </c>
      <c r="C30" s="1884" t="s">
        <v>583</v>
      </c>
      <c r="D30" s="1884" t="s">
        <v>1673</v>
      </c>
      <c r="E30" s="1884" t="s">
        <v>1958</v>
      </c>
      <c r="F30" s="1884" t="s">
        <v>1959</v>
      </c>
      <c r="G30" s="1884" t="s">
        <v>1910</v>
      </c>
      <c r="H30" s="1884" t="s">
        <v>1960</v>
      </c>
      <c r="I30" s="1884" t="s">
        <v>1961</v>
      </c>
      <c r="J30" s="1885" t="s">
        <v>2</v>
      </c>
      <c r="K30" s="731"/>
    </row>
    <row r="31" spans="1:11" ht="12" customHeight="1" x14ac:dyDescent="0.2">
      <c r="A31" s="732"/>
      <c r="B31" s="733"/>
      <c r="C31" s="734"/>
      <c r="D31" s="735"/>
      <c r="E31" s="734"/>
      <c r="F31" s="734"/>
      <c r="G31" s="734"/>
      <c r="H31" s="734"/>
      <c r="I31" s="1755">
        <f>((E31+F31)-H31)+G31</f>
        <v>0</v>
      </c>
      <c r="J31" s="734"/>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0</v>
      </c>
      <c r="D49" s="745"/>
      <c r="E49" s="1755">
        <f t="shared" ref="E49:J49" si="2">SUM(E31:E48)</f>
        <v>0</v>
      </c>
      <c r="F49" s="1755">
        <f t="shared" si="2"/>
        <v>0</v>
      </c>
      <c r="G49" s="1755">
        <f t="shared" si="2"/>
        <v>0</v>
      </c>
      <c r="H49" s="1755">
        <f t="shared" si="2"/>
        <v>0</v>
      </c>
      <c r="I49" s="1755">
        <f t="shared" si="2"/>
        <v>0</v>
      </c>
      <c r="J49" s="1755">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5" t="s">
        <v>584</v>
      </c>
      <c r="C52" s="2186"/>
      <c r="D52" s="2186"/>
      <c r="E52" s="749" t="s">
        <v>845</v>
      </c>
      <c r="F52" s="2187"/>
      <c r="G52" s="2188"/>
      <c r="H52" s="736"/>
      <c r="I52" s="736"/>
      <c r="J52" s="746"/>
    </row>
    <row r="53" spans="1:11" ht="11.25" customHeight="1" x14ac:dyDescent="0.2">
      <c r="A53" s="750" t="s">
        <v>913</v>
      </c>
      <c r="B53" s="751" t="s">
        <v>951</v>
      </c>
      <c r="C53" s="746"/>
      <c r="D53" s="737"/>
      <c r="E53" s="749" t="s">
        <v>497</v>
      </c>
      <c r="F53" s="2189"/>
      <c r="G53" s="2190"/>
      <c r="H53" s="736"/>
      <c r="I53" s="736"/>
      <c r="J53" s="746"/>
    </row>
    <row r="54" spans="1:11" ht="11.25" customHeight="1" x14ac:dyDescent="0.2">
      <c r="A54" s="752" t="s">
        <v>914</v>
      </c>
      <c r="B54" s="747" t="s">
        <v>952</v>
      </c>
      <c r="C54" s="746"/>
      <c r="D54" s="737"/>
      <c r="E54" s="749" t="s">
        <v>498</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61" colorId="8" zoomScale="110" zoomScaleNormal="110" workbookViewId="0">
      <selection activeCell="D43" sqref="D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29"/>
      <c r="I1" s="760"/>
      <c r="J1" s="433"/>
    </row>
    <row r="2" spans="1:11" ht="26.25" x14ac:dyDescent="0.2">
      <c r="A2" s="2233" t="s">
        <v>1677</v>
      </c>
      <c r="B2" s="2234"/>
      <c r="C2" s="2234"/>
      <c r="D2" s="2234"/>
      <c r="E2" s="2235"/>
      <c r="F2" s="761" t="s">
        <v>904</v>
      </c>
      <c r="G2" s="762" t="s">
        <v>1674</v>
      </c>
      <c r="H2" s="762" t="s">
        <v>410</v>
      </c>
      <c r="I2" s="762" t="s">
        <v>1158</v>
      </c>
      <c r="J2" s="762" t="s">
        <v>1812</v>
      </c>
      <c r="K2" s="762" t="s">
        <v>138</v>
      </c>
    </row>
    <row r="3" spans="1:11" x14ac:dyDescent="0.2">
      <c r="A3" s="2236" t="s">
        <v>1962</v>
      </c>
      <c r="B3" s="2237"/>
      <c r="C3" s="2237"/>
      <c r="D3" s="2237"/>
      <c r="E3" s="2238"/>
      <c r="F3" s="763"/>
      <c r="G3" s="764"/>
      <c r="H3" s="764"/>
      <c r="I3" s="764"/>
      <c r="J3" s="765"/>
      <c r="K3" s="765"/>
    </row>
    <row r="4" spans="1:11" x14ac:dyDescent="0.2">
      <c r="A4" s="2239" t="s">
        <v>369</v>
      </c>
      <c r="B4" s="2240"/>
      <c r="C4" s="2240"/>
      <c r="D4" s="2240"/>
      <c r="E4" s="2186"/>
      <c r="F4" s="766"/>
      <c r="G4" s="767"/>
      <c r="H4" s="768"/>
      <c r="I4" s="767"/>
      <c r="J4" s="769"/>
      <c r="K4" s="769"/>
    </row>
    <row r="5" spans="1:11" x14ac:dyDescent="0.2">
      <c r="A5" s="2217" t="s">
        <v>1069</v>
      </c>
      <c r="B5" s="2218"/>
      <c r="C5" s="2218"/>
      <c r="D5" s="2218"/>
      <c r="E5" s="2219"/>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7" t="s">
        <v>1813</v>
      </c>
      <c r="B10" s="2218"/>
      <c r="C10" s="2218"/>
      <c r="D10" s="2218"/>
      <c r="E10" s="2220"/>
      <c r="F10" s="783" t="s">
        <v>862</v>
      </c>
      <c r="G10" s="782"/>
      <c r="H10" s="784"/>
      <c r="I10" s="764"/>
      <c r="J10" s="765"/>
      <c r="K10" s="765"/>
    </row>
    <row r="11" spans="1:11" x14ac:dyDescent="0.2">
      <c r="A11" s="2217" t="s">
        <v>160</v>
      </c>
      <c r="B11" s="2218"/>
      <c r="C11" s="2218"/>
      <c r="D11" s="2218"/>
      <c r="E11" s="2219"/>
      <c r="F11" s="770" t="s">
        <v>852</v>
      </c>
      <c r="G11" s="771"/>
      <c r="H11" s="764"/>
      <c r="I11" s="764"/>
      <c r="J11" s="765"/>
      <c r="K11" s="773"/>
    </row>
    <row r="12" spans="1:11" ht="13.5" thickBot="1" x14ac:dyDescent="0.25">
      <c r="A12" s="2244" t="s">
        <v>905</v>
      </c>
      <c r="B12" s="2245"/>
      <c r="C12" s="2245"/>
      <c r="D12" s="2245"/>
      <c r="E12" s="2246"/>
      <c r="F12" s="1756"/>
      <c r="G12" s="1757">
        <f>SUM(G5:G11)</f>
        <v>0</v>
      </c>
      <c r="H12" s="1757">
        <f>SUM(H5:H11)</f>
        <v>0</v>
      </c>
      <c r="I12" s="1757">
        <f>SUM(I5:I11)</f>
        <v>0</v>
      </c>
      <c r="J12" s="1757">
        <f>SUM(J5:J11)</f>
        <v>0</v>
      </c>
      <c r="K12" s="1757">
        <f>SUM(K5:K11)</f>
        <v>0</v>
      </c>
    </row>
    <row r="13" spans="1:11" ht="13.5" thickTop="1" x14ac:dyDescent="0.2">
      <c r="A13" s="2241" t="s">
        <v>370</v>
      </c>
      <c r="B13" s="2242"/>
      <c r="C13" s="2242"/>
      <c r="D13" s="2242"/>
      <c r="E13" s="2243"/>
      <c r="F13" s="785"/>
      <c r="G13" s="786"/>
      <c r="H13" s="787"/>
      <c r="I13" s="788"/>
      <c r="J13" s="788"/>
      <c r="K13" s="788"/>
    </row>
    <row r="14" spans="1:11" x14ac:dyDescent="0.2">
      <c r="A14" s="2224" t="s">
        <v>456</v>
      </c>
      <c r="B14" s="2224"/>
      <c r="C14" s="2224"/>
      <c r="D14" s="2224"/>
      <c r="E14" s="2225"/>
      <c r="F14" s="789" t="s">
        <v>854</v>
      </c>
      <c r="G14" s="782"/>
      <c r="H14" s="764"/>
      <c r="I14" s="771"/>
      <c r="J14" s="773"/>
      <c r="K14" s="765"/>
    </row>
    <row r="15" spans="1:11" x14ac:dyDescent="0.2">
      <c r="A15" s="2218" t="s">
        <v>4</v>
      </c>
      <c r="B15" s="2218"/>
      <c r="C15" s="2218"/>
      <c r="D15" s="2218"/>
      <c r="E15" s="2219"/>
      <c r="F15" s="789" t="s">
        <v>855</v>
      </c>
      <c r="G15" s="771"/>
      <c r="H15" s="764"/>
      <c r="I15" s="764"/>
      <c r="J15" s="765"/>
      <c r="K15" s="765"/>
    </row>
    <row r="16" spans="1:11" x14ac:dyDescent="0.2">
      <c r="A16" s="2218" t="s">
        <v>298</v>
      </c>
      <c r="B16" s="2218"/>
      <c r="C16" s="2218"/>
      <c r="D16" s="2218"/>
      <c r="E16" s="2219"/>
      <c r="F16" s="789" t="s">
        <v>923</v>
      </c>
      <c r="G16" s="772"/>
      <c r="H16" s="767"/>
      <c r="I16" s="767"/>
      <c r="J16" s="769"/>
      <c r="K16" s="769"/>
    </row>
    <row r="17" spans="1:11" x14ac:dyDescent="0.2">
      <c r="A17" s="2249" t="s">
        <v>935</v>
      </c>
      <c r="B17" s="2249"/>
      <c r="C17" s="2249"/>
      <c r="D17" s="2249"/>
      <c r="E17" s="2250"/>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26" t="s">
        <v>1809</v>
      </c>
      <c r="B19" s="2226"/>
      <c r="C19" s="2226"/>
      <c r="D19" s="2226"/>
      <c r="E19" s="2227"/>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47" t="s">
        <v>638</v>
      </c>
      <c r="B21" s="2247"/>
      <c r="C21" s="2247"/>
      <c r="D21" s="2247"/>
      <c r="E21" s="2247"/>
      <c r="F21" s="1758"/>
      <c r="G21" s="792"/>
      <c r="H21" s="796"/>
      <c r="I21" s="796"/>
      <c r="J21" s="1759">
        <f>SUM(J18:J20)</f>
        <v>0</v>
      </c>
      <c r="K21" s="793"/>
    </row>
    <row r="22" spans="1:11" ht="13.5" thickTop="1" x14ac:dyDescent="0.2">
      <c r="A22" s="2218" t="s">
        <v>1815</v>
      </c>
      <c r="B22" s="2218"/>
      <c r="C22" s="2218"/>
      <c r="D22" s="2218"/>
      <c r="E22" s="2219"/>
      <c r="F22" s="789" t="s">
        <v>862</v>
      </c>
      <c r="G22" s="782"/>
      <c r="H22" s="764"/>
      <c r="I22" s="764"/>
      <c r="J22" s="797"/>
      <c r="K22" s="765"/>
    </row>
    <row r="23" spans="1:11" ht="13.5" thickBot="1" x14ac:dyDescent="0.25">
      <c r="A23" s="2248" t="s">
        <v>906</v>
      </c>
      <c r="B23" s="2247"/>
      <c r="C23" s="2247"/>
      <c r="D23" s="2247"/>
      <c r="E23" s="2247"/>
      <c r="F23" s="1760"/>
      <c r="G23" s="1757">
        <f>SUM(G14:G16,G21,G22)</f>
        <v>0</v>
      </c>
      <c r="H23" s="1757">
        <f>SUM(H14:H16,H21,H22)</f>
        <v>0</v>
      </c>
      <c r="I23" s="1757">
        <f>SUM(I14:I16,I21,I22)</f>
        <v>0</v>
      </c>
      <c r="J23" s="1757">
        <f>SUM(J14:J16,J21,J22)</f>
        <v>0</v>
      </c>
      <c r="K23" s="1757">
        <f>SUM(K14:K16,K21,K22)</f>
        <v>0</v>
      </c>
    </row>
    <row r="24" spans="1:11" ht="14.25" thickTop="1" thickBot="1" x14ac:dyDescent="0.25">
      <c r="A24" s="2248" t="s">
        <v>1963</v>
      </c>
      <c r="B24" s="2247"/>
      <c r="C24" s="2247"/>
      <c r="D24" s="2247"/>
      <c r="E24" s="2247"/>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1909</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1"/>
      <c r="I31" s="2222"/>
      <c r="J31" s="2222"/>
      <c r="K31" s="2222"/>
    </row>
    <row r="32" spans="1:11" x14ac:dyDescent="0.2">
      <c r="A32" s="809"/>
      <c r="B32" s="237"/>
      <c r="C32" s="237"/>
      <c r="D32" s="237"/>
      <c r="E32" s="805"/>
      <c r="F32" s="811" t="s">
        <v>540</v>
      </c>
      <c r="G32" s="764"/>
      <c r="H32" s="2223"/>
      <c r="I32" s="2222"/>
      <c r="J32" s="2222"/>
      <c r="K32" s="2222"/>
    </row>
    <row r="33" spans="1:11" ht="1.5" customHeight="1" x14ac:dyDescent="0.2">
      <c r="A33" s="812" t="s">
        <v>1169</v>
      </c>
      <c r="B33" s="364"/>
      <c r="C33" s="364"/>
      <c r="D33" s="364"/>
      <c r="E33" s="364"/>
      <c r="F33" s="364"/>
      <c r="G33" s="813"/>
      <c r="H33" s="2223"/>
      <c r="I33" s="2222"/>
      <c r="J33" s="2222"/>
      <c r="K33" s="222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31"/>
      <c r="C41" s="2231"/>
      <c r="D41" s="2231"/>
      <c r="E41" s="2231"/>
      <c r="F41" s="223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43" sqref="D4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c r="D5" s="841"/>
      <c r="E5" s="841"/>
      <c r="F5" s="1759">
        <f>(C5+D5)-E5</f>
        <v>0</v>
      </c>
      <c r="G5" s="837"/>
      <c r="H5" s="842"/>
      <c r="I5" s="842"/>
      <c r="J5" s="842"/>
      <c r="K5" s="793"/>
      <c r="L5" s="1768">
        <f>F5-K5</f>
        <v>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c r="D8" s="844"/>
      <c r="E8" s="844"/>
      <c r="F8" s="1759">
        <f>(C8+D8)-E8</f>
        <v>0</v>
      </c>
      <c r="G8" s="843">
        <v>50</v>
      </c>
      <c r="H8" s="765"/>
      <c r="I8" s="765"/>
      <c r="J8" s="765"/>
      <c r="K8" s="1768">
        <f>(H8+I8)-J8</f>
        <v>0</v>
      </c>
      <c r="L8" s="1768">
        <f>F8-K8</f>
        <v>0</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c r="D10" s="846"/>
      <c r="E10" s="846"/>
      <c r="F10" s="1763">
        <f>(C10+D10)-E10</f>
        <v>0</v>
      </c>
      <c r="G10" s="843">
        <v>20</v>
      </c>
      <c r="H10" s="847"/>
      <c r="I10" s="847"/>
      <c r="J10" s="847"/>
      <c r="K10" s="1768">
        <f>(H10+I10)-J10</f>
        <v>0</v>
      </c>
      <c r="L10" s="1768">
        <f>F10-K10</f>
        <v>0</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808585</v>
      </c>
      <c r="D12" s="844">
        <v>121333</v>
      </c>
      <c r="E12" s="844">
        <v>76350</v>
      </c>
      <c r="F12" s="1759">
        <f>(C12+D12)-E12</f>
        <v>853568</v>
      </c>
      <c r="G12" s="843">
        <v>10</v>
      </c>
      <c r="H12" s="765">
        <v>573279</v>
      </c>
      <c r="I12" s="765">
        <v>85357</v>
      </c>
      <c r="J12" s="765">
        <v>76350</v>
      </c>
      <c r="K12" s="1768">
        <f>(H12+I12)-J12</f>
        <v>582286</v>
      </c>
      <c r="L12" s="1768">
        <f>F12-K12</f>
        <v>271282</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808585</v>
      </c>
      <c r="D16" s="1759">
        <f>SUM(D3,D5:D6,D8:D10,D12:D15)</f>
        <v>121333</v>
      </c>
      <c r="E16" s="1759">
        <f>SUM(E3,E5:E6,E8:E10,E12:E15)</f>
        <v>76350</v>
      </c>
      <c r="F16" s="1759">
        <f>SUM(F3,F5:F6,F8:F10,F12:F15)</f>
        <v>853568</v>
      </c>
      <c r="G16" s="843"/>
      <c r="H16" s="1759">
        <f>SUM(H3,H6,H8:H10,H12:H14,)</f>
        <v>573279</v>
      </c>
      <c r="I16" s="1759">
        <f>SUM(I3,I6,I8:I10,I12:I14,)</f>
        <v>85357</v>
      </c>
      <c r="J16" s="1759">
        <f>SUM(J3,J6,J8:J10,J12:J14,)</f>
        <v>76350</v>
      </c>
      <c r="K16" s="1759">
        <f>(H16+I16)-J16</f>
        <v>582286</v>
      </c>
      <c r="L16" s="1759">
        <f>F16-K16</f>
        <v>271282</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85357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36" activePane="bottomLeft" state="frozen"/>
      <selection activeCell="D43" sqref="D43"/>
      <selection pane="bottomLeft" activeCell="D43" sqref="D4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1973</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546304</v>
      </c>
      <c r="G8" s="865"/>
    </row>
    <row r="9" spans="1:7" x14ac:dyDescent="0.2">
      <c r="A9" s="869" t="s">
        <v>460</v>
      </c>
      <c r="B9" s="870" t="s">
        <v>1876</v>
      </c>
      <c r="C9" s="871"/>
      <c r="D9" s="869" t="s">
        <v>501</v>
      </c>
      <c r="E9" s="868"/>
      <c r="F9" s="1908">
        <f>'Expenditures 15-22'!K151</f>
        <v>0</v>
      </c>
      <c r="G9" s="872"/>
    </row>
    <row r="10" spans="1:7" x14ac:dyDescent="0.2">
      <c r="A10" s="869" t="s">
        <v>499</v>
      </c>
      <c r="B10" s="870" t="s">
        <v>1877</v>
      </c>
      <c r="C10" s="871"/>
      <c r="D10" s="869" t="s">
        <v>501</v>
      </c>
      <c r="E10" s="868"/>
      <c r="F10" s="1908">
        <f>'Expenditures 15-22'!K174</f>
        <v>0</v>
      </c>
      <c r="G10" s="872"/>
    </row>
    <row r="11" spans="1:7" x14ac:dyDescent="0.2">
      <c r="A11" s="869" t="s">
        <v>461</v>
      </c>
      <c r="B11" s="870" t="s">
        <v>1878</v>
      </c>
      <c r="C11" s="871"/>
      <c r="D11" s="869" t="s">
        <v>501</v>
      </c>
      <c r="E11" s="868"/>
      <c r="F11" s="1908">
        <f>'Expenditures 15-22'!K210</f>
        <v>0</v>
      </c>
      <c r="G11" s="872"/>
    </row>
    <row r="12" spans="1:7" x14ac:dyDescent="0.2">
      <c r="A12" s="869" t="s">
        <v>462</v>
      </c>
      <c r="B12" s="870" t="s">
        <v>1879</v>
      </c>
      <c r="C12" s="871"/>
      <c r="D12" s="869" t="s">
        <v>501</v>
      </c>
      <c r="E12" s="868"/>
      <c r="F12" s="1908">
        <f>'Expenditures 15-22'!K295</f>
        <v>0</v>
      </c>
      <c r="G12" s="872"/>
    </row>
    <row r="13" spans="1:7" x14ac:dyDescent="0.2">
      <c r="A13" s="869" t="s">
        <v>106</v>
      </c>
      <c r="B13" s="870" t="s">
        <v>1880</v>
      </c>
      <c r="C13" s="871"/>
      <c r="D13" s="869" t="s">
        <v>501</v>
      </c>
      <c r="E13" s="868"/>
      <c r="F13" s="1908">
        <f>'Expenditures 15-22'!K342</f>
        <v>0</v>
      </c>
      <c r="G13" s="873"/>
    </row>
    <row r="14" spans="1:7" ht="12" customHeight="1" thickBot="1" x14ac:dyDescent="0.25">
      <c r="A14" s="1769"/>
      <c r="B14" s="1770"/>
      <c r="C14" s="1771"/>
      <c r="D14" s="1772" t="s">
        <v>501</v>
      </c>
      <c r="E14" s="1773" t="s">
        <v>958</v>
      </c>
      <c r="F14" s="1774">
        <f>SUM(F8:F13)</f>
        <v>546304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3">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2000</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2">
        <f>'Expenditures 15-22'!K102</f>
        <v>235879</v>
      </c>
      <c r="G53" s="865"/>
    </row>
    <row r="54" spans="1:7" x14ac:dyDescent="0.2">
      <c r="A54" s="869" t="s">
        <v>459</v>
      </c>
      <c r="B54" s="869" t="s">
        <v>1476</v>
      </c>
      <c r="C54" s="889" t="s">
        <v>982</v>
      </c>
      <c r="D54" s="885" t="s">
        <v>1095</v>
      </c>
      <c r="E54" s="868"/>
      <c r="F54" s="1912">
        <f>'Expenditures 15-22'!G114</f>
        <v>121333</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2">
        <f>'Expenditures 15-22'!K139</f>
        <v>0</v>
      </c>
      <c r="G57" s="865"/>
    </row>
    <row r="58" spans="1:7" x14ac:dyDescent="0.2">
      <c r="A58" s="869" t="s">
        <v>460</v>
      </c>
      <c r="B58" s="869" t="s">
        <v>1882</v>
      </c>
      <c r="C58" s="886" t="s">
        <v>982</v>
      </c>
      <c r="D58" s="885" t="s">
        <v>1095</v>
      </c>
      <c r="E58" s="868"/>
      <c r="F58" s="1914">
        <f>'Expenditures 15-22'!G151</f>
        <v>0</v>
      </c>
      <c r="G58" s="865"/>
    </row>
    <row r="59" spans="1:7" x14ac:dyDescent="0.2">
      <c r="A59" s="893" t="s">
        <v>460</v>
      </c>
      <c r="B59" s="856" t="s">
        <v>1883</v>
      </c>
      <c r="C59" s="894" t="s">
        <v>982</v>
      </c>
      <c r="D59" s="856" t="s">
        <v>291</v>
      </c>
      <c r="F59" s="1915">
        <f>'Expenditures 15-22'!I151</f>
        <v>0</v>
      </c>
      <c r="G59" s="865"/>
    </row>
    <row r="60" spans="1:7" x14ac:dyDescent="0.2">
      <c r="A60" s="893" t="s">
        <v>499</v>
      </c>
      <c r="B60" s="856" t="s">
        <v>1884</v>
      </c>
      <c r="C60" s="894">
        <v>4000</v>
      </c>
      <c r="D60" s="856" t="s">
        <v>312</v>
      </c>
      <c r="F60" s="1913">
        <f>'Expenditures 15-22'!K160</f>
        <v>0</v>
      </c>
      <c r="G60" s="865"/>
    </row>
    <row r="61" spans="1:7" x14ac:dyDescent="0.2">
      <c r="A61" s="895" t="s">
        <v>499</v>
      </c>
      <c r="B61" s="895" t="s">
        <v>1885</v>
      </c>
      <c r="C61" s="896" t="str">
        <f>'Expenditures 15-22'!B170</f>
        <v>5300</v>
      </c>
      <c r="D61" s="897" t="s">
        <v>311</v>
      </c>
      <c r="E61" s="879"/>
      <c r="F61" s="1912">
        <f>'Expenditures 15-22'!K170</f>
        <v>0</v>
      </c>
      <c r="G61" s="865"/>
    </row>
    <row r="62" spans="1:7" x14ac:dyDescent="0.2">
      <c r="A62" s="869" t="s">
        <v>461</v>
      </c>
      <c r="B62" s="869" t="s">
        <v>1886</v>
      </c>
      <c r="C62" s="886">
        <f>'Expenditures 15-22'!B185</f>
        <v>3000</v>
      </c>
      <c r="D62" s="876" t="s">
        <v>449</v>
      </c>
      <c r="E62" s="868"/>
      <c r="F62" s="1912">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1888</v>
      </c>
      <c r="C64" s="896" t="str">
        <f>'Expenditures 15-22'!B206</f>
        <v>5300</v>
      </c>
      <c r="D64" s="892" t="s">
        <v>311</v>
      </c>
      <c r="E64" s="868"/>
      <c r="F64" s="1912">
        <f>'Expenditures 15-22'!K206</f>
        <v>0</v>
      </c>
      <c r="G64" s="865"/>
    </row>
    <row r="65" spans="1:8" x14ac:dyDescent="0.2">
      <c r="A65" s="869" t="s">
        <v>461</v>
      </c>
      <c r="B65" s="869" t="s">
        <v>1889</v>
      </c>
      <c r="C65" s="886" t="s">
        <v>982</v>
      </c>
      <c r="D65" s="885" t="s">
        <v>1095</v>
      </c>
      <c r="E65" s="868"/>
      <c r="F65" s="1912">
        <f>'Expenditures 15-22'!G210</f>
        <v>0</v>
      </c>
      <c r="G65" s="865"/>
    </row>
    <row r="66" spans="1:8" x14ac:dyDescent="0.2">
      <c r="A66" s="869" t="s">
        <v>461</v>
      </c>
      <c r="B66" s="869" t="s">
        <v>1890</v>
      </c>
      <c r="C66" s="886" t="s">
        <v>982</v>
      </c>
      <c r="D66" s="885" t="s">
        <v>291</v>
      </c>
      <c r="E66" s="868"/>
      <c r="F66" s="1912">
        <f>'Expenditures 15-22'!I210</f>
        <v>0</v>
      </c>
      <c r="G66" s="865"/>
    </row>
    <row r="67" spans="1:8" x14ac:dyDescent="0.2">
      <c r="A67" s="869" t="s">
        <v>462</v>
      </c>
      <c r="B67" s="869" t="s">
        <v>1891</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1893</v>
      </c>
      <c r="C70" s="886">
        <f>'Expenditures 15-22'!B221</f>
        <v>1300</v>
      </c>
      <c r="D70" s="887" t="str">
        <f>'Expenditures 15-22'!A221</f>
        <v>Adult/Continuing Education Programs</v>
      </c>
      <c r="E70" s="868"/>
      <c r="F70" s="1912">
        <f>'Expenditures 15-22'!K221</f>
        <v>0</v>
      </c>
      <c r="G70" s="865"/>
    </row>
    <row r="71" spans="1:8" x14ac:dyDescent="0.2">
      <c r="A71" s="869" t="s">
        <v>462</v>
      </c>
      <c r="B71" s="869" t="s">
        <v>1894</v>
      </c>
      <c r="C71" s="886">
        <f>'Expenditures 15-22'!B224</f>
        <v>1600</v>
      </c>
      <c r="D71" s="887" t="str">
        <f>'Expenditures 15-22'!A224</f>
        <v>Summer School Programs</v>
      </c>
      <c r="E71" s="868"/>
      <c r="F71" s="1912">
        <f>'Expenditures 15-22'!K224</f>
        <v>0</v>
      </c>
      <c r="G71" s="865"/>
    </row>
    <row r="72" spans="1:8" x14ac:dyDescent="0.2">
      <c r="A72" s="869" t="s">
        <v>462</v>
      </c>
      <c r="B72" s="869" t="s">
        <v>1895</v>
      </c>
      <c r="C72" s="886">
        <f>'Expenditures 15-22'!B280</f>
        <v>3000</v>
      </c>
      <c r="D72" s="876" t="s">
        <v>449</v>
      </c>
      <c r="E72" s="868"/>
      <c r="F72" s="1912">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1897</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357212</v>
      </c>
      <c r="G76" s="865"/>
    </row>
    <row r="77" spans="1:8" s="893" customFormat="1" ht="12" customHeight="1" thickTop="1" thickBot="1" x14ac:dyDescent="0.25">
      <c r="A77" s="1778"/>
      <c r="B77" s="1775"/>
      <c r="C77" s="1771"/>
      <c r="D77" s="1776" t="s">
        <v>1899</v>
      </c>
      <c r="E77" s="1773"/>
      <c r="F77" s="1779">
        <f>(F14-F76)</f>
        <v>189092</v>
      </c>
      <c r="G77" s="869"/>
    </row>
    <row r="78" spans="1:8" s="893" customFormat="1" ht="12" customHeight="1" thickTop="1" x14ac:dyDescent="0.2">
      <c r="A78" s="1780"/>
      <c r="B78" s="1775"/>
      <c r="C78" s="1771"/>
      <c r="D78" s="1776" t="s">
        <v>2060</v>
      </c>
      <c r="E78" s="1773"/>
      <c r="F78" s="898">
        <v>0</v>
      </c>
      <c r="G78" s="899"/>
      <c r="H78" s="869"/>
    </row>
    <row r="79" spans="1:8" s="893" customFormat="1" ht="12" customHeight="1" thickBot="1" x14ac:dyDescent="0.25">
      <c r="A79" s="1781"/>
      <c r="B79" s="1775"/>
      <c r="C79" s="1771"/>
      <c r="D79" s="1776" t="s">
        <v>1900</v>
      </c>
      <c r="E79" s="1773" t="s">
        <v>958</v>
      </c>
      <c r="F79" s="1782"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0</v>
      </c>
      <c r="G94" s="912"/>
    </row>
    <row r="95" spans="1:7" x14ac:dyDescent="0.2">
      <c r="A95" s="908" t="s">
        <v>140</v>
      </c>
      <c r="B95" s="908" t="s">
        <v>175</v>
      </c>
      <c r="C95" s="910">
        <v>1700</v>
      </c>
      <c r="D95" s="918" t="str">
        <f>'Revenues 9-14'!A82</f>
        <v>Total District/School Activity Income</v>
      </c>
      <c r="E95" s="906"/>
      <c r="F95" s="1788">
        <f>SUM('Revenues 9-14'!C82,'Revenues 9-14'!D82)</f>
        <v>0</v>
      </c>
      <c r="G95" s="912"/>
    </row>
    <row r="96" spans="1:7" x14ac:dyDescent="0.2">
      <c r="A96" s="908" t="s">
        <v>459</v>
      </c>
      <c r="B96" s="908" t="s">
        <v>176</v>
      </c>
      <c r="C96" s="910">
        <f>'Revenues 9-14'!B84</f>
        <v>1811</v>
      </c>
      <c r="D96" s="911" t="str">
        <f>'Revenues 9-14'!A84</f>
        <v>Rentals - Regular Textbooks</v>
      </c>
      <c r="E96" s="906"/>
      <c r="F96" s="1788">
        <f>'Revenues 9-14'!C84</f>
        <v>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78122</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2001</v>
      </c>
      <c r="C105" s="913">
        <v>3100</v>
      </c>
      <c r="D105" s="919" t="str">
        <f>'Revenues 9-14'!A132</f>
        <v>Total Special Education</v>
      </c>
      <c r="E105" s="906"/>
      <c r="F105" s="1788">
        <f>SUM('Revenues 9-14'!C132:D132,'Revenues 9-14'!F132)</f>
        <v>0</v>
      </c>
      <c r="G105" s="912"/>
    </row>
    <row r="106" spans="1:7" x14ac:dyDescent="0.2">
      <c r="A106" s="908" t="s">
        <v>673</v>
      </c>
      <c r="B106" s="908" t="s">
        <v>2002</v>
      </c>
      <c r="C106" s="920">
        <v>3200</v>
      </c>
      <c r="D106" s="911" t="str">
        <f>'Revenues 9-14'!A141</f>
        <v>Total Career and Technical Education</v>
      </c>
      <c r="E106" s="906"/>
      <c r="F106" s="1788">
        <f>SUM('Revenues 9-14'!C141,'Revenues 9-14'!D141,'Revenues 9-14'!G141)</f>
        <v>214088</v>
      </c>
      <c r="G106" s="912"/>
    </row>
    <row r="107" spans="1:7" x14ac:dyDescent="0.2">
      <c r="A107" s="921" t="s">
        <v>664</v>
      </c>
      <c r="B107" s="908" t="s">
        <v>2003</v>
      </c>
      <c r="C107" s="920">
        <v>3300</v>
      </c>
      <c r="D107" s="911" t="str">
        <f>'Revenues 9-14'!A145</f>
        <v>Total Bilingual Ed</v>
      </c>
      <c r="E107" s="906"/>
      <c r="F107" s="1788">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8">
        <f>'Revenues 9-14'!C146</f>
        <v>0</v>
      </c>
      <c r="G108" s="912"/>
    </row>
    <row r="109" spans="1:7" x14ac:dyDescent="0.2">
      <c r="A109" s="908" t="s">
        <v>673</v>
      </c>
      <c r="B109" s="908" t="s">
        <v>2005</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8">
        <f>SUM('Revenues 9-14'!C148,'Revenues 9-14'!D148)</f>
        <v>0</v>
      </c>
      <c r="G110" s="912"/>
    </row>
    <row r="111" spans="1:7" x14ac:dyDescent="0.2">
      <c r="A111" s="908" t="s">
        <v>668</v>
      </c>
      <c r="B111" s="908" t="s">
        <v>2007</v>
      </c>
      <c r="C111" s="922">
        <v>3500</v>
      </c>
      <c r="D111" s="911" t="str">
        <f>'Revenues 9-14'!A155</f>
        <v>Total Transportation</v>
      </c>
      <c r="E111" s="906"/>
      <c r="F111" s="1788">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8">
        <f>'Revenues 9-14'!C156</f>
        <v>0</v>
      </c>
      <c r="G112" s="912"/>
    </row>
    <row r="113" spans="1:7" x14ac:dyDescent="0.2">
      <c r="A113" s="908" t="s">
        <v>668</v>
      </c>
      <c r="B113" s="908" t="s">
        <v>2009</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6">
        <f>SUM('Revenues 9-14'!C163:G163)</f>
        <v>0</v>
      </c>
      <c r="G118" s="912"/>
    </row>
    <row r="119" spans="1:7" x14ac:dyDescent="0.2">
      <c r="A119" s="923" t="s">
        <v>504</v>
      </c>
      <c r="B119" s="923" t="s">
        <v>2015</v>
      </c>
      <c r="C119" s="924">
        <f>'Revenues 9-14'!B164</f>
        <v>3815</v>
      </c>
      <c r="D119" s="925" t="str">
        <f>'Revenues 9-14'!A164</f>
        <v>State Charter Schools</v>
      </c>
      <c r="E119" s="906"/>
      <c r="F119" s="1906">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8">
        <f>'Revenues 9-14'!D167</f>
        <v>0</v>
      </c>
      <c r="G120" s="930"/>
    </row>
    <row r="121" spans="1:7" x14ac:dyDescent="0.2">
      <c r="A121" s="927" t="s">
        <v>500</v>
      </c>
      <c r="B121" s="927" t="s">
        <v>2017</v>
      </c>
      <c r="C121" s="928">
        <f>'Revenues 9-14'!B168</f>
        <v>3999</v>
      </c>
      <c r="D121" s="929" t="s">
        <v>543</v>
      </c>
      <c r="E121" s="931"/>
      <c r="F121" s="1788">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8">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2020</v>
      </c>
      <c r="C124" s="932">
        <v>4100</v>
      </c>
      <c r="D124" s="933" t="str">
        <f>'Revenues 9-14'!A188</f>
        <v>Total Title V</v>
      </c>
      <c r="E124" s="906"/>
      <c r="F124" s="1788">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8">
        <f>SUM('Revenues 9-14'!C198,'Revenues 9-14'!G198)</f>
        <v>0</v>
      </c>
      <c r="G125" s="930"/>
    </row>
    <row r="126" spans="1:7" x14ac:dyDescent="0.2">
      <c r="A126" s="927" t="s">
        <v>668</v>
      </c>
      <c r="B126" s="927" t="s">
        <v>2022</v>
      </c>
      <c r="C126" s="932">
        <v>4300</v>
      </c>
      <c r="D126" s="933" t="str">
        <f>'Revenues 9-14'!A204</f>
        <v>Total Title I</v>
      </c>
      <c r="E126" s="906"/>
      <c r="F126" s="1788">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2027</v>
      </c>
      <c r="C132" s="932">
        <v>4700</v>
      </c>
      <c r="D132" s="929" t="str">
        <f>'Revenues 9-14'!A221</f>
        <v>Total CTE - Perkins</v>
      </c>
      <c r="E132" s="906"/>
      <c r="F132" s="1788">
        <f>SUM('Revenues 9-14'!C221,'Revenues 9-14'!D221,'Revenues 9-14'!G221)</f>
        <v>19298</v>
      </c>
      <c r="G132" s="930">
        <v>6303</v>
      </c>
    </row>
    <row r="133" spans="1:7" s="867" customFormat="1" hidden="1" x14ac:dyDescent="0.2">
      <c r="A133" s="934" t="s">
        <v>206</v>
      </c>
      <c r="B133" s="934" t="s">
        <v>2028</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8">
        <v>0</v>
      </c>
      <c r="G138" s="905"/>
    </row>
    <row r="139" spans="1:7" s="867" customFormat="1" hidden="1" x14ac:dyDescent="0.2">
      <c r="A139" s="934" t="s">
        <v>206</v>
      </c>
      <c r="B139" s="934" t="s">
        <v>2034</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2042</v>
      </c>
      <c r="C157" s="940" t="s">
        <v>841</v>
      </c>
      <c r="D157" s="941" t="s">
        <v>777</v>
      </c>
      <c r="E157" s="942"/>
      <c r="F157" s="1788">
        <f>SUM(F133:F156)</f>
        <v>0</v>
      </c>
      <c r="G157" s="905"/>
    </row>
    <row r="158" spans="1:7" s="867" customFormat="1" x14ac:dyDescent="0.2">
      <c r="A158" s="938" t="s">
        <v>459</v>
      </c>
      <c r="B158" s="939" t="s">
        <v>2043</v>
      </c>
      <c r="C158" s="940" t="s">
        <v>1427</v>
      </c>
      <c r="D158" s="941" t="s">
        <v>1428</v>
      </c>
      <c r="E158" s="942"/>
      <c r="F158" s="1788">
        <f>SUM('Revenues 9-14'!C253)</f>
        <v>0</v>
      </c>
      <c r="G158" s="905"/>
    </row>
    <row r="159" spans="1:7" s="867" customFormat="1" x14ac:dyDescent="0.2">
      <c r="A159" s="938" t="s">
        <v>500</v>
      </c>
      <c r="B159" s="939" t="s">
        <v>2044</v>
      </c>
      <c r="C159" s="940" t="s">
        <v>1466</v>
      </c>
      <c r="D159" s="941" t="s">
        <v>1467</v>
      </c>
      <c r="E159" s="942"/>
      <c r="F159" s="1788">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6">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8">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8">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1919</v>
      </c>
      <c r="C171" s="1919">
        <v>3100</v>
      </c>
      <c r="D171" s="1920" t="s">
        <v>1921</v>
      </c>
      <c r="E171" s="906"/>
      <c r="F171" s="1905"/>
      <c r="G171" s="927"/>
    </row>
    <row r="172" spans="1:7" x14ac:dyDescent="0.2">
      <c r="A172" s="1917" t="s">
        <v>664</v>
      </c>
      <c r="B172" s="1918" t="s">
        <v>1919</v>
      </c>
      <c r="C172" s="1919">
        <v>3300</v>
      </c>
      <c r="D172" s="1920" t="s">
        <v>1922</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2054</v>
      </c>
      <c r="E174" s="1786" t="s">
        <v>958</v>
      </c>
      <c r="F174" s="1787">
        <f>SUM(F84:F132,F157:F172)</f>
        <v>311508</v>
      </c>
    </row>
    <row r="175" spans="1:7" ht="12" customHeight="1" x14ac:dyDescent="0.2">
      <c r="A175" s="1769"/>
      <c r="B175" s="1783"/>
      <c r="C175" s="1784"/>
      <c r="D175" s="1785" t="s">
        <v>2055</v>
      </c>
      <c r="E175" s="1786"/>
      <c r="F175" s="1788">
        <f>'PCTC-OEPP 27-28'!F77-F174</f>
        <v>-122416</v>
      </c>
    </row>
    <row r="176" spans="1:7" ht="12" customHeight="1" x14ac:dyDescent="0.2">
      <c r="A176" s="1769"/>
      <c r="B176" s="1783"/>
      <c r="C176" s="1784"/>
      <c r="D176" s="1785" t="s">
        <v>1817</v>
      </c>
      <c r="E176" s="1786"/>
      <c r="F176" s="1788">
        <f>'Cap Outlay Deprec 26'!I18</f>
        <v>85357</v>
      </c>
    </row>
    <row r="177" spans="1:7" ht="12" customHeight="1" x14ac:dyDescent="0.2">
      <c r="A177" s="1769"/>
      <c r="B177" s="1783"/>
      <c r="C177" s="1784"/>
      <c r="D177" s="1785" t="s">
        <v>2056</v>
      </c>
      <c r="E177" s="1786"/>
      <c r="F177" s="1788">
        <f>F175+F176</f>
        <v>-37059</v>
      </c>
    </row>
    <row r="178" spans="1:7" ht="12" customHeight="1" x14ac:dyDescent="0.2">
      <c r="A178" s="1769"/>
      <c r="B178" s="1789"/>
      <c r="C178" s="1784"/>
      <c r="D178" s="1785" t="str">
        <f>D78</f>
        <v>9 Month ADA from District Average Daily Attendance/Prior General State Aid Inquiry 2018-2019</v>
      </c>
      <c r="E178" s="1786"/>
      <c r="F178" s="1790">
        <f>'PCTC-OEPP 27-28'!F78</f>
        <v>0</v>
      </c>
      <c r="G178" s="930"/>
    </row>
    <row r="179" spans="1:7" ht="12" customHeight="1" thickBot="1" x14ac:dyDescent="0.25">
      <c r="A179" s="1769"/>
      <c r="B179" s="1789"/>
      <c r="C179" s="1784"/>
      <c r="D179" s="1785" t="s">
        <v>2057</v>
      </c>
      <c r="E179" s="1786" t="s">
        <v>1545</v>
      </c>
      <c r="F179" s="1791"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1" customFormat="1" ht="12.2" customHeight="1" x14ac:dyDescent="0.2">
      <c r="A182" s="1921" t="s">
        <v>1992</v>
      </c>
      <c r="B182" s="1922"/>
      <c r="C182" s="1923"/>
      <c r="D182" s="1922"/>
      <c r="E182" s="1923"/>
      <c r="F182" s="1922"/>
      <c r="G182" s="1922"/>
    </row>
    <row r="183" spans="1:7" s="1921" customFormat="1" ht="12.2" customHeight="1" x14ac:dyDescent="0.2">
      <c r="A183" s="1924" t="s">
        <v>1994</v>
      </c>
      <c r="C183" s="1923"/>
      <c r="D183" s="1922"/>
      <c r="E183" s="1923"/>
      <c r="F183" s="1922"/>
      <c r="G183" s="1922"/>
    </row>
    <row r="184" spans="1:7" ht="12" customHeight="1" x14ac:dyDescent="0.2">
      <c r="C184" s="949"/>
      <c r="D184" s="930"/>
      <c r="E184" s="949"/>
      <c r="F184" s="930"/>
      <c r="G184" s="930"/>
    </row>
    <row r="185" spans="1:7" x14ac:dyDescent="0.2">
      <c r="A185" s="1925" t="s">
        <v>1924</v>
      </c>
      <c r="B185" s="1926"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7" zoomScaleNormal="100" workbookViewId="0">
      <selection activeCell="A18" sqref="A18"/>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937" t="s">
        <v>2064</v>
      </c>
      <c r="B6" s="1938"/>
      <c r="C6" s="1938"/>
      <c r="D6" s="1938"/>
      <c r="E6" s="1938"/>
      <c r="F6" s="1938"/>
      <c r="G6" s="1939"/>
    </row>
    <row r="7" spans="1:7" ht="18.75" x14ac:dyDescent="0.25">
      <c r="A7" s="1533" t="s">
        <v>1819</v>
      </c>
      <c r="B7" s="1534"/>
      <c r="C7" s="1534"/>
      <c r="D7" s="1534"/>
      <c r="E7" s="1534"/>
      <c r="F7" s="1534"/>
      <c r="G7" s="1535"/>
    </row>
    <row r="8" spans="1:7" ht="30.75" customHeight="1" x14ac:dyDescent="0.25">
      <c r="A8" s="2276" t="s">
        <v>1931</v>
      </c>
      <c r="B8" s="2277"/>
      <c r="C8" s="2277"/>
      <c r="D8" s="2277"/>
      <c r="E8" s="2277"/>
      <c r="F8" s="2277"/>
      <c r="G8" s="2278"/>
    </row>
    <row r="9" spans="1:7" ht="15.75" customHeight="1" x14ac:dyDescent="0.25">
      <c r="A9" s="2279" t="s">
        <v>1906</v>
      </c>
      <c r="B9" s="2280"/>
      <c r="C9" s="2280"/>
      <c r="D9" s="2280"/>
      <c r="E9" s="2280"/>
      <c r="F9" s="2280"/>
      <c r="G9" s="2281"/>
    </row>
    <row r="10" spans="1:7" ht="35.25" customHeight="1" x14ac:dyDescent="0.25">
      <c r="A10" s="2276" t="s">
        <v>2063</v>
      </c>
      <c r="B10" s="2277"/>
      <c r="C10" s="2277"/>
      <c r="D10" s="2277"/>
      <c r="E10" s="2277"/>
      <c r="F10" s="2277"/>
      <c r="G10" s="2278"/>
    </row>
    <row r="11" spans="1:7" ht="15" customHeight="1" x14ac:dyDescent="0.25">
      <c r="A11" s="1536" t="s">
        <v>1820</v>
      </c>
      <c r="B11" s="1537"/>
      <c r="C11" s="1537"/>
      <c r="D11" s="1537"/>
      <c r="E11" s="1537"/>
      <c r="F11" s="1537"/>
      <c r="G11" s="1538"/>
    </row>
    <row r="12" spans="1:7" ht="17.25" customHeight="1" x14ac:dyDescent="0.25">
      <c r="A12" s="2276" t="s">
        <v>1933</v>
      </c>
      <c r="B12" s="2277"/>
      <c r="C12" s="2277"/>
      <c r="D12" s="2277"/>
      <c r="E12" s="2277"/>
      <c r="F12" s="2277"/>
      <c r="G12" s="2278"/>
    </row>
    <row r="13" spans="1:7" ht="15" customHeight="1" x14ac:dyDescent="0.25">
      <c r="A13" s="1536" t="s">
        <v>1825</v>
      </c>
      <c r="B13" s="1537"/>
      <c r="C13" s="1537"/>
      <c r="D13" s="1537"/>
      <c r="E13" s="1537"/>
      <c r="F13" s="1537"/>
      <c r="G13" s="1538"/>
    </row>
    <row r="14" spans="1:7" ht="32.25" customHeight="1" x14ac:dyDescent="0.25">
      <c r="A14" s="2267" t="s">
        <v>1974</v>
      </c>
      <c r="B14" s="2268"/>
      <c r="C14" s="2268"/>
      <c r="D14" s="2268"/>
      <c r="E14" s="2268"/>
      <c r="F14" s="2268"/>
      <c r="G14" s="2269"/>
    </row>
    <row r="15" spans="1:7" x14ac:dyDescent="0.25">
      <c r="A15" s="1660" t="s">
        <v>1833</v>
      </c>
      <c r="B15" s="1661"/>
      <c r="C15" s="1661"/>
      <c r="D15" s="1661"/>
      <c r="E15" s="1661"/>
      <c r="F15" s="1661"/>
      <c r="G15" s="1662"/>
    </row>
    <row r="16" spans="1:7" ht="61.5" customHeight="1" x14ac:dyDescent="0.25">
      <c r="A16" s="1545" t="s">
        <v>1826</v>
      </c>
      <c r="B16" s="1545" t="s">
        <v>1827</v>
      </c>
      <c r="C16" s="1545" t="s">
        <v>1828</v>
      </c>
      <c r="D16" s="1546" t="s">
        <v>1829</v>
      </c>
      <c r="E16" s="1546" t="s">
        <v>1821</v>
      </c>
      <c r="F16" s="1546" t="s">
        <v>1830</v>
      </c>
      <c r="G16" s="1546" t="s">
        <v>1831</v>
      </c>
    </row>
    <row r="17" spans="1:8" x14ac:dyDescent="0.25">
      <c r="A17" s="1647" t="s">
        <v>1834</v>
      </c>
      <c r="B17" s="1648" t="s">
        <v>1824</v>
      </c>
      <c r="C17" s="1649" t="s">
        <v>1822</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2487" t="s">
        <v>2115</v>
      </c>
      <c r="B18" s="1935"/>
      <c r="C18" s="1655"/>
      <c r="D18" s="1843"/>
      <c r="E18" s="1539">
        <f t="shared" ref="E18:E142" si="0">IF(D18&lt;=25000,D18,IF(D18&gt;25000,25000,0))</f>
        <v>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2">
        <f>IF(F18=0,0,D18-F18)</f>
        <v>0</v>
      </c>
      <c r="H18" s="1646"/>
    </row>
    <row r="19" spans="1:8" x14ac:dyDescent="0.25">
      <c r="A19" s="1652"/>
      <c r="B19" s="1932"/>
      <c r="C19" s="1655"/>
      <c r="D19" s="1843"/>
      <c r="E19" s="1539">
        <f t="shared" ref="E19:E141" si="2">IF(D19&lt;=25000,D19,IF(D19&gt;25000,25000,0))</f>
        <v>0</v>
      </c>
      <c r="F19" s="1936">
        <f t="shared" si="1"/>
        <v>0</v>
      </c>
      <c r="G19" s="1792">
        <f t="shared" ref="G19:G141" si="3">IF(F19=0,0,D19-F19)</f>
        <v>0</v>
      </c>
    </row>
    <row r="20" spans="1:8" x14ac:dyDescent="0.25">
      <c r="A20" s="1652"/>
      <c r="B20" s="1932"/>
      <c r="C20" s="1655"/>
      <c r="D20" s="1843"/>
      <c r="E20" s="1539">
        <f t="shared" si="2"/>
        <v>0</v>
      </c>
      <c r="F20" s="1936">
        <f t="shared" si="1"/>
        <v>0</v>
      </c>
      <c r="G20" s="1792">
        <f t="shared" si="3"/>
        <v>0</v>
      </c>
    </row>
    <row r="21" spans="1:8" x14ac:dyDescent="0.25">
      <c r="A21" s="1652"/>
      <c r="B21" s="1932"/>
      <c r="C21" s="1655"/>
      <c r="D21" s="1843"/>
      <c r="E21" s="1539">
        <f t="shared" si="2"/>
        <v>0</v>
      </c>
      <c r="F21" s="1936">
        <f t="shared" si="1"/>
        <v>0</v>
      </c>
      <c r="G21" s="1792">
        <f t="shared" si="3"/>
        <v>0</v>
      </c>
    </row>
    <row r="22" spans="1:8" x14ac:dyDescent="0.25">
      <c r="A22" s="1652"/>
      <c r="B22" s="1932"/>
      <c r="C22" s="1655"/>
      <c r="D22" s="1843"/>
      <c r="E22" s="1539">
        <f t="shared" si="2"/>
        <v>0</v>
      </c>
      <c r="F22" s="1936">
        <f t="shared" si="1"/>
        <v>0</v>
      </c>
      <c r="G22" s="1792">
        <f t="shared" si="3"/>
        <v>0</v>
      </c>
    </row>
    <row r="23" spans="1:8" x14ac:dyDescent="0.25">
      <c r="A23" s="1652"/>
      <c r="B23" s="1932"/>
      <c r="C23" s="1655"/>
      <c r="D23" s="1843"/>
      <c r="E23" s="1539">
        <f t="shared" si="2"/>
        <v>0</v>
      </c>
      <c r="F23" s="1936">
        <f t="shared" si="1"/>
        <v>0</v>
      </c>
      <c r="G23" s="1792">
        <f t="shared" si="3"/>
        <v>0</v>
      </c>
    </row>
    <row r="24" spans="1:8" x14ac:dyDescent="0.25">
      <c r="A24" s="1652"/>
      <c r="B24" s="1932"/>
      <c r="C24" s="1655"/>
      <c r="D24" s="1843"/>
      <c r="E24" s="1539">
        <f t="shared" si="2"/>
        <v>0</v>
      </c>
      <c r="F24" s="1936">
        <f t="shared" si="1"/>
        <v>0</v>
      </c>
      <c r="G24" s="1792">
        <f t="shared" si="3"/>
        <v>0</v>
      </c>
    </row>
    <row r="25" spans="1:8" x14ac:dyDescent="0.25">
      <c r="A25" s="1652"/>
      <c r="B25" s="1932"/>
      <c r="C25" s="1655"/>
      <c r="D25" s="1843"/>
      <c r="E25" s="1539">
        <f t="shared" si="2"/>
        <v>0</v>
      </c>
      <c r="F25" s="1936">
        <f t="shared" si="1"/>
        <v>0</v>
      </c>
      <c r="G25" s="1792">
        <f t="shared" si="3"/>
        <v>0</v>
      </c>
    </row>
    <row r="26" spans="1:8" x14ac:dyDescent="0.25">
      <c r="A26" s="1652"/>
      <c r="B26" s="1932"/>
      <c r="C26" s="1655"/>
      <c r="D26" s="1843"/>
      <c r="E26" s="1539">
        <f t="shared" si="2"/>
        <v>0</v>
      </c>
      <c r="F26" s="1936">
        <f t="shared" si="1"/>
        <v>0</v>
      </c>
      <c r="G26" s="1792">
        <f t="shared" si="3"/>
        <v>0</v>
      </c>
    </row>
    <row r="27" spans="1:8" x14ac:dyDescent="0.25">
      <c r="A27" s="1652"/>
      <c r="B27" s="1932"/>
      <c r="C27" s="1653"/>
      <c r="D27" s="1843"/>
      <c r="E27" s="1539">
        <f t="shared" si="2"/>
        <v>0</v>
      </c>
      <c r="F27" s="1936">
        <f t="shared" si="1"/>
        <v>0</v>
      </c>
      <c r="G27" s="1792">
        <f t="shared" si="3"/>
        <v>0</v>
      </c>
    </row>
    <row r="28" spans="1:8" x14ac:dyDescent="0.25">
      <c r="A28" s="1652"/>
      <c r="B28" s="1932"/>
      <c r="C28" s="1653"/>
      <c r="D28" s="1843"/>
      <c r="E28" s="1539">
        <f t="shared" si="2"/>
        <v>0</v>
      </c>
      <c r="F28" s="1936">
        <f t="shared" si="1"/>
        <v>0</v>
      </c>
      <c r="G28" s="1792">
        <f t="shared" si="3"/>
        <v>0</v>
      </c>
    </row>
    <row r="29" spans="1:8" x14ac:dyDescent="0.25">
      <c r="A29" s="1652"/>
      <c r="B29" s="1932"/>
      <c r="C29" s="1653"/>
      <c r="D29" s="1843"/>
      <c r="E29" s="1539">
        <f t="shared" si="2"/>
        <v>0</v>
      </c>
      <c r="F29" s="1936">
        <f t="shared" si="1"/>
        <v>0</v>
      </c>
      <c r="G29" s="1792">
        <f t="shared" si="3"/>
        <v>0</v>
      </c>
    </row>
    <row r="30" spans="1:8" x14ac:dyDescent="0.25">
      <c r="A30" s="1652"/>
      <c r="B30" s="1932"/>
      <c r="C30" s="1653"/>
      <c r="D30" s="1843"/>
      <c r="E30" s="1539">
        <f t="shared" si="2"/>
        <v>0</v>
      </c>
      <c r="F30" s="1936">
        <f t="shared" si="1"/>
        <v>0</v>
      </c>
      <c r="G30" s="1792">
        <f t="shared" si="3"/>
        <v>0</v>
      </c>
    </row>
    <row r="31" spans="1:8" x14ac:dyDescent="0.25">
      <c r="A31" s="1652"/>
      <c r="B31" s="1932"/>
      <c r="C31" s="1653"/>
      <c r="D31" s="1843"/>
      <c r="E31" s="1539">
        <f t="shared" si="2"/>
        <v>0</v>
      </c>
      <c r="F31" s="1936">
        <f t="shared" si="1"/>
        <v>0</v>
      </c>
      <c r="G31" s="1792">
        <f t="shared" si="3"/>
        <v>0</v>
      </c>
    </row>
    <row r="32" spans="1:8" x14ac:dyDescent="0.25">
      <c r="A32" s="1652"/>
      <c r="B32" s="1932"/>
      <c r="C32" s="1653"/>
      <c r="D32" s="1843"/>
      <c r="E32" s="1539">
        <f t="shared" si="2"/>
        <v>0</v>
      </c>
      <c r="F32" s="1936">
        <f t="shared" si="1"/>
        <v>0</v>
      </c>
      <c r="G32" s="1792">
        <f t="shared" si="3"/>
        <v>0</v>
      </c>
    </row>
    <row r="33" spans="1:7" x14ac:dyDescent="0.25">
      <c r="A33" s="1652"/>
      <c r="B33" s="1932"/>
      <c r="C33" s="1653"/>
      <c r="D33" s="1843"/>
      <c r="E33" s="1539">
        <f t="shared" si="2"/>
        <v>0</v>
      </c>
      <c r="F33" s="1936">
        <f t="shared" si="1"/>
        <v>0</v>
      </c>
      <c r="G33" s="1792">
        <f t="shared" si="3"/>
        <v>0</v>
      </c>
    </row>
    <row r="34" spans="1:7" x14ac:dyDescent="0.25">
      <c r="A34" s="1652"/>
      <c r="B34" s="1932"/>
      <c r="C34" s="1653"/>
      <c r="D34" s="1843"/>
      <c r="E34" s="1539">
        <f t="shared" si="2"/>
        <v>0</v>
      </c>
      <c r="F34" s="1936">
        <f t="shared" si="1"/>
        <v>0</v>
      </c>
      <c r="G34" s="1792">
        <f t="shared" si="3"/>
        <v>0</v>
      </c>
    </row>
    <row r="35" spans="1:7" x14ac:dyDescent="0.25">
      <c r="A35" s="1652"/>
      <c r="B35" s="1932"/>
      <c r="C35" s="1653"/>
      <c r="D35" s="1843"/>
      <c r="E35" s="1539">
        <f t="shared" si="2"/>
        <v>0</v>
      </c>
      <c r="F35" s="1936">
        <f t="shared" si="1"/>
        <v>0</v>
      </c>
      <c r="G35" s="1792">
        <f t="shared" si="3"/>
        <v>0</v>
      </c>
    </row>
    <row r="36" spans="1:7" x14ac:dyDescent="0.25">
      <c r="A36" s="1652"/>
      <c r="B36" s="1932"/>
      <c r="C36" s="1653"/>
      <c r="D36" s="1843"/>
      <c r="E36" s="1539">
        <f t="shared" si="2"/>
        <v>0</v>
      </c>
      <c r="F36" s="1936">
        <f t="shared" si="1"/>
        <v>0</v>
      </c>
      <c r="G36" s="1792">
        <f t="shared" si="3"/>
        <v>0</v>
      </c>
    </row>
    <row r="37" spans="1:7" x14ac:dyDescent="0.25">
      <c r="A37" s="1652"/>
      <c r="B37" s="1932"/>
      <c r="C37" s="1653"/>
      <c r="D37" s="1843"/>
      <c r="E37" s="1539">
        <f t="shared" si="2"/>
        <v>0</v>
      </c>
      <c r="F37" s="1936">
        <f t="shared" si="1"/>
        <v>0</v>
      </c>
      <c r="G37" s="1792">
        <f t="shared" si="3"/>
        <v>0</v>
      </c>
    </row>
    <row r="38" spans="1:7" x14ac:dyDescent="0.25">
      <c r="A38" s="1652"/>
      <c r="B38" s="1932"/>
      <c r="C38" s="1653"/>
      <c r="D38" s="1843"/>
      <c r="E38" s="1539">
        <f t="shared" si="2"/>
        <v>0</v>
      </c>
      <c r="F38" s="1936">
        <f t="shared" si="1"/>
        <v>0</v>
      </c>
      <c r="G38" s="1792">
        <f t="shared" si="3"/>
        <v>0</v>
      </c>
    </row>
    <row r="39" spans="1:7" x14ac:dyDescent="0.25">
      <c r="A39" s="1652"/>
      <c r="B39" s="1933"/>
      <c r="C39" s="1653"/>
      <c r="D39" s="1843"/>
      <c r="E39" s="1539">
        <f t="shared" si="2"/>
        <v>0</v>
      </c>
      <c r="F39" s="1936">
        <f t="shared" si="1"/>
        <v>0</v>
      </c>
      <c r="G39" s="1792">
        <f t="shared" si="3"/>
        <v>0</v>
      </c>
    </row>
    <row r="40" spans="1:7" x14ac:dyDescent="0.25">
      <c r="A40" s="1652"/>
      <c r="B40" s="1933"/>
      <c r="C40" s="1653"/>
      <c r="D40" s="1843"/>
      <c r="E40" s="1539">
        <f t="shared" si="2"/>
        <v>0</v>
      </c>
      <c r="F40" s="1936">
        <f t="shared" si="1"/>
        <v>0</v>
      </c>
      <c r="G40" s="1792">
        <f t="shared" si="3"/>
        <v>0</v>
      </c>
    </row>
    <row r="41" spans="1:7" x14ac:dyDescent="0.25">
      <c r="A41" s="1652"/>
      <c r="B41" s="1933"/>
      <c r="C41" s="1653"/>
      <c r="D41" s="1843"/>
      <c r="E41" s="1539">
        <f t="shared" si="2"/>
        <v>0</v>
      </c>
      <c r="F41" s="1936">
        <f t="shared" si="1"/>
        <v>0</v>
      </c>
      <c r="G41" s="1792">
        <f t="shared" si="3"/>
        <v>0</v>
      </c>
    </row>
    <row r="42" spans="1:7" x14ac:dyDescent="0.25">
      <c r="A42" s="1652"/>
      <c r="B42" s="1933"/>
      <c r="C42" s="1653"/>
      <c r="D42" s="1843"/>
      <c r="E42" s="1539">
        <f t="shared" si="2"/>
        <v>0</v>
      </c>
      <c r="F42" s="1936">
        <f t="shared" si="1"/>
        <v>0</v>
      </c>
      <c r="G42" s="1792">
        <f t="shared" si="3"/>
        <v>0</v>
      </c>
    </row>
    <row r="43" spans="1:7" x14ac:dyDescent="0.25">
      <c r="A43" s="1652"/>
      <c r="B43" s="1933"/>
      <c r="C43" s="1653"/>
      <c r="D43" s="1843"/>
      <c r="E43" s="1539">
        <f t="shared" si="2"/>
        <v>0</v>
      </c>
      <c r="F43" s="1936">
        <f t="shared" si="1"/>
        <v>0</v>
      </c>
      <c r="G43" s="1792">
        <f t="shared" si="3"/>
        <v>0</v>
      </c>
    </row>
    <row r="44" spans="1:7" x14ac:dyDescent="0.25">
      <c r="A44" s="1652"/>
      <c r="B44" s="1933"/>
      <c r="C44" s="1653"/>
      <c r="D44" s="1843"/>
      <c r="E44" s="1539">
        <f t="shared" si="2"/>
        <v>0</v>
      </c>
      <c r="F44" s="1936">
        <f t="shared" si="1"/>
        <v>0</v>
      </c>
      <c r="G44" s="1792">
        <f t="shared" si="3"/>
        <v>0</v>
      </c>
    </row>
    <row r="45" spans="1:7" x14ac:dyDescent="0.25">
      <c r="A45" s="1652"/>
      <c r="B45" s="1933"/>
      <c r="C45" s="1653"/>
      <c r="D45" s="1843"/>
      <c r="E45" s="1539">
        <f t="shared" si="2"/>
        <v>0</v>
      </c>
      <c r="F45" s="1936">
        <f t="shared" si="1"/>
        <v>0</v>
      </c>
      <c r="G45" s="1792">
        <f t="shared" si="3"/>
        <v>0</v>
      </c>
    </row>
    <row r="46" spans="1:7" x14ac:dyDescent="0.25">
      <c r="A46" s="1652"/>
      <c r="B46" s="1933"/>
      <c r="C46" s="1653"/>
      <c r="D46" s="1843"/>
      <c r="E46" s="1539">
        <f t="shared" si="2"/>
        <v>0</v>
      </c>
      <c r="F46" s="1936">
        <f t="shared" si="1"/>
        <v>0</v>
      </c>
      <c r="G46" s="1792">
        <f t="shared" si="3"/>
        <v>0</v>
      </c>
    </row>
    <row r="47" spans="1:7" x14ac:dyDescent="0.25">
      <c r="A47" s="1652"/>
      <c r="B47" s="1666"/>
      <c r="C47" s="1653"/>
      <c r="D47" s="1843"/>
      <c r="E47" s="1539">
        <f t="shared" si="2"/>
        <v>0</v>
      </c>
      <c r="F47" s="1936">
        <f t="shared" si="1"/>
        <v>0</v>
      </c>
      <c r="G47" s="1792">
        <f t="shared" si="3"/>
        <v>0</v>
      </c>
    </row>
    <row r="48" spans="1:7" x14ac:dyDescent="0.25">
      <c r="A48" s="1652"/>
      <c r="B48" s="1666"/>
      <c r="C48" s="1653"/>
      <c r="D48" s="1843"/>
      <c r="E48" s="1539">
        <f t="shared" si="2"/>
        <v>0</v>
      </c>
      <c r="F48" s="1936">
        <f t="shared" si="1"/>
        <v>0</v>
      </c>
      <c r="G48" s="1792">
        <f t="shared" si="3"/>
        <v>0</v>
      </c>
    </row>
    <row r="49" spans="1:7" x14ac:dyDescent="0.25">
      <c r="A49" s="1652"/>
      <c r="B49" s="1666"/>
      <c r="C49" s="1653"/>
      <c r="D49" s="1843"/>
      <c r="E49" s="1539">
        <f t="shared" si="2"/>
        <v>0</v>
      </c>
      <c r="F49" s="1936">
        <f t="shared" si="1"/>
        <v>0</v>
      </c>
      <c r="G49" s="1792">
        <f t="shared" si="3"/>
        <v>0</v>
      </c>
    </row>
    <row r="50" spans="1:7" x14ac:dyDescent="0.25">
      <c r="A50" s="1652"/>
      <c r="B50" s="1666"/>
      <c r="C50" s="1653"/>
      <c r="D50" s="1843"/>
      <c r="E50" s="1539">
        <f t="shared" si="2"/>
        <v>0</v>
      </c>
      <c r="F50" s="1936">
        <f t="shared" si="1"/>
        <v>0</v>
      </c>
      <c r="G50" s="1792">
        <f t="shared" si="3"/>
        <v>0</v>
      </c>
    </row>
    <row r="51" spans="1:7" x14ac:dyDescent="0.25">
      <c r="A51" s="1652"/>
      <c r="B51" s="1666"/>
      <c r="C51" s="1653"/>
      <c r="D51" s="1843"/>
      <c r="E51" s="1539">
        <f t="shared" si="2"/>
        <v>0</v>
      </c>
      <c r="F51" s="1936">
        <f t="shared" si="1"/>
        <v>0</v>
      </c>
      <c r="G51" s="1792">
        <f t="shared" si="3"/>
        <v>0</v>
      </c>
    </row>
    <row r="52" spans="1:7" x14ac:dyDescent="0.25">
      <c r="A52" s="1652"/>
      <c r="B52" s="1666"/>
      <c r="C52" s="1653"/>
      <c r="D52" s="1843"/>
      <c r="E52" s="1539">
        <f t="shared" si="2"/>
        <v>0</v>
      </c>
      <c r="F52" s="1936">
        <f t="shared" si="1"/>
        <v>0</v>
      </c>
      <c r="G52" s="1792">
        <f t="shared" si="3"/>
        <v>0</v>
      </c>
    </row>
    <row r="53" spans="1:7" x14ac:dyDescent="0.25">
      <c r="A53" s="1652"/>
      <c r="B53" s="1666"/>
      <c r="C53" s="1653"/>
      <c r="D53" s="1843"/>
      <c r="E53" s="1539">
        <f t="shared" si="2"/>
        <v>0</v>
      </c>
      <c r="F53" s="1936">
        <f t="shared" si="1"/>
        <v>0</v>
      </c>
      <c r="G53" s="1792">
        <f t="shared" si="3"/>
        <v>0</v>
      </c>
    </row>
    <row r="54" spans="1:7" x14ac:dyDescent="0.25">
      <c r="A54" s="1652"/>
      <c r="B54" s="1666"/>
      <c r="C54" s="1653"/>
      <c r="D54" s="1843"/>
      <c r="E54" s="1539">
        <f t="shared" si="2"/>
        <v>0</v>
      </c>
      <c r="F54" s="1936">
        <f t="shared" si="1"/>
        <v>0</v>
      </c>
      <c r="G54" s="1792">
        <f t="shared" si="3"/>
        <v>0</v>
      </c>
    </row>
    <row r="55" spans="1:7" x14ac:dyDescent="0.25">
      <c r="A55" s="1652"/>
      <c r="B55" s="1666"/>
      <c r="C55" s="1653"/>
      <c r="D55" s="1843"/>
      <c r="E55" s="1539">
        <f t="shared" si="2"/>
        <v>0</v>
      </c>
      <c r="F55" s="1936">
        <f t="shared" si="1"/>
        <v>0</v>
      </c>
      <c r="G55" s="1792">
        <f t="shared" si="3"/>
        <v>0</v>
      </c>
    </row>
    <row r="56" spans="1:7" x14ac:dyDescent="0.25">
      <c r="A56" s="1652"/>
      <c r="B56" s="1666"/>
      <c r="C56" s="1653"/>
      <c r="D56" s="1843"/>
      <c r="E56" s="1539">
        <f t="shared" si="2"/>
        <v>0</v>
      </c>
      <c r="F56" s="1936">
        <f t="shared" si="1"/>
        <v>0</v>
      </c>
      <c r="G56" s="1792">
        <f t="shared" si="3"/>
        <v>0</v>
      </c>
    </row>
    <row r="57" spans="1:7" x14ac:dyDescent="0.25">
      <c r="A57" s="1652"/>
      <c r="B57" s="1666"/>
      <c r="C57" s="1653"/>
      <c r="D57" s="1843"/>
      <c r="E57" s="1539">
        <f t="shared" si="2"/>
        <v>0</v>
      </c>
      <c r="F57" s="1936">
        <f t="shared" si="1"/>
        <v>0</v>
      </c>
      <c r="G57" s="1792">
        <f t="shared" si="3"/>
        <v>0</v>
      </c>
    </row>
    <row r="58" spans="1:7" x14ac:dyDescent="0.25">
      <c r="A58" s="1652"/>
      <c r="B58" s="1666"/>
      <c r="C58" s="1653"/>
      <c r="D58" s="1843"/>
      <c r="E58" s="1539">
        <f t="shared" si="2"/>
        <v>0</v>
      </c>
      <c r="F58" s="1936">
        <f t="shared" si="1"/>
        <v>0</v>
      </c>
      <c r="G58" s="1792">
        <f t="shared" si="3"/>
        <v>0</v>
      </c>
    </row>
    <row r="59" spans="1:7" x14ac:dyDescent="0.25">
      <c r="A59" s="1652"/>
      <c r="B59" s="1666"/>
      <c r="C59" s="1653"/>
      <c r="D59" s="1843"/>
      <c r="E59" s="1539">
        <f t="shared" si="2"/>
        <v>0</v>
      </c>
      <c r="F59" s="1936">
        <f t="shared" si="1"/>
        <v>0</v>
      </c>
      <c r="G59" s="1792">
        <f t="shared" si="3"/>
        <v>0</v>
      </c>
    </row>
    <row r="60" spans="1:7" x14ac:dyDescent="0.25">
      <c r="A60" s="1652"/>
      <c r="B60" s="1666"/>
      <c r="C60" s="1653"/>
      <c r="D60" s="1843"/>
      <c r="E60" s="1539">
        <f t="shared" si="2"/>
        <v>0</v>
      </c>
      <c r="F60" s="1936">
        <f t="shared" si="1"/>
        <v>0</v>
      </c>
      <c r="G60" s="1792">
        <f t="shared" si="3"/>
        <v>0</v>
      </c>
    </row>
    <row r="61" spans="1:7" x14ac:dyDescent="0.25">
      <c r="A61" s="1652"/>
      <c r="B61" s="1666"/>
      <c r="C61" s="1653"/>
      <c r="D61" s="1843"/>
      <c r="E61" s="1539">
        <f t="shared" si="2"/>
        <v>0</v>
      </c>
      <c r="F61" s="1936">
        <f t="shared" si="1"/>
        <v>0</v>
      </c>
      <c r="G61" s="1792">
        <f t="shared" si="3"/>
        <v>0</v>
      </c>
    </row>
    <row r="62" spans="1:7" x14ac:dyDescent="0.25">
      <c r="A62" s="1652"/>
      <c r="B62" s="1666"/>
      <c r="C62" s="1653"/>
      <c r="D62" s="1843"/>
      <c r="E62" s="1539">
        <f t="shared" si="2"/>
        <v>0</v>
      </c>
      <c r="F62" s="1936">
        <f t="shared" si="1"/>
        <v>0</v>
      </c>
      <c r="G62" s="1792">
        <f t="shared" si="3"/>
        <v>0</v>
      </c>
    </row>
    <row r="63" spans="1:7" x14ac:dyDescent="0.25">
      <c r="A63" s="1652"/>
      <c r="B63" s="1666"/>
      <c r="C63" s="1653"/>
      <c r="D63" s="1843"/>
      <c r="E63" s="1539">
        <f t="shared" si="2"/>
        <v>0</v>
      </c>
      <c r="F63" s="1936">
        <f t="shared" si="1"/>
        <v>0</v>
      </c>
      <c r="G63" s="1792">
        <f t="shared" si="3"/>
        <v>0</v>
      </c>
    </row>
    <row r="64" spans="1:7" x14ac:dyDescent="0.25">
      <c r="A64" s="1652"/>
      <c r="B64" s="1666"/>
      <c r="C64" s="1653"/>
      <c r="D64" s="1843"/>
      <c r="E64" s="1539">
        <f t="shared" si="2"/>
        <v>0</v>
      </c>
      <c r="F64" s="1936">
        <f t="shared" si="1"/>
        <v>0</v>
      </c>
      <c r="G64" s="1792">
        <f t="shared" si="3"/>
        <v>0</v>
      </c>
    </row>
    <row r="65" spans="1:7" x14ac:dyDescent="0.25">
      <c r="A65" s="1654"/>
      <c r="B65" s="1666"/>
      <c r="C65" s="1655"/>
      <c r="D65" s="1843"/>
      <c r="E65" s="1539">
        <f t="shared" si="2"/>
        <v>0</v>
      </c>
      <c r="F65" s="1936">
        <f t="shared" si="1"/>
        <v>0</v>
      </c>
      <c r="G65" s="1792">
        <f t="shared" si="3"/>
        <v>0</v>
      </c>
    </row>
    <row r="66" spans="1:7" x14ac:dyDescent="0.25">
      <c r="A66" s="1652"/>
      <c r="B66" s="1666"/>
      <c r="C66" s="1653"/>
      <c r="D66" s="1843"/>
      <c r="E66" s="1539">
        <f t="shared" si="2"/>
        <v>0</v>
      </c>
      <c r="F66" s="1936">
        <f t="shared" si="1"/>
        <v>0</v>
      </c>
      <c r="G66" s="1792">
        <f t="shared" si="3"/>
        <v>0</v>
      </c>
    </row>
    <row r="67" spans="1:7" x14ac:dyDescent="0.25">
      <c r="A67" s="1652"/>
      <c r="B67" s="1666"/>
      <c r="C67" s="1653"/>
      <c r="D67" s="1843"/>
      <c r="E67" s="1539">
        <f t="shared" si="2"/>
        <v>0</v>
      </c>
      <c r="F67" s="1936">
        <f t="shared" si="1"/>
        <v>0</v>
      </c>
      <c r="G67" s="1792">
        <f t="shared" si="3"/>
        <v>0</v>
      </c>
    </row>
    <row r="68" spans="1:7" x14ac:dyDescent="0.25">
      <c r="A68" s="1652"/>
      <c r="B68" s="1666"/>
      <c r="C68" s="1653"/>
      <c r="D68" s="1843"/>
      <c r="E68" s="1539">
        <f t="shared" si="2"/>
        <v>0</v>
      </c>
      <c r="F68" s="1936">
        <f t="shared" si="1"/>
        <v>0</v>
      </c>
      <c r="G68" s="1792">
        <f t="shared" si="3"/>
        <v>0</v>
      </c>
    </row>
    <row r="69" spans="1:7" x14ac:dyDescent="0.25">
      <c r="A69" s="1652"/>
      <c r="B69" s="1666"/>
      <c r="C69" s="1653"/>
      <c r="D69" s="1843"/>
      <c r="E69" s="1539">
        <f t="shared" si="2"/>
        <v>0</v>
      </c>
      <c r="F69" s="1936">
        <f t="shared" si="1"/>
        <v>0</v>
      </c>
      <c r="G69" s="1792">
        <f t="shared" si="3"/>
        <v>0</v>
      </c>
    </row>
    <row r="70" spans="1:7" x14ac:dyDescent="0.25">
      <c r="A70" s="1652"/>
      <c r="B70" s="1666"/>
      <c r="C70" s="1653"/>
      <c r="D70" s="1843"/>
      <c r="E70" s="1539">
        <f t="shared" si="2"/>
        <v>0</v>
      </c>
      <c r="F70" s="1936">
        <f t="shared" si="1"/>
        <v>0</v>
      </c>
      <c r="G70" s="1792">
        <f t="shared" si="3"/>
        <v>0</v>
      </c>
    </row>
    <row r="71" spans="1:7" x14ac:dyDescent="0.25">
      <c r="A71" s="1652"/>
      <c r="B71" s="1666"/>
      <c r="C71" s="1653"/>
      <c r="D71" s="1843"/>
      <c r="E71" s="1539">
        <f t="shared" si="2"/>
        <v>0</v>
      </c>
      <c r="F71" s="1936">
        <f t="shared" si="1"/>
        <v>0</v>
      </c>
      <c r="G71" s="1792">
        <f t="shared" si="3"/>
        <v>0</v>
      </c>
    </row>
    <row r="72" spans="1:7" x14ac:dyDescent="0.25">
      <c r="A72" s="1652"/>
      <c r="B72" s="1666"/>
      <c r="C72" s="1653"/>
      <c r="D72" s="1843"/>
      <c r="E72" s="1539">
        <f t="shared" si="2"/>
        <v>0</v>
      </c>
      <c r="F72" s="1936">
        <f t="shared" si="1"/>
        <v>0</v>
      </c>
      <c r="G72" s="1792">
        <f t="shared" si="3"/>
        <v>0</v>
      </c>
    </row>
    <row r="73" spans="1:7" x14ac:dyDescent="0.25">
      <c r="A73" s="1652"/>
      <c r="B73" s="1666"/>
      <c r="C73" s="1653"/>
      <c r="D73" s="1843"/>
      <c r="E73" s="1539">
        <f t="shared" si="2"/>
        <v>0</v>
      </c>
      <c r="F73" s="1936">
        <f t="shared" si="1"/>
        <v>0</v>
      </c>
      <c r="G73" s="1792">
        <f t="shared" si="3"/>
        <v>0</v>
      </c>
    </row>
    <row r="74" spans="1:7" x14ac:dyDescent="0.25">
      <c r="A74" s="1652"/>
      <c r="B74" s="1666"/>
      <c r="C74" s="1653"/>
      <c r="D74" s="1843"/>
      <c r="E74" s="1539">
        <f t="shared" ref="E74:E85" si="4">IF(D74&lt;=25000,D74,IF(D74&gt;25000,25000,0))</f>
        <v>0</v>
      </c>
      <c r="F74" s="1936">
        <f t="shared" si="1"/>
        <v>0</v>
      </c>
      <c r="G74" s="1792">
        <f t="shared" ref="G74:G85" si="5">IF(F74=0,0,D74-F74)</f>
        <v>0</v>
      </c>
    </row>
    <row r="75" spans="1:7" x14ac:dyDescent="0.25">
      <c r="A75" s="1652"/>
      <c r="B75" s="1666"/>
      <c r="C75" s="1653"/>
      <c r="D75" s="1843"/>
      <c r="E75" s="1539">
        <f t="shared" si="4"/>
        <v>0</v>
      </c>
      <c r="F75" s="1936">
        <f t="shared" si="1"/>
        <v>0</v>
      </c>
      <c r="G75" s="1792">
        <f t="shared" si="5"/>
        <v>0</v>
      </c>
    </row>
    <row r="76" spans="1:7" x14ac:dyDescent="0.25">
      <c r="A76" s="1652"/>
      <c r="B76" s="1666"/>
      <c r="C76" s="1653"/>
      <c r="D76" s="1843"/>
      <c r="E76" s="1539">
        <f t="shared" si="4"/>
        <v>0</v>
      </c>
      <c r="F76" s="1936">
        <f t="shared" si="1"/>
        <v>0</v>
      </c>
      <c r="G76" s="1792">
        <f t="shared" si="5"/>
        <v>0</v>
      </c>
    </row>
    <row r="77" spans="1:7" x14ac:dyDescent="0.25">
      <c r="A77" s="1652"/>
      <c r="B77" s="1666"/>
      <c r="C77" s="1653"/>
      <c r="D77" s="1843"/>
      <c r="E77" s="1539">
        <f t="shared" si="4"/>
        <v>0</v>
      </c>
      <c r="F77" s="1936">
        <f t="shared" si="1"/>
        <v>0</v>
      </c>
      <c r="G77" s="1792">
        <f t="shared" si="5"/>
        <v>0</v>
      </c>
    </row>
    <row r="78" spans="1:7" x14ac:dyDescent="0.25">
      <c r="A78" s="1652"/>
      <c r="B78" s="1666"/>
      <c r="C78" s="1653"/>
      <c r="D78" s="1843"/>
      <c r="E78" s="1539">
        <f t="shared" si="4"/>
        <v>0</v>
      </c>
      <c r="F78" s="1936">
        <f t="shared" si="1"/>
        <v>0</v>
      </c>
      <c r="G78" s="1792">
        <f t="shared" si="5"/>
        <v>0</v>
      </c>
    </row>
    <row r="79" spans="1:7" x14ac:dyDescent="0.25">
      <c r="A79" s="1652"/>
      <c r="B79" s="1666"/>
      <c r="C79" s="1653"/>
      <c r="D79" s="1843"/>
      <c r="E79" s="1539">
        <f t="shared" si="4"/>
        <v>0</v>
      </c>
      <c r="F79" s="1936">
        <f t="shared" si="1"/>
        <v>0</v>
      </c>
      <c r="G79" s="1792">
        <f t="shared" si="5"/>
        <v>0</v>
      </c>
    </row>
    <row r="80" spans="1:7" x14ac:dyDescent="0.25">
      <c r="A80" s="1652"/>
      <c r="B80" s="1666"/>
      <c r="C80" s="1653"/>
      <c r="D80" s="1843"/>
      <c r="E80" s="1539">
        <f t="shared" si="4"/>
        <v>0</v>
      </c>
      <c r="F80" s="1936">
        <f t="shared" si="1"/>
        <v>0</v>
      </c>
      <c r="G80" s="1792">
        <f t="shared" si="5"/>
        <v>0</v>
      </c>
    </row>
    <row r="81" spans="1:7" x14ac:dyDescent="0.25">
      <c r="A81" s="1652"/>
      <c r="B81" s="1666"/>
      <c r="C81" s="1653"/>
      <c r="D81" s="1843"/>
      <c r="E81" s="1539">
        <f t="shared" si="4"/>
        <v>0</v>
      </c>
      <c r="F81" s="1936">
        <f t="shared" si="1"/>
        <v>0</v>
      </c>
      <c r="G81" s="1792">
        <f t="shared" si="5"/>
        <v>0</v>
      </c>
    </row>
    <row r="82" spans="1:7" x14ac:dyDescent="0.25">
      <c r="A82" s="1652"/>
      <c r="B82" s="1666"/>
      <c r="C82" s="1653"/>
      <c r="D82" s="1843"/>
      <c r="E82" s="1539">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2">
        <f t="shared" si="5"/>
        <v>0</v>
      </c>
    </row>
    <row r="83" spans="1:7" x14ac:dyDescent="0.25">
      <c r="A83" s="1652"/>
      <c r="B83" s="1666"/>
      <c r="C83" s="1653"/>
      <c r="D83" s="1843"/>
      <c r="E83" s="1539">
        <f t="shared" si="4"/>
        <v>0</v>
      </c>
      <c r="F83" s="1936">
        <f t="shared" si="6"/>
        <v>0</v>
      </c>
      <c r="G83" s="1792">
        <f t="shared" si="5"/>
        <v>0</v>
      </c>
    </row>
    <row r="84" spans="1:7" x14ac:dyDescent="0.25">
      <c r="A84" s="1652"/>
      <c r="B84" s="1666"/>
      <c r="C84" s="1653"/>
      <c r="D84" s="1843"/>
      <c r="E84" s="1539">
        <f t="shared" si="4"/>
        <v>0</v>
      </c>
      <c r="F84" s="1936">
        <f t="shared" si="6"/>
        <v>0</v>
      </c>
      <c r="G84" s="1792">
        <f t="shared" si="5"/>
        <v>0</v>
      </c>
    </row>
    <row r="85" spans="1:7" x14ac:dyDescent="0.25">
      <c r="A85" s="1652"/>
      <c r="B85" s="1666"/>
      <c r="C85" s="1653"/>
      <c r="D85" s="1843"/>
      <c r="E85" s="1539">
        <f t="shared" si="4"/>
        <v>0</v>
      </c>
      <c r="F85" s="1936">
        <f t="shared" si="6"/>
        <v>0</v>
      </c>
      <c r="G85" s="1792">
        <f t="shared" si="5"/>
        <v>0</v>
      </c>
    </row>
    <row r="86" spans="1:7" x14ac:dyDescent="0.25">
      <c r="A86" s="1652"/>
      <c r="B86" s="1666"/>
      <c r="C86" s="1653"/>
      <c r="D86" s="1843"/>
      <c r="E86" s="1539">
        <f t="shared" si="2"/>
        <v>0</v>
      </c>
      <c r="F86" s="1936">
        <f t="shared" si="6"/>
        <v>0</v>
      </c>
      <c r="G86" s="1792">
        <f t="shared" si="3"/>
        <v>0</v>
      </c>
    </row>
    <row r="87" spans="1:7" x14ac:dyDescent="0.25">
      <c r="A87" s="1652"/>
      <c r="B87" s="1666"/>
      <c r="C87" s="1653"/>
      <c r="D87" s="1843"/>
      <c r="E87" s="1539">
        <f t="shared" si="2"/>
        <v>0</v>
      </c>
      <c r="F87" s="1936">
        <f t="shared" si="6"/>
        <v>0</v>
      </c>
      <c r="G87" s="1792">
        <f t="shared" si="3"/>
        <v>0</v>
      </c>
    </row>
    <row r="88" spans="1:7" x14ac:dyDescent="0.25">
      <c r="A88" s="1652"/>
      <c r="B88" s="1666"/>
      <c r="C88" s="1653"/>
      <c r="D88" s="1843"/>
      <c r="E88" s="1539">
        <f t="shared" si="2"/>
        <v>0</v>
      </c>
      <c r="F88" s="1936">
        <f t="shared" si="6"/>
        <v>0</v>
      </c>
      <c r="G88" s="1792">
        <f t="shared" si="3"/>
        <v>0</v>
      </c>
    </row>
    <row r="89" spans="1:7" x14ac:dyDescent="0.25">
      <c r="A89" s="1652"/>
      <c r="B89" s="1666"/>
      <c r="C89" s="1653"/>
      <c r="D89" s="1843"/>
      <c r="E89" s="1539">
        <f t="shared" si="2"/>
        <v>0</v>
      </c>
      <c r="F89" s="1936">
        <f t="shared" si="6"/>
        <v>0</v>
      </c>
      <c r="G89" s="1792">
        <f t="shared" si="3"/>
        <v>0</v>
      </c>
    </row>
    <row r="90" spans="1:7" x14ac:dyDescent="0.25">
      <c r="A90" s="1652"/>
      <c r="B90" s="1666"/>
      <c r="C90" s="1653"/>
      <c r="D90" s="1843"/>
      <c r="E90" s="1539">
        <f t="shared" si="2"/>
        <v>0</v>
      </c>
      <c r="F90" s="1936">
        <f t="shared" si="6"/>
        <v>0</v>
      </c>
      <c r="G90" s="1792">
        <f t="shared" si="3"/>
        <v>0</v>
      </c>
    </row>
    <row r="91" spans="1:7" x14ac:dyDescent="0.25">
      <c r="A91" s="1652"/>
      <c r="B91" s="1666"/>
      <c r="C91" s="1653"/>
      <c r="D91" s="1843"/>
      <c r="E91" s="1539">
        <f t="shared" si="2"/>
        <v>0</v>
      </c>
      <c r="F91" s="1936">
        <f t="shared" si="6"/>
        <v>0</v>
      </c>
      <c r="G91" s="1792">
        <f t="shared" si="3"/>
        <v>0</v>
      </c>
    </row>
    <row r="92" spans="1:7" x14ac:dyDescent="0.25">
      <c r="A92" s="1652"/>
      <c r="B92" s="1666"/>
      <c r="C92" s="1653"/>
      <c r="D92" s="1843"/>
      <c r="E92" s="1539">
        <f t="shared" si="2"/>
        <v>0</v>
      </c>
      <c r="F92" s="1936">
        <f t="shared" si="6"/>
        <v>0</v>
      </c>
      <c r="G92" s="1792">
        <f t="shared" si="3"/>
        <v>0</v>
      </c>
    </row>
    <row r="93" spans="1:7" x14ac:dyDescent="0.25">
      <c r="A93" s="1652"/>
      <c r="B93" s="1666"/>
      <c r="C93" s="1653"/>
      <c r="D93" s="1843"/>
      <c r="E93" s="1539">
        <f t="shared" si="2"/>
        <v>0</v>
      </c>
      <c r="F93" s="1936">
        <f t="shared" si="6"/>
        <v>0</v>
      </c>
      <c r="G93" s="1792">
        <f t="shared" si="3"/>
        <v>0</v>
      </c>
    </row>
    <row r="94" spans="1:7" x14ac:dyDescent="0.25">
      <c r="A94" s="1652"/>
      <c r="B94" s="1666"/>
      <c r="C94" s="1653"/>
      <c r="D94" s="1843"/>
      <c r="E94" s="1539">
        <f t="shared" ref="E94" si="7">IF(D94&lt;=25000,D94,IF(D94&gt;25000,25000,0))</f>
        <v>0</v>
      </c>
      <c r="F94" s="1936">
        <f t="shared" si="6"/>
        <v>0</v>
      </c>
      <c r="G94" s="1792">
        <f t="shared" ref="G94" si="8">IF(F94=0,0,D94-F94)</f>
        <v>0</v>
      </c>
    </row>
    <row r="95" spans="1:7" x14ac:dyDescent="0.25">
      <c r="A95" s="1652"/>
      <c r="B95" s="1666"/>
      <c r="C95" s="1653"/>
      <c r="D95" s="1843"/>
      <c r="E95" s="1539">
        <f t="shared" si="2"/>
        <v>0</v>
      </c>
      <c r="F95" s="1936">
        <f t="shared" si="6"/>
        <v>0</v>
      </c>
      <c r="G95" s="1792">
        <f t="shared" si="3"/>
        <v>0</v>
      </c>
    </row>
    <row r="96" spans="1:7" x14ac:dyDescent="0.25">
      <c r="A96" s="1652"/>
      <c r="B96" s="1666"/>
      <c r="C96" s="1653"/>
      <c r="D96" s="1843"/>
      <c r="E96" s="1539">
        <f t="shared" ref="E96:E99" si="9">IF(D96&lt;=25000,D96,IF(D96&gt;25000,25000,0))</f>
        <v>0</v>
      </c>
      <c r="F96" s="1936">
        <f t="shared" si="6"/>
        <v>0</v>
      </c>
      <c r="G96" s="1792">
        <f t="shared" ref="G96:G99" si="10">IF(F96=0,0,D96-F96)</f>
        <v>0</v>
      </c>
    </row>
    <row r="97" spans="1:7" x14ac:dyDescent="0.25">
      <c r="A97" s="1652"/>
      <c r="B97" s="1666"/>
      <c r="C97" s="1653"/>
      <c r="D97" s="1843"/>
      <c r="E97" s="1539">
        <f t="shared" si="9"/>
        <v>0</v>
      </c>
      <c r="F97" s="1936">
        <f t="shared" si="6"/>
        <v>0</v>
      </c>
      <c r="G97" s="1792">
        <f t="shared" si="10"/>
        <v>0</v>
      </c>
    </row>
    <row r="98" spans="1:7" x14ac:dyDescent="0.25">
      <c r="A98" s="1652"/>
      <c r="B98" s="1666"/>
      <c r="C98" s="1653"/>
      <c r="D98" s="1843"/>
      <c r="E98" s="1539">
        <f t="shared" si="9"/>
        <v>0</v>
      </c>
      <c r="F98" s="1936">
        <f t="shared" si="6"/>
        <v>0</v>
      </c>
      <c r="G98" s="1792">
        <f t="shared" si="10"/>
        <v>0</v>
      </c>
    </row>
    <row r="99" spans="1:7" x14ac:dyDescent="0.25">
      <c r="A99" s="1652"/>
      <c r="B99" s="1666"/>
      <c r="C99" s="1653"/>
      <c r="D99" s="1843"/>
      <c r="E99" s="1539">
        <f t="shared" si="9"/>
        <v>0</v>
      </c>
      <c r="F99" s="1936">
        <f t="shared" si="6"/>
        <v>0</v>
      </c>
      <c r="G99" s="1792">
        <f t="shared" si="10"/>
        <v>0</v>
      </c>
    </row>
    <row r="100" spans="1:7" x14ac:dyDescent="0.25">
      <c r="A100" s="1652"/>
      <c r="B100" s="1666"/>
      <c r="C100" s="1653"/>
      <c r="D100" s="1843"/>
      <c r="E100" s="1539">
        <f t="shared" ref="E100" si="11">IF(D100&lt;=25000,D100,IF(D100&gt;25000,25000,0))</f>
        <v>0</v>
      </c>
      <c r="F100" s="1936">
        <f t="shared" si="6"/>
        <v>0</v>
      </c>
      <c r="G100" s="1792">
        <f t="shared" ref="G100" si="12">IF(F100=0,0,D100-F100)</f>
        <v>0</v>
      </c>
    </row>
    <row r="101" spans="1:7" x14ac:dyDescent="0.25">
      <c r="A101" s="1652"/>
      <c r="B101" s="1666"/>
      <c r="C101" s="1653"/>
      <c r="D101" s="1843"/>
      <c r="E101" s="1539">
        <f t="shared" ref="E101:E113" si="13">IF(D101&lt;=25000,D101,IF(D101&gt;25000,25000,0))</f>
        <v>0</v>
      </c>
      <c r="F101" s="1936">
        <f t="shared" si="6"/>
        <v>0</v>
      </c>
      <c r="G101" s="1792">
        <f t="shared" ref="G101:G113" si="14">IF(F101=0,0,D101-F101)</f>
        <v>0</v>
      </c>
    </row>
    <row r="102" spans="1:7" x14ac:dyDescent="0.25">
      <c r="A102" s="1652"/>
      <c r="B102" s="1666"/>
      <c r="C102" s="1653"/>
      <c r="D102" s="1843"/>
      <c r="E102" s="1539">
        <f t="shared" si="13"/>
        <v>0</v>
      </c>
      <c r="F102" s="1936">
        <f t="shared" si="6"/>
        <v>0</v>
      </c>
      <c r="G102" s="1792">
        <f t="shared" si="14"/>
        <v>0</v>
      </c>
    </row>
    <row r="103" spans="1:7" x14ac:dyDescent="0.25">
      <c r="A103" s="1652"/>
      <c r="B103" s="1666"/>
      <c r="C103" s="1653"/>
      <c r="D103" s="1843"/>
      <c r="E103" s="1539">
        <f t="shared" si="13"/>
        <v>0</v>
      </c>
      <c r="F103" s="1936">
        <f t="shared" si="6"/>
        <v>0</v>
      </c>
      <c r="G103" s="1792">
        <f t="shared" si="14"/>
        <v>0</v>
      </c>
    </row>
    <row r="104" spans="1:7" x14ac:dyDescent="0.25">
      <c r="A104" s="1652"/>
      <c r="B104" s="1666"/>
      <c r="C104" s="1653"/>
      <c r="D104" s="1843"/>
      <c r="E104" s="1539">
        <f t="shared" si="13"/>
        <v>0</v>
      </c>
      <c r="F104" s="1936">
        <f t="shared" si="6"/>
        <v>0</v>
      </c>
      <c r="G104" s="1792">
        <f t="shared" si="14"/>
        <v>0</v>
      </c>
    </row>
    <row r="105" spans="1:7" x14ac:dyDescent="0.25">
      <c r="A105" s="1652"/>
      <c r="B105" s="1666"/>
      <c r="C105" s="1653"/>
      <c r="D105" s="1843"/>
      <c r="E105" s="1539">
        <f t="shared" si="13"/>
        <v>0</v>
      </c>
      <c r="F105" s="1936">
        <f t="shared" si="6"/>
        <v>0</v>
      </c>
      <c r="G105" s="1792">
        <f t="shared" si="14"/>
        <v>0</v>
      </c>
    </row>
    <row r="106" spans="1:7" x14ac:dyDescent="0.25">
      <c r="A106" s="1652"/>
      <c r="B106" s="1666"/>
      <c r="C106" s="1653"/>
      <c r="D106" s="1843"/>
      <c r="E106" s="1539">
        <f t="shared" si="13"/>
        <v>0</v>
      </c>
      <c r="F106" s="1936">
        <f t="shared" si="6"/>
        <v>0</v>
      </c>
      <c r="G106" s="1792">
        <f t="shared" si="14"/>
        <v>0</v>
      </c>
    </row>
    <row r="107" spans="1:7" x14ac:dyDescent="0.25">
      <c r="A107" s="1652"/>
      <c r="B107" s="1666"/>
      <c r="C107" s="1653"/>
      <c r="D107" s="1843"/>
      <c r="E107" s="1539">
        <f t="shared" si="13"/>
        <v>0</v>
      </c>
      <c r="F107" s="1936">
        <f t="shared" si="6"/>
        <v>0</v>
      </c>
      <c r="G107" s="1792">
        <f t="shared" si="14"/>
        <v>0</v>
      </c>
    </row>
    <row r="108" spans="1:7" x14ac:dyDescent="0.25">
      <c r="A108" s="1652"/>
      <c r="B108" s="1666"/>
      <c r="C108" s="1653"/>
      <c r="D108" s="1843"/>
      <c r="E108" s="1539">
        <f t="shared" si="13"/>
        <v>0</v>
      </c>
      <c r="F108" s="1936">
        <f t="shared" si="6"/>
        <v>0</v>
      </c>
      <c r="G108" s="1792">
        <f t="shared" si="14"/>
        <v>0</v>
      </c>
    </row>
    <row r="109" spans="1:7" x14ac:dyDescent="0.25">
      <c r="A109" s="1652"/>
      <c r="B109" s="1666"/>
      <c r="C109" s="1653"/>
      <c r="D109" s="1843"/>
      <c r="E109" s="1539">
        <f t="shared" si="13"/>
        <v>0</v>
      </c>
      <c r="F109" s="1936">
        <f t="shared" si="6"/>
        <v>0</v>
      </c>
      <c r="G109" s="1792">
        <f t="shared" si="14"/>
        <v>0</v>
      </c>
    </row>
    <row r="110" spans="1:7" x14ac:dyDescent="0.25">
      <c r="A110" s="1652"/>
      <c r="B110" s="1666"/>
      <c r="C110" s="1653"/>
      <c r="D110" s="1843"/>
      <c r="E110" s="1539">
        <f t="shared" si="13"/>
        <v>0</v>
      </c>
      <c r="F110" s="1936">
        <f t="shared" si="6"/>
        <v>0</v>
      </c>
      <c r="G110" s="1792">
        <f t="shared" si="14"/>
        <v>0</v>
      </c>
    </row>
    <row r="111" spans="1:7" x14ac:dyDescent="0.25">
      <c r="A111" s="1652"/>
      <c r="B111" s="1666"/>
      <c r="C111" s="1653"/>
      <c r="D111" s="1843"/>
      <c r="E111" s="1539">
        <f t="shared" si="13"/>
        <v>0</v>
      </c>
      <c r="F111" s="1936">
        <f t="shared" si="6"/>
        <v>0</v>
      </c>
      <c r="G111" s="1792">
        <f t="shared" si="14"/>
        <v>0</v>
      </c>
    </row>
    <row r="112" spans="1:7" x14ac:dyDescent="0.25">
      <c r="A112" s="1652"/>
      <c r="B112" s="1666"/>
      <c r="C112" s="1653"/>
      <c r="D112" s="1843"/>
      <c r="E112" s="1539">
        <f t="shared" si="13"/>
        <v>0</v>
      </c>
      <c r="F112" s="1936">
        <f t="shared" si="6"/>
        <v>0</v>
      </c>
      <c r="G112" s="1792">
        <f t="shared" si="14"/>
        <v>0</v>
      </c>
    </row>
    <row r="113" spans="1:7" x14ac:dyDescent="0.25">
      <c r="A113" s="1652"/>
      <c r="B113" s="1666"/>
      <c r="C113" s="1653"/>
      <c r="D113" s="1843"/>
      <c r="E113" s="1539">
        <f t="shared" si="13"/>
        <v>0</v>
      </c>
      <c r="F113" s="1936">
        <f t="shared" si="6"/>
        <v>0</v>
      </c>
      <c r="G113" s="1792">
        <f t="shared" si="14"/>
        <v>0</v>
      </c>
    </row>
    <row r="114" spans="1:7" x14ac:dyDescent="0.25">
      <c r="A114" s="1652"/>
      <c r="B114" s="1666"/>
      <c r="C114" s="1653"/>
      <c r="D114" s="1843"/>
      <c r="E114" s="1539">
        <f t="shared" ref="E114:E126" si="15">IF(D114&lt;=25000,D114,IF(D114&gt;25000,25000,0))</f>
        <v>0</v>
      </c>
      <c r="F114" s="1936">
        <f t="shared" si="6"/>
        <v>0</v>
      </c>
      <c r="G114" s="1792">
        <f t="shared" ref="G114:G126" si="16">IF(F114=0,0,D114-F114)</f>
        <v>0</v>
      </c>
    </row>
    <row r="115" spans="1:7" x14ac:dyDescent="0.25">
      <c r="A115" s="1652"/>
      <c r="B115" s="1666"/>
      <c r="C115" s="1653"/>
      <c r="D115" s="1843"/>
      <c r="E115" s="1539">
        <f t="shared" si="15"/>
        <v>0</v>
      </c>
      <c r="F115" s="1936">
        <f t="shared" si="6"/>
        <v>0</v>
      </c>
      <c r="G115" s="1792">
        <f t="shared" si="16"/>
        <v>0</v>
      </c>
    </row>
    <row r="116" spans="1:7" x14ac:dyDescent="0.25">
      <c r="A116" s="1652"/>
      <c r="B116" s="1666"/>
      <c r="C116" s="1653"/>
      <c r="D116" s="1843"/>
      <c r="E116" s="1539">
        <f t="shared" si="15"/>
        <v>0</v>
      </c>
      <c r="F116" s="1936">
        <f t="shared" si="6"/>
        <v>0</v>
      </c>
      <c r="G116" s="1792">
        <f t="shared" si="16"/>
        <v>0</v>
      </c>
    </row>
    <row r="117" spans="1:7" x14ac:dyDescent="0.25">
      <c r="A117" s="1652"/>
      <c r="B117" s="1666"/>
      <c r="C117" s="1653"/>
      <c r="D117" s="1843"/>
      <c r="E117" s="1539">
        <f t="shared" si="15"/>
        <v>0</v>
      </c>
      <c r="F117" s="1936">
        <f t="shared" si="6"/>
        <v>0</v>
      </c>
      <c r="G117" s="1792">
        <f t="shared" si="16"/>
        <v>0</v>
      </c>
    </row>
    <row r="118" spans="1:7" x14ac:dyDescent="0.25">
      <c r="A118" s="1652"/>
      <c r="B118" s="1666"/>
      <c r="C118" s="1653"/>
      <c r="D118" s="1843"/>
      <c r="E118" s="1539">
        <f t="shared" si="15"/>
        <v>0</v>
      </c>
      <c r="F118" s="1936">
        <f t="shared" si="6"/>
        <v>0</v>
      </c>
      <c r="G118" s="1792">
        <f t="shared" si="16"/>
        <v>0</v>
      </c>
    </row>
    <row r="119" spans="1:7" x14ac:dyDescent="0.25">
      <c r="A119" s="1652"/>
      <c r="B119" s="1666"/>
      <c r="C119" s="1653"/>
      <c r="D119" s="1843"/>
      <c r="E119" s="1539">
        <f t="shared" si="15"/>
        <v>0</v>
      </c>
      <c r="F119" s="1936">
        <f t="shared" si="6"/>
        <v>0</v>
      </c>
      <c r="G119" s="1792">
        <f t="shared" si="16"/>
        <v>0</v>
      </c>
    </row>
    <row r="120" spans="1:7" x14ac:dyDescent="0.25">
      <c r="A120" s="1652"/>
      <c r="B120" s="1666"/>
      <c r="C120" s="1653"/>
      <c r="D120" s="1843"/>
      <c r="E120" s="1539">
        <f t="shared" si="15"/>
        <v>0</v>
      </c>
      <c r="F120" s="1936">
        <f t="shared" si="6"/>
        <v>0</v>
      </c>
      <c r="G120" s="1792">
        <f t="shared" si="16"/>
        <v>0</v>
      </c>
    </row>
    <row r="121" spans="1:7" x14ac:dyDescent="0.25">
      <c r="A121" s="1652"/>
      <c r="B121" s="1666"/>
      <c r="C121" s="1653"/>
      <c r="D121" s="1843"/>
      <c r="E121" s="1539">
        <f t="shared" si="15"/>
        <v>0</v>
      </c>
      <c r="F121" s="1936">
        <f t="shared" si="6"/>
        <v>0</v>
      </c>
      <c r="G121" s="1792">
        <f t="shared" si="16"/>
        <v>0</v>
      </c>
    </row>
    <row r="122" spans="1:7" x14ac:dyDescent="0.25">
      <c r="A122" s="1652"/>
      <c r="B122" s="1666"/>
      <c r="C122" s="1653"/>
      <c r="D122" s="1843"/>
      <c r="E122" s="1539">
        <f t="shared" si="15"/>
        <v>0</v>
      </c>
      <c r="F122" s="1936">
        <f t="shared" si="6"/>
        <v>0</v>
      </c>
      <c r="G122" s="1792">
        <f t="shared" si="16"/>
        <v>0</v>
      </c>
    </row>
    <row r="123" spans="1:7" x14ac:dyDescent="0.25">
      <c r="A123" s="1652"/>
      <c r="B123" s="1666"/>
      <c r="C123" s="1653"/>
      <c r="D123" s="1843"/>
      <c r="E123" s="1539">
        <f t="shared" si="15"/>
        <v>0</v>
      </c>
      <c r="F123" s="1936">
        <f t="shared" si="6"/>
        <v>0</v>
      </c>
      <c r="G123" s="1792">
        <f t="shared" si="16"/>
        <v>0</v>
      </c>
    </row>
    <row r="124" spans="1:7" x14ac:dyDescent="0.25">
      <c r="A124" s="1652"/>
      <c r="B124" s="1666"/>
      <c r="C124" s="1653"/>
      <c r="D124" s="1843"/>
      <c r="E124" s="1539">
        <f t="shared" si="15"/>
        <v>0</v>
      </c>
      <c r="F124" s="1936">
        <f t="shared" si="6"/>
        <v>0</v>
      </c>
      <c r="G124" s="1792">
        <f t="shared" si="16"/>
        <v>0</v>
      </c>
    </row>
    <row r="125" spans="1:7" x14ac:dyDescent="0.25">
      <c r="A125" s="1652"/>
      <c r="B125" s="1666"/>
      <c r="C125" s="1653"/>
      <c r="D125" s="1843"/>
      <c r="E125" s="1539">
        <f t="shared" si="15"/>
        <v>0</v>
      </c>
      <c r="F125" s="1936">
        <f t="shared" si="6"/>
        <v>0</v>
      </c>
      <c r="G125" s="1792">
        <f t="shared" si="16"/>
        <v>0</v>
      </c>
    </row>
    <row r="126" spans="1:7" x14ac:dyDescent="0.25">
      <c r="A126" s="1652"/>
      <c r="B126" s="1666"/>
      <c r="C126" s="1653"/>
      <c r="D126" s="1843"/>
      <c r="E126" s="1539">
        <f t="shared" si="15"/>
        <v>0</v>
      </c>
      <c r="F126" s="1936">
        <f t="shared" si="6"/>
        <v>0</v>
      </c>
      <c r="G126" s="1792">
        <f t="shared" si="16"/>
        <v>0</v>
      </c>
    </row>
    <row r="127" spans="1:7" x14ac:dyDescent="0.25">
      <c r="A127" s="1652"/>
      <c r="B127" s="1666"/>
      <c r="C127" s="1653"/>
      <c r="D127" s="1843"/>
      <c r="E127" s="1539">
        <f t="shared" ref="E127:E135" si="17">IF(D127&lt;=25000,D127,IF(D127&gt;25000,25000,0))</f>
        <v>0</v>
      </c>
      <c r="F127" s="1936">
        <f t="shared" si="6"/>
        <v>0</v>
      </c>
      <c r="G127" s="1792">
        <f t="shared" ref="G127:G135" si="18">IF(F127=0,0,D127-F127)</f>
        <v>0</v>
      </c>
    </row>
    <row r="128" spans="1:7" x14ac:dyDescent="0.25">
      <c r="A128" s="1652"/>
      <c r="B128" s="1666"/>
      <c r="C128" s="1653"/>
      <c r="D128" s="1843"/>
      <c r="E128" s="1539">
        <f t="shared" si="17"/>
        <v>0</v>
      </c>
      <c r="F128" s="1936">
        <f t="shared" si="6"/>
        <v>0</v>
      </c>
      <c r="G128" s="1792">
        <f t="shared" si="18"/>
        <v>0</v>
      </c>
    </row>
    <row r="129" spans="1:7" x14ac:dyDescent="0.25">
      <c r="A129" s="1652"/>
      <c r="B129" s="1666"/>
      <c r="C129" s="1653"/>
      <c r="D129" s="1843"/>
      <c r="E129" s="1539">
        <f t="shared" si="17"/>
        <v>0</v>
      </c>
      <c r="F129" s="1936">
        <f t="shared" si="6"/>
        <v>0</v>
      </c>
      <c r="G129" s="1792">
        <f t="shared" si="18"/>
        <v>0</v>
      </c>
    </row>
    <row r="130" spans="1:7" x14ac:dyDescent="0.25">
      <c r="A130" s="1652"/>
      <c r="B130" s="1666"/>
      <c r="C130" s="1653"/>
      <c r="D130" s="1843"/>
      <c r="E130" s="1539">
        <f t="shared" si="17"/>
        <v>0</v>
      </c>
      <c r="F130" s="1936">
        <f t="shared" si="6"/>
        <v>0</v>
      </c>
      <c r="G130" s="1792">
        <f t="shared" si="18"/>
        <v>0</v>
      </c>
    </row>
    <row r="131" spans="1:7" x14ac:dyDescent="0.25">
      <c r="A131" s="1652"/>
      <c r="B131" s="1666"/>
      <c r="C131" s="1653"/>
      <c r="D131" s="1843"/>
      <c r="E131" s="1539">
        <f t="shared" si="17"/>
        <v>0</v>
      </c>
      <c r="F131" s="1936">
        <f t="shared" si="6"/>
        <v>0</v>
      </c>
      <c r="G131" s="1792">
        <f t="shared" si="18"/>
        <v>0</v>
      </c>
    </row>
    <row r="132" spans="1:7" x14ac:dyDescent="0.25">
      <c r="A132" s="1652"/>
      <c r="B132" s="1836"/>
      <c r="C132" s="1653"/>
      <c r="D132" s="1843"/>
      <c r="E132" s="1539">
        <f t="shared" si="17"/>
        <v>0</v>
      </c>
      <c r="F132" s="1936">
        <f t="shared" si="6"/>
        <v>0</v>
      </c>
      <c r="G132" s="1792">
        <f t="shared" si="18"/>
        <v>0</v>
      </c>
    </row>
    <row r="133" spans="1:7" x14ac:dyDescent="0.25">
      <c r="A133" s="1652"/>
      <c r="B133" s="1836"/>
      <c r="C133" s="1653"/>
      <c r="D133" s="1843"/>
      <c r="E133" s="1539">
        <f t="shared" si="17"/>
        <v>0</v>
      </c>
      <c r="F133" s="1936">
        <f t="shared" si="6"/>
        <v>0</v>
      </c>
      <c r="G133" s="1792">
        <f t="shared" si="18"/>
        <v>0</v>
      </c>
    </row>
    <row r="134" spans="1:7" x14ac:dyDescent="0.25">
      <c r="A134" s="1652"/>
      <c r="B134" s="1666"/>
      <c r="C134" s="1653"/>
      <c r="D134" s="1843"/>
      <c r="E134" s="1539">
        <f t="shared" si="17"/>
        <v>0</v>
      </c>
      <c r="F134" s="1936">
        <f t="shared" si="6"/>
        <v>0</v>
      </c>
      <c r="G134" s="1792">
        <f t="shared" si="18"/>
        <v>0</v>
      </c>
    </row>
    <row r="135" spans="1:7" x14ac:dyDescent="0.25">
      <c r="A135" s="1652"/>
      <c r="B135" s="1666"/>
      <c r="C135" s="1653"/>
      <c r="D135" s="1843"/>
      <c r="E135" s="1539">
        <f t="shared" si="17"/>
        <v>0</v>
      </c>
      <c r="F135" s="1936">
        <f t="shared" si="6"/>
        <v>0</v>
      </c>
      <c r="G135" s="1792">
        <f t="shared" si="18"/>
        <v>0</v>
      </c>
    </row>
    <row r="136" spans="1:7" x14ac:dyDescent="0.25">
      <c r="A136" s="1652"/>
      <c r="B136" s="1666"/>
      <c r="C136" s="1653"/>
      <c r="D136" s="1843"/>
      <c r="E136" s="1539">
        <f t="shared" ref="E136:E140" si="19">IF(D136&lt;=25000,D136,IF(D136&gt;25000,25000,0))</f>
        <v>0</v>
      </c>
      <c r="F136" s="1936">
        <f t="shared" si="6"/>
        <v>0</v>
      </c>
      <c r="G136" s="1792">
        <f t="shared" ref="G136:G140" si="20">IF(F136=0,0,D136-F136)</f>
        <v>0</v>
      </c>
    </row>
    <row r="137" spans="1:7" x14ac:dyDescent="0.25">
      <c r="A137" s="1652"/>
      <c r="B137" s="1666"/>
      <c r="C137" s="1653"/>
      <c r="D137" s="1843"/>
      <c r="E137" s="1539">
        <f t="shared" si="19"/>
        <v>0</v>
      </c>
      <c r="F137" s="1936">
        <f t="shared" si="6"/>
        <v>0</v>
      </c>
      <c r="G137" s="1792">
        <f t="shared" si="20"/>
        <v>0</v>
      </c>
    </row>
    <row r="138" spans="1:7" x14ac:dyDescent="0.25">
      <c r="A138" s="1652"/>
      <c r="B138" s="1666"/>
      <c r="C138" s="1653"/>
      <c r="D138" s="1843"/>
      <c r="E138" s="1539">
        <f t="shared" si="19"/>
        <v>0</v>
      </c>
      <c r="F138" s="1936">
        <f t="shared" si="6"/>
        <v>0</v>
      </c>
      <c r="G138" s="1792">
        <f t="shared" si="20"/>
        <v>0</v>
      </c>
    </row>
    <row r="139" spans="1:7" x14ac:dyDescent="0.25">
      <c r="A139" s="1652"/>
      <c r="B139" s="1666"/>
      <c r="C139" s="1653"/>
      <c r="D139" s="1843"/>
      <c r="E139" s="1539">
        <f t="shared" si="19"/>
        <v>0</v>
      </c>
      <c r="F139" s="1936">
        <f t="shared" si="6"/>
        <v>0</v>
      </c>
      <c r="G139" s="1792">
        <f t="shared" si="20"/>
        <v>0</v>
      </c>
    </row>
    <row r="140" spans="1:7" x14ac:dyDescent="0.25">
      <c r="A140" s="1652"/>
      <c r="B140" s="1666"/>
      <c r="C140" s="1653"/>
      <c r="D140" s="1843"/>
      <c r="E140" s="1539">
        <f t="shared" si="19"/>
        <v>0</v>
      </c>
      <c r="F140" s="1936">
        <f t="shared" si="6"/>
        <v>0</v>
      </c>
      <c r="G140" s="1792">
        <f t="shared" si="20"/>
        <v>0</v>
      </c>
    </row>
    <row r="141" spans="1:7" x14ac:dyDescent="0.25">
      <c r="A141" s="1652"/>
      <c r="B141" s="1665"/>
      <c r="C141" s="1653"/>
      <c r="D141" s="1843"/>
      <c r="E141" s="1539">
        <f t="shared" si="2"/>
        <v>0</v>
      </c>
      <c r="F141" s="1936">
        <f t="shared" si="6"/>
        <v>0</v>
      </c>
      <c r="G141" s="1792">
        <f t="shared" si="3"/>
        <v>0</v>
      </c>
    </row>
    <row r="142" spans="1:7" x14ac:dyDescent="0.25">
      <c r="A142" s="1795" t="s">
        <v>156</v>
      </c>
      <c r="B142" s="1796"/>
      <c r="C142" s="1797"/>
      <c r="D142" s="1793">
        <f>SUM(D18:D141)</f>
        <v>0</v>
      </c>
      <c r="E142" s="1540">
        <f t="shared" si="0"/>
        <v>0</v>
      </c>
      <c r="F142" s="1931">
        <f>SUM(F18:F141)</f>
        <v>0</v>
      </c>
      <c r="G142" s="1794">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0" colorId="8" zoomScale="110" zoomScaleNormal="110" workbookViewId="0">
      <selection activeCell="D43" sqref="D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7" t="s">
        <v>1975</v>
      </c>
      <c r="B11" s="2288"/>
      <c r="C11" s="2288"/>
      <c r="D11" s="228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52884</v>
      </c>
      <c r="F19" s="1798"/>
      <c r="G19" s="1800">
        <f>'Expenditures 15-22'!K33-SUM('Expenditures 15-22'!G33,'Expenditures 15-22'!I33)+'Expenditures 15-22'!D229</f>
        <v>52884</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17526</v>
      </c>
      <c r="F21" s="1801"/>
      <c r="G21" s="1804">
        <f>'Expenditures 15-22'!K42-SUM('Expenditures 15-22'!G42,'Expenditures 15-22'!I42)+'Expenditures 15-22'!K120-SUM('Expenditures 15-22'!G120,'Expenditures 15-22'!I120)+'Expenditures 15-22'!K180-SUM('Expenditures 15-22'!G180,'Expenditures 15-22'!I180)+'Expenditures 15-22'!D238</f>
        <v>17526</v>
      </c>
      <c r="H21" s="987"/>
      <c r="I21" s="162"/>
    </row>
    <row r="22" spans="1:9" s="668" customFormat="1" ht="12" customHeight="1" x14ac:dyDescent="0.2">
      <c r="A22" s="994" t="s">
        <v>564</v>
      </c>
      <c r="B22" s="995"/>
      <c r="C22" s="993">
        <v>2200</v>
      </c>
      <c r="D22" s="1801"/>
      <c r="E22" s="1803">
        <f>'Expenditures 15-22'!K47-SUM('Expenditures 15-22'!G47,'Expenditures 15-22'!I47)+'Expenditures 15-22'!D243</f>
        <v>32940</v>
      </c>
      <c r="F22" s="1801"/>
      <c r="G22" s="1804">
        <f>'Expenditures 15-22'!K47-SUM('Expenditures 15-22'!G47,'Expenditures 15-22'!I47)+'Expenditures 15-22'!D243</f>
        <v>32940</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85742</v>
      </c>
      <c r="F23" s="1801"/>
      <c r="G23" s="1803">
        <f>'Expenditures 15-22'!K53-SUM('Expenditures 15-22'!G53,'Expenditures 15-22'!I53)+'Expenditures 15-22'!D257+'Expenditures 15-22'!K330-SUM('Expenditures 15-22'!G330,'Expenditures 15-22'!I330)</f>
        <v>85742</v>
      </c>
      <c r="H23" s="987"/>
      <c r="I23" s="162"/>
    </row>
    <row r="24" spans="1:9" s="668" customFormat="1" ht="12" customHeight="1" x14ac:dyDescent="0.2">
      <c r="A24" s="994" t="s">
        <v>566</v>
      </c>
      <c r="B24" s="995"/>
      <c r="C24" s="993">
        <v>2400</v>
      </c>
      <c r="D24" s="1801"/>
      <c r="E24" s="1803">
        <f>'Expenditures 15-22'!K57-SUM('Expenditures 15-22'!G57,'Expenditures 15-22'!I57)+'Expenditures 15-22'!D261</f>
        <v>0</v>
      </c>
      <c r="F24" s="1801"/>
      <c r="G24" s="1804">
        <f>'Expenditures 15-22'!K57-SUM('Expenditures 15-22'!G57,'Expenditures 15-22'!I57)+'Expenditures 15-22'!D261</f>
        <v>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0</v>
      </c>
      <c r="E27" s="1803">
        <f>E8</f>
        <v>0</v>
      </c>
      <c r="F27" s="1803">
        <f>'Expenditures 15-22'!K60-SUM('Expenditures 15-22'!G60,'Expenditures 15-22'!I60)+'Expenditures 15-22'!D264-E8</f>
        <v>0</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0</v>
      </c>
      <c r="F28" s="1805">
        <f>'Expenditures 15-22'!K61-SUM('Expenditures 15-22'!G61,'Expenditures 15-22'!I61)+'Expenditures 15-22'!K124-SUM('Expenditures 15-22'!G124,'Expenditures 15-22'!I124)+'Expenditures 15-22'!D266-E9</f>
        <v>0</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0</v>
      </c>
      <c r="F29" s="1801"/>
      <c r="G29" s="1804">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1"/>
      <c r="E30" s="1803">
        <f>'Expenditures 15-22'!K63-SUM('Expenditures 15-22'!G63,'Expenditures 15-22'!I63)+'Expenditures 15-22'!D268-E10</f>
        <v>0</v>
      </c>
      <c r="F30" s="1801"/>
      <c r="G30" s="1803">
        <f>'Expenditures 15-22'!K63-SUM('Expenditures 15-22'!G63,'Expenditures 15-22'!I63)+'Expenditures 15-22'!D268-E10</f>
        <v>0</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29'!G142</f>
        <v>0</v>
      </c>
      <c r="F40" s="1801"/>
      <c r="G40" s="1805">
        <f>-'Contracts Paid in CY 29'!G142</f>
        <v>0</v>
      </c>
    </row>
    <row r="41" spans="1:7" ht="12" customHeight="1" x14ac:dyDescent="0.2">
      <c r="A41" s="998" t="s">
        <v>156</v>
      </c>
      <c r="B41" s="999"/>
      <c r="C41" s="1000"/>
      <c r="D41" s="1805">
        <f>SUM(D19:D39)</f>
        <v>0</v>
      </c>
      <c r="E41" s="1805">
        <f>SUM(E19:E40)</f>
        <v>189092</v>
      </c>
      <c r="F41" s="1805">
        <f>SUM(F19:F39)</f>
        <v>0</v>
      </c>
      <c r="G41" s="1805">
        <f>SUM(G19:G40)</f>
        <v>189092</v>
      </c>
    </row>
    <row r="42" spans="1:7" x14ac:dyDescent="0.2">
      <c r="A42" s="987"/>
      <c r="B42" s="162"/>
      <c r="C42" s="1001"/>
      <c r="D42" s="2285" t="s">
        <v>522</v>
      </c>
      <c r="E42" s="2286"/>
      <c r="F42" s="1002" t="s">
        <v>523</v>
      </c>
      <c r="G42" s="1003"/>
    </row>
    <row r="43" spans="1:7" ht="12" customHeight="1" x14ac:dyDescent="0.2">
      <c r="A43" s="987"/>
      <c r="B43" s="162"/>
      <c r="C43" s="1001"/>
      <c r="D43" s="1806" t="s">
        <v>473</v>
      </c>
      <c r="E43" s="1807">
        <f>D41</f>
        <v>0</v>
      </c>
      <c r="F43" s="1806" t="s">
        <v>473</v>
      </c>
      <c r="G43" s="1807">
        <f>F41</f>
        <v>0</v>
      </c>
    </row>
    <row r="44" spans="1:7" ht="12" customHeight="1" x14ac:dyDescent="0.2">
      <c r="A44" s="987"/>
      <c r="B44" s="162"/>
      <c r="C44" s="1001"/>
      <c r="D44" s="1806" t="s">
        <v>474</v>
      </c>
      <c r="E44" s="1807">
        <f>E41</f>
        <v>189092</v>
      </c>
      <c r="F44" s="1806" t="s">
        <v>474</v>
      </c>
      <c r="G44" s="1807">
        <f>G41</f>
        <v>189092</v>
      </c>
    </row>
    <row r="45" spans="1:7" ht="12" customHeight="1" x14ac:dyDescent="0.2">
      <c r="A45" s="987"/>
      <c r="B45" s="162"/>
      <c r="C45" s="162"/>
      <c r="D45" s="1808" t="s">
        <v>1006</v>
      </c>
      <c r="E45" s="1809">
        <f>(E43/E44)</f>
        <v>0</v>
      </c>
      <c r="F45" s="1808" t="s">
        <v>1006</v>
      </c>
      <c r="G45" s="1809">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D43" sqref="D43"/>
      <selection pane="bottomLeft" activeCell="H31" sqref="H31"/>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4" t="s">
        <v>1379</v>
      </c>
      <c r="B1" s="2304"/>
      <c r="C1" s="2304"/>
      <c r="D1" s="2304"/>
      <c r="E1" s="2304"/>
      <c r="F1" s="2304"/>
    </row>
    <row r="2" spans="1:10" x14ac:dyDescent="0.2">
      <c r="A2" s="1886" t="s">
        <v>1911</v>
      </c>
      <c r="B2" s="1847"/>
      <c r="C2" s="1886"/>
      <c r="D2" s="1847"/>
      <c r="E2" s="1847"/>
      <c r="F2" s="1848"/>
    </row>
    <row r="3" spans="1:10" x14ac:dyDescent="0.2">
      <c r="A3" s="1886" t="s">
        <v>1976</v>
      </c>
      <c r="B3" s="1847"/>
      <c r="C3" s="1886"/>
      <c r="D3" s="1847"/>
      <c r="E3" s="1847"/>
      <c r="F3" s="1848"/>
    </row>
    <row r="4" spans="1:10" ht="3.75" customHeight="1" x14ac:dyDescent="0.2">
      <c r="A4" s="1847"/>
      <c r="B4" s="1847"/>
      <c r="C4" s="1847"/>
      <c r="D4" s="1847"/>
      <c r="E4" s="1847"/>
      <c r="F4" s="1848"/>
    </row>
    <row r="5" spans="1:10" ht="15" x14ac:dyDescent="0.25">
      <c r="A5" s="2305" t="s">
        <v>1546</v>
      </c>
      <c r="B5" s="2306"/>
      <c r="C5" s="2307"/>
      <c r="D5" s="2307"/>
      <c r="E5" s="2307"/>
      <c r="F5" s="2307"/>
    </row>
    <row r="6" spans="1:10" ht="12" customHeight="1" x14ac:dyDescent="0.25">
      <c r="A6" s="1849"/>
      <c r="B6" s="1850"/>
      <c r="C6" s="2308" t="str">
        <f>COVER!A17</f>
        <v>Delabar CTE System</v>
      </c>
      <c r="D6" s="2308"/>
      <c r="E6" s="2308"/>
      <c r="F6" s="1851"/>
    </row>
    <row r="7" spans="1:10" ht="11.25" customHeight="1" thickBot="1" x14ac:dyDescent="0.3">
      <c r="A7" s="1849"/>
      <c r="B7" s="1850"/>
      <c r="C7" s="2309">
        <f>COVER!A13</f>
        <v>33094729045</v>
      </c>
      <c r="D7" s="2309"/>
      <c r="E7" s="2309"/>
      <c r="F7" s="1851"/>
    </row>
    <row r="8" spans="1:10" ht="25.5" customHeight="1" thickBot="1" x14ac:dyDescent="0.25">
      <c r="A8" s="1892" t="s">
        <v>1907</v>
      </c>
      <c r="B8" s="1852" t="s">
        <v>2065</v>
      </c>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c r="D26" s="1864"/>
      <c r="E26" s="1867"/>
      <c r="F26" s="1866"/>
      <c r="H26" s="1877">
        <f t="shared" si="0"/>
        <v>0</v>
      </c>
      <c r="I26" s="1877">
        <f t="shared" si="1"/>
        <v>0</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0</v>
      </c>
      <c r="I34" s="1877">
        <f>SUM(I11:I32)</f>
        <v>0</v>
      </c>
      <c r="J34" s="1877">
        <f>SUM(J11:J32)</f>
        <v>0</v>
      </c>
      <c r="K34" s="1877">
        <f>SUM(H34:J34)</f>
        <v>0</v>
      </c>
    </row>
    <row r="35" spans="1:11" ht="12" customHeight="1" x14ac:dyDescent="0.2">
      <c r="A35" s="1870" t="s">
        <v>1392</v>
      </c>
      <c r="B35" s="1871"/>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72"/>
      <c r="B39" s="1872"/>
      <c r="C39" s="1872"/>
      <c r="D39" s="1872"/>
      <c r="E39" s="1872"/>
      <c r="F39" s="1872"/>
    </row>
    <row r="40" spans="1:11" s="1869" customFormat="1" ht="12" customHeight="1" x14ac:dyDescent="0.25">
      <c r="A40" s="1873" t="s">
        <v>1391</v>
      </c>
      <c r="B40" s="1874"/>
      <c r="C40" s="2299"/>
      <c r="D40" s="2299"/>
      <c r="E40" s="2299"/>
      <c r="F40" s="2300"/>
      <c r="H40" s="1878"/>
      <c r="I40" s="1878"/>
      <c r="J40" s="1878"/>
      <c r="K40" s="1878"/>
    </row>
    <row r="41" spans="1:11" s="1869" customFormat="1" ht="12" customHeight="1" x14ac:dyDescent="0.25">
      <c r="A41" s="2301"/>
      <c r="B41" s="2302"/>
      <c r="C41" s="2302"/>
      <c r="D41" s="2302"/>
      <c r="E41" s="2302"/>
      <c r="F41" s="2303"/>
      <c r="H41" s="1878"/>
      <c r="I41" s="1878"/>
      <c r="J41" s="1878"/>
      <c r="K41" s="1878"/>
    </row>
    <row r="42" spans="1:11" s="1869" customFormat="1" ht="12" customHeight="1" x14ac:dyDescent="0.25">
      <c r="A42" s="2301"/>
      <c r="B42" s="2302"/>
      <c r="C42" s="2302"/>
      <c r="D42" s="2302"/>
      <c r="E42" s="2302"/>
      <c r="F42" s="2303"/>
      <c r="H42" s="1878"/>
      <c r="I42" s="1878"/>
      <c r="J42" s="1878"/>
      <c r="K42" s="1878"/>
    </row>
    <row r="43" spans="1:11" s="1869" customFormat="1" ht="15" x14ac:dyDescent="0.25">
      <c r="A43" s="2290"/>
      <c r="B43" s="2291"/>
      <c r="C43" s="2291"/>
      <c r="D43" s="2291"/>
      <c r="E43" s="2291"/>
      <c r="F43" s="2292"/>
      <c r="H43" s="1878"/>
      <c r="I43" s="1878"/>
      <c r="J43" s="1878"/>
      <c r="K43" s="1878"/>
    </row>
    <row r="44" spans="1:11" s="1869" customFormat="1" ht="12" hidden="1" customHeight="1" x14ac:dyDescent="0.25">
      <c r="A44" s="2290"/>
      <c r="B44" s="2291"/>
      <c r="C44" s="2291"/>
      <c r="D44" s="2291"/>
      <c r="E44" s="2291"/>
      <c r="F44" s="2292"/>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43" sqref="D4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17" t="str">
        <f>COVER!A17</f>
        <v>Delabar CTE System</v>
      </c>
      <c r="J6" s="2318"/>
      <c r="Q6" s="1663"/>
    </row>
    <row r="7" spans="1:17" x14ac:dyDescent="0.2">
      <c r="A7" s="2319" t="s">
        <v>869</v>
      </c>
      <c r="B7" s="2320"/>
      <c r="C7" s="2320"/>
      <c r="D7" s="2320"/>
      <c r="E7" s="2321"/>
      <c r="F7" s="1017"/>
      <c r="G7" s="1009"/>
      <c r="H7" s="1016" t="s">
        <v>372</v>
      </c>
      <c r="I7" s="2322">
        <f>COVER!A13</f>
        <v>33094729045</v>
      </c>
      <c r="J7" s="2322"/>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1977</v>
      </c>
      <c r="F9" s="1023"/>
      <c r="G9" s="1023"/>
      <c r="H9" s="1895"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0</v>
      </c>
      <c r="F12" s="1039"/>
      <c r="G12" s="1810">
        <f t="shared" ref="G12:G18" si="0">SUM(E12:F12)</f>
        <v>0</v>
      </c>
      <c r="H12" s="1040"/>
      <c r="I12" s="1039"/>
      <c r="J12" s="1810">
        <f t="shared" ref="J12:J18" si="1">SUM(H12:I12)</f>
        <v>0</v>
      </c>
    </row>
    <row r="13" spans="1:17" ht="15" customHeight="1" x14ac:dyDescent="0.2">
      <c r="A13" s="1035">
        <v>2</v>
      </c>
      <c r="B13" s="1036" t="s">
        <v>42</v>
      </c>
      <c r="C13" s="1037"/>
      <c r="D13" s="1038">
        <v>2330</v>
      </c>
      <c r="E13" s="1810">
        <f>'Expenditures 15-22'!K51</f>
        <v>85742</v>
      </c>
      <c r="F13" s="1039"/>
      <c r="G13" s="1810">
        <f t="shared" si="0"/>
        <v>85742</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6" t="s">
        <v>7</v>
      </c>
      <c r="C18" s="2327"/>
      <c r="D18" s="2328"/>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85742</v>
      </c>
      <c r="F19" s="1812">
        <f t="shared" si="2"/>
        <v>0</v>
      </c>
      <c r="G19" s="1812">
        <f t="shared" si="2"/>
        <v>85742</v>
      </c>
      <c r="H19" s="1812">
        <f t="shared" si="2"/>
        <v>0</v>
      </c>
      <c r="I19" s="1812">
        <f t="shared" si="2"/>
        <v>0</v>
      </c>
      <c r="J19" s="1812">
        <f t="shared" si="2"/>
        <v>0</v>
      </c>
    </row>
    <row r="20" spans="1:10" ht="13.5" thickTop="1" x14ac:dyDescent="0.2">
      <c r="A20" s="1035">
        <v>9</v>
      </c>
      <c r="B20" s="2329" t="s">
        <v>1979</v>
      </c>
      <c r="C20" s="2329"/>
      <c r="D20" s="2330"/>
      <c r="E20" s="1046"/>
      <c r="F20" s="1046"/>
      <c r="G20" s="1046"/>
      <c r="H20" s="1046"/>
      <c r="I20" s="1046"/>
      <c r="J20" s="1813"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1981</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7" sqref="A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t="s">
        <v>2081</v>
      </c>
    </row>
    <row r="6" spans="1:1" x14ac:dyDescent="0.2">
      <c r="A6" s="1068"/>
    </row>
    <row r="7" spans="1:1" x14ac:dyDescent="0.2">
      <c r="A7" s="1068" t="s">
        <v>2113</v>
      </c>
    </row>
    <row r="8" spans="1:1" x14ac:dyDescent="0.2">
      <c r="A8" s="1068" t="s">
        <v>2082</v>
      </c>
    </row>
    <row r="9" spans="1:1" x14ac:dyDescent="0.2">
      <c r="A9" s="1068"/>
    </row>
    <row r="10" spans="1:1" x14ac:dyDescent="0.2">
      <c r="A10" s="1068" t="s">
        <v>2083</v>
      </c>
    </row>
    <row r="11" spans="1:1" x14ac:dyDescent="0.2">
      <c r="A11" s="1068" t="s">
        <v>2084</v>
      </c>
    </row>
    <row r="12" spans="1:1" x14ac:dyDescent="0.2">
      <c r="A12" s="1068"/>
    </row>
    <row r="13" spans="1:1" x14ac:dyDescent="0.2">
      <c r="A13" s="1068" t="s">
        <v>2085</v>
      </c>
    </row>
    <row r="14" spans="1:1" x14ac:dyDescent="0.2">
      <c r="A14" s="1068" t="s">
        <v>2086</v>
      </c>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Delabar CTE System</v>
      </c>
    </row>
    <row r="65" spans="2:2" x14ac:dyDescent="0.2">
      <c r="B65" s="1069">
        <f>COVER!A13</f>
        <v>33094729045</v>
      </c>
    </row>
  </sheetData>
  <phoneticPr fontId="15" type="noConversion"/>
  <pageMargins left="0.2" right="0.2" top="1.17" bottom="0.75" header="0.19" footer="0.16"/>
  <pageSetup scale="80" firstPageNumber="32" orientation="portrait" useFirstPageNumber="1" horizontalDpi="4294967295" verticalDpi="4294967295"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43" sqref="D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6" t="s">
        <v>1685</v>
      </c>
      <c r="B18" s="233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66675</xdr:colOff>
                <xdr:row>6</xdr:row>
                <xdr:rowOff>133350</xdr:rowOff>
              </from>
              <to>
                <xdr:col>1</xdr:col>
                <xdr:colOff>981075</xdr:colOff>
                <xdr:row>11</xdr:row>
                <xdr:rowOff>9525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352425</xdr:colOff>
                <xdr:row>1</xdr:row>
                <xdr:rowOff>76200</xdr:rowOff>
              </from>
              <to>
                <xdr:col>1</xdr:col>
                <xdr:colOff>1266825</xdr:colOff>
                <xdr:row>5</xdr:row>
                <xdr:rowOff>114300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43" sqref="D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1985</v>
      </c>
      <c r="B2" s="2348"/>
      <c r="C2" s="2348"/>
      <c r="D2" s="2348"/>
      <c r="E2" s="2348"/>
      <c r="F2" s="2349"/>
      <c r="G2" s="1073"/>
      <c r="H2" s="1073"/>
    </row>
    <row r="3" spans="1:8" ht="57" customHeight="1" x14ac:dyDescent="0.2">
      <c r="A3" s="2350" t="s">
        <v>1686</v>
      </c>
      <c r="B3" s="2351"/>
      <c r="C3" s="2351"/>
      <c r="D3" s="2351"/>
      <c r="E3" s="2351"/>
      <c r="F3" s="2352"/>
      <c r="G3" s="1073"/>
      <c r="H3" s="1073"/>
    </row>
    <row r="4" spans="1:8" ht="14.25" customHeight="1" x14ac:dyDescent="0.2">
      <c r="A4" s="2356" t="s">
        <v>1986</v>
      </c>
      <c r="B4" s="2357"/>
      <c r="C4" s="2357"/>
      <c r="D4" s="2357"/>
      <c r="E4" s="2357"/>
      <c r="F4" s="2358"/>
      <c r="G4" s="1073"/>
      <c r="H4" s="1073"/>
    </row>
    <row r="5" spans="1:8" ht="14.25" customHeight="1" x14ac:dyDescent="0.2">
      <c r="A5" s="2359" t="s">
        <v>1982</v>
      </c>
      <c r="B5" s="2360"/>
      <c r="C5" s="2360"/>
      <c r="D5" s="2360"/>
      <c r="E5" s="2360"/>
      <c r="F5" s="2361"/>
      <c r="G5" s="1073"/>
      <c r="H5" s="1073"/>
    </row>
    <row r="6" spans="1:8" s="1074" customFormat="1" ht="41.25" customHeight="1" x14ac:dyDescent="0.2">
      <c r="A6" s="2353" t="s">
        <v>1691</v>
      </c>
      <c r="B6" s="2354"/>
      <c r="C6" s="2354"/>
      <c r="D6" s="2354"/>
      <c r="E6" s="2354"/>
      <c r="F6" s="2355"/>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481017</v>
      </c>
      <c r="C8" s="1814">
        <f>'Acct Summary 7-8'!D8</f>
        <v>0</v>
      </c>
      <c r="D8" s="1814">
        <f>'Acct Summary 7-8'!F8</f>
        <v>0</v>
      </c>
      <c r="E8" s="1814">
        <f>'Acct Summary 7-8'!I8</f>
        <v>0</v>
      </c>
      <c r="F8" s="1814">
        <f>SUM(B8:E8)</f>
        <v>481017</v>
      </c>
    </row>
    <row r="9" spans="1:8" s="1078" customFormat="1" ht="14.25" customHeight="1" thickBot="1" x14ac:dyDescent="0.25">
      <c r="A9" s="1077" t="s">
        <v>1369</v>
      </c>
      <c r="B9" s="1815">
        <f>'Acct Summary 7-8'!C17</f>
        <v>546304</v>
      </c>
      <c r="C9" s="1815">
        <f>'Acct Summary 7-8'!D17</f>
        <v>0</v>
      </c>
      <c r="D9" s="1815">
        <f>'Acct Summary 7-8'!F17</f>
        <v>0</v>
      </c>
      <c r="E9" s="1814"/>
      <c r="F9" s="1814">
        <f>SUM(B9:E9)</f>
        <v>546304</v>
      </c>
    </row>
    <row r="10" spans="1:8" s="1078" customFormat="1" ht="14.25" thickTop="1" thickBot="1" x14ac:dyDescent="0.25">
      <c r="A10" s="1079" t="s">
        <v>1370</v>
      </c>
      <c r="B10" s="1816">
        <f>(B8-B9)</f>
        <v>-65287</v>
      </c>
      <c r="C10" s="1816">
        <f>(C8-C9)</f>
        <v>0</v>
      </c>
      <c r="D10" s="1816">
        <f>(D8-D9)</f>
        <v>0</v>
      </c>
      <c r="E10" s="1815">
        <f>(E8-E9)</f>
        <v>0</v>
      </c>
      <c r="F10" s="1817">
        <f>SUM(F8-F9)</f>
        <v>-65287</v>
      </c>
    </row>
    <row r="11" spans="1:8" s="1078" customFormat="1" ht="14.25" thickTop="1" thickBot="1" x14ac:dyDescent="0.25">
      <c r="A11" s="1080" t="s">
        <v>1983</v>
      </c>
      <c r="B11" s="1818">
        <f>'Acct Summary 7-8'!C81</f>
        <v>10379</v>
      </c>
      <c r="C11" s="1818">
        <f>'Acct Summary 7-8'!D81</f>
        <v>0</v>
      </c>
      <c r="D11" s="1818">
        <f>'Acct Summary 7-8'!F81</f>
        <v>0</v>
      </c>
      <c r="E11" s="1818">
        <f>'Acct Summary 7-8'!I81</f>
        <v>0</v>
      </c>
      <c r="F11" s="1819">
        <f>SUM(B11:E11)</f>
        <v>10379</v>
      </c>
    </row>
    <row r="12" spans="1:8" ht="16.5" customHeight="1" thickTop="1" x14ac:dyDescent="0.2">
      <c r="A12" s="1081"/>
      <c r="B12" s="1082"/>
      <c r="C12" s="2341"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2"/>
      <c r="E12" s="2342"/>
      <c r="F12" s="2343"/>
    </row>
    <row r="13" spans="1:8" ht="19.5" customHeight="1" x14ac:dyDescent="0.2">
      <c r="A13" s="1083"/>
      <c r="B13" s="1084"/>
      <c r="C13" s="2341"/>
      <c r="D13" s="2342"/>
      <c r="E13" s="2342"/>
      <c r="F13" s="2343"/>
      <c r="H13" s="1073"/>
    </row>
    <row r="14" spans="1:8" ht="19.5" customHeight="1" x14ac:dyDescent="0.2">
      <c r="A14" s="1083"/>
      <c r="B14" s="1084"/>
      <c r="C14" s="2341"/>
      <c r="D14" s="2342"/>
      <c r="E14" s="2342"/>
      <c r="F14" s="2343"/>
      <c r="H14" s="1073"/>
    </row>
    <row r="15" spans="1:8" ht="17.25" customHeight="1" x14ac:dyDescent="0.2">
      <c r="A15" s="1083"/>
      <c r="B15" s="1084"/>
      <c r="C15" s="2344"/>
      <c r="D15" s="2345"/>
      <c r="E15" s="2345"/>
      <c r="F15" s="2346"/>
      <c r="H15" s="1073"/>
    </row>
    <row r="16" spans="1:8" s="310" customFormat="1" ht="51.75" hidden="1" customHeight="1" x14ac:dyDescent="0.2">
      <c r="A16" s="2340" t="s">
        <v>1687</v>
      </c>
      <c r="B16" s="2340"/>
      <c r="C16" s="2340"/>
      <c r="D16" s="2340"/>
      <c r="E16" s="2340"/>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78" sqref="D7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2" t="s">
        <v>665</v>
      </c>
      <c r="B3" s="2363"/>
      <c r="C3" s="2363"/>
      <c r="D3" s="2364"/>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3" t="s">
        <v>1504</v>
      </c>
      <c r="D7" s="2374"/>
    </row>
    <row r="8" spans="1:4" s="668" customFormat="1" ht="12.75" x14ac:dyDescent="0.2">
      <c r="A8" s="1137"/>
      <c r="B8" s="1092"/>
      <c r="C8" s="1095" t="s">
        <v>1503</v>
      </c>
      <c r="D8" s="1096"/>
    </row>
    <row r="9" spans="1:4" s="668" customFormat="1" ht="14.25" customHeight="1" x14ac:dyDescent="0.2">
      <c r="A9" s="1137"/>
      <c r="B9" s="1092">
        <f>B7+1</f>
        <v>4</v>
      </c>
      <c r="C9" s="1093" t="s">
        <v>1912</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7" t="s">
        <v>314</v>
      </c>
      <c r="D21" s="2378"/>
    </row>
    <row r="22" spans="1:10" ht="12.75" x14ac:dyDescent="0.2">
      <c r="A22" s="1138"/>
      <c r="B22" s="1139">
        <v>2</v>
      </c>
      <c r="C22" s="2375" t="s">
        <v>1524</v>
      </c>
      <c r="D22" s="2376"/>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79" t="s">
        <v>536</v>
      </c>
      <c r="D43" s="2380"/>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1" t="s">
        <v>784</v>
      </c>
      <c r="D56" s="2372"/>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71" t="s">
        <v>1696</v>
      </c>
      <c r="D70" s="2372"/>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29'!D142&gt;0,"OK","PLEASE ENTER CONTRACTS PAID IN CURRENT YEAR.")</f>
        <v>PLEASE ENTER CONTRACTS PAID IN CURRENT YEAR.</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33094729045</v>
      </c>
    </row>
    <row r="3" spans="1:2" x14ac:dyDescent="0.2">
      <c r="A3" t="s">
        <v>956</v>
      </c>
      <c r="B3" s="138" t="str">
        <f>COVER!A15</f>
        <v>Knox</v>
      </c>
    </row>
    <row r="4" spans="1:2" x14ac:dyDescent="0.2">
      <c r="A4" t="s">
        <v>1007</v>
      </c>
      <c r="B4" s="138" t="str">
        <f>COVER!A17</f>
        <v>Delabar CTE System</v>
      </c>
    </row>
    <row r="5" spans="1:2" x14ac:dyDescent="0.2">
      <c r="A5" t="s">
        <v>704</v>
      </c>
      <c r="B5" s="138" t="str">
        <f>COVER!A38</f>
        <v>Nancy Bitner</v>
      </c>
    </row>
    <row r="6" spans="1:2" x14ac:dyDescent="0.2">
      <c r="A6" t="s">
        <v>709</v>
      </c>
      <c r="B6" s="138">
        <f>COVER!P35</f>
        <v>0</v>
      </c>
    </row>
    <row r="7" spans="1:2" x14ac:dyDescent="0.2">
      <c r="A7" t="s">
        <v>705</v>
      </c>
      <c r="B7" s="138">
        <f>COVER!I38</f>
        <v>0</v>
      </c>
    </row>
    <row r="8" spans="1:2" x14ac:dyDescent="0.2">
      <c r="A8" t="s">
        <v>706</v>
      </c>
      <c r="B8" s="138" t="str">
        <f>COVER!T38</f>
        <v>Mrs. Jodi Scott</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60.008476000000002</v>
      </c>
    </row>
    <row r="16" spans="1:2" x14ac:dyDescent="0.2">
      <c r="A16" t="s">
        <v>422</v>
      </c>
      <c r="B16" s="138" t="str">
        <f>COVER!T13</f>
        <v>Cavanaugh, Davies, Blackman &amp; Cramblet</v>
      </c>
    </row>
    <row r="17" spans="1:2" x14ac:dyDescent="0.2">
      <c r="A17" t="s">
        <v>884</v>
      </c>
      <c r="B17" s="138" t="str">
        <f>COVER!T15</f>
        <v>Rod Davies</v>
      </c>
    </row>
    <row r="18" spans="1:2" x14ac:dyDescent="0.2">
      <c r="A18" t="s">
        <v>1150</v>
      </c>
      <c r="B18" s="138" t="str">
        <f>COVER!T17</f>
        <v>1021 N. Main Street, PO Box 318</v>
      </c>
    </row>
    <row r="19" spans="1:2" x14ac:dyDescent="0.2">
      <c r="A19" t="s">
        <v>886</v>
      </c>
      <c r="B19" s="138" t="str">
        <f>COVER!T25</f>
        <v>cdbccpas@monmouthcpa.com</v>
      </c>
    </row>
    <row r="20" spans="1:2" x14ac:dyDescent="0.2">
      <c r="A20" t="s">
        <v>887</v>
      </c>
      <c r="B20" s="138" t="str">
        <f>COVER!T19</f>
        <v>Monmouth</v>
      </c>
    </row>
    <row r="21" spans="1:2" x14ac:dyDescent="0.2">
      <c r="A21" t="s">
        <v>479</v>
      </c>
      <c r="B21" s="138" t="str">
        <f>COVER!X19</f>
        <v>IL</v>
      </c>
    </row>
    <row r="22" spans="1:2" x14ac:dyDescent="0.2">
      <c r="A22" t="s">
        <v>888</v>
      </c>
      <c r="B22" s="138">
        <f>COVER!Z19</f>
        <v>61462</v>
      </c>
    </row>
    <row r="23" spans="1:2" x14ac:dyDescent="0.2">
      <c r="A23" t="s">
        <v>1152</v>
      </c>
      <c r="B23" s="138" t="str">
        <f>COVER!T21</f>
        <v>309-734-2330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10379</v>
      </c>
      <c r="D76" s="2" t="str">
        <f t="shared" si="0"/>
        <v>Error?</v>
      </c>
    </row>
    <row r="77" spans="1:4" x14ac:dyDescent="0.2">
      <c r="A77" s="5">
        <v>16</v>
      </c>
      <c r="B77" s="138">
        <f>'Assets-Liab 5-6'!C13</f>
        <v>10379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10379</v>
      </c>
      <c r="D92" s="2" t="str">
        <f t="shared" si="0"/>
        <v>Error?</v>
      </c>
    </row>
    <row r="93" spans="1:4" x14ac:dyDescent="0.2">
      <c r="A93" s="5">
        <v>32</v>
      </c>
      <c r="B93" s="138">
        <f>'Assets-Liab 5-6'!C41</f>
        <v>10379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853568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853568</v>
      </c>
      <c r="C279" s="2" t="s">
        <v>573</v>
      </c>
      <c r="D279" s="2" t="str">
        <f t="shared" si="3"/>
        <v>Error?</v>
      </c>
    </row>
    <row r="280" spans="1:4" x14ac:dyDescent="0.2">
      <c r="A280" s="5">
        <v>219</v>
      </c>
      <c r="B280" s="138">
        <f>'Assets-Liab 5-6'!M40</f>
        <v>853568</v>
      </c>
      <c r="D280" s="2" t="str">
        <f t="shared" si="3"/>
        <v>Error?</v>
      </c>
    </row>
    <row r="281" spans="1:4" x14ac:dyDescent="0.2">
      <c r="A281" s="5">
        <v>220</v>
      </c>
      <c r="B281" s="138">
        <f>'Assets-Liab 5-6'!M41</f>
        <v>853568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17526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17526</v>
      </c>
      <c r="C843" s="2" t="s">
        <v>573</v>
      </c>
      <c r="D843" s="2" t="str">
        <f t="shared" si="12"/>
        <v>Error?</v>
      </c>
    </row>
    <row r="844" spans="1:4" x14ac:dyDescent="0.2">
      <c r="A844" s="5">
        <v>783</v>
      </c>
      <c r="B844" s="138">
        <f>'Expenditures 15-22'!E44</f>
        <v>31310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1630</v>
      </c>
      <c r="D846" s="2" t="str">
        <f t="shared" si="12"/>
        <v>Error?</v>
      </c>
    </row>
    <row r="847" spans="1:4" x14ac:dyDescent="0.2">
      <c r="A847" s="5">
        <v>786</v>
      </c>
      <c r="B847" s="138">
        <f>'Expenditures 15-22'!E47</f>
        <v>32940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81995</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132461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132461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52884</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52884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3747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3747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56631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121333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121333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121333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235879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235879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174217</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174217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17526</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17526</v>
      </c>
      <c r="C1115" s="2" t="s">
        <v>573</v>
      </c>
      <c r="D1115" s="2" t="str">
        <f t="shared" si="16"/>
        <v>Error?</v>
      </c>
    </row>
    <row r="1116" spans="1:4" x14ac:dyDescent="0.2">
      <c r="A1116" s="5">
        <v>1055</v>
      </c>
      <c r="B1116" s="138">
        <f>'Expenditures 15-22'!K44</f>
        <v>31310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1630</v>
      </c>
      <c r="C1118" s="2" t="s">
        <v>573</v>
      </c>
      <c r="D1118" s="2" t="str">
        <f t="shared" si="16"/>
        <v>Error?</v>
      </c>
    </row>
    <row r="1119" spans="1:4" x14ac:dyDescent="0.2">
      <c r="A1119" s="5">
        <v>1058</v>
      </c>
      <c r="B1119" s="138">
        <f>'Expenditures 15-22'!K47</f>
        <v>32940</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85742</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136208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235879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546304</v>
      </c>
      <c r="C1152" s="2" t="s">
        <v>573</v>
      </c>
      <c r="D1152" s="2" t="str">
        <f t="shared" si="17"/>
        <v>Error?</v>
      </c>
    </row>
    <row r="1153" spans="1:4" x14ac:dyDescent="0.2">
      <c r="A1153" s="5">
        <v>1092</v>
      </c>
      <c r="B1153" s="138">
        <f>'Expenditures 15-22'!K115</f>
        <v>-65287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75666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10379</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808585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808585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121333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121333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76350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76350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853568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853568</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573279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573279</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85357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85357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76350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76350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582286</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582286</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271282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271282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235879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235879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78451</v>
      </c>
      <c r="C2551" s="2" t="s">
        <v>573</v>
      </c>
      <c r="D2551" s="2" t="str">
        <f t="shared" si="38"/>
        <v>Error?</v>
      </c>
    </row>
    <row r="2552" spans="1:4" x14ac:dyDescent="0.2">
      <c r="A2552" s="10">
        <v>2491</v>
      </c>
      <c r="D2552" s="2" t="str">
        <f t="shared" si="38"/>
        <v>OK</v>
      </c>
    </row>
    <row r="2553" spans="1:4" x14ac:dyDescent="0.2">
      <c r="A2553" s="5">
        <v>2492</v>
      </c>
      <c r="B2553" s="138">
        <f>'Acct Summary 7-8'!C6</f>
        <v>214088</v>
      </c>
      <c r="C2553" s="2" t="s">
        <v>573</v>
      </c>
      <c r="D2553" s="2" t="str">
        <f t="shared" si="38"/>
        <v>Error?</v>
      </c>
    </row>
    <row r="2554" spans="1:4" x14ac:dyDescent="0.2">
      <c r="A2554" s="5">
        <v>2493</v>
      </c>
      <c r="B2554" s="138">
        <f>'Acct Summary 7-8'!C7</f>
        <v>19298</v>
      </c>
      <c r="C2554" s="2" t="s">
        <v>573</v>
      </c>
      <c r="D2554" s="2" t="str">
        <f t="shared" si="38"/>
        <v>Error?</v>
      </c>
    </row>
    <row r="2555" spans="1:4" x14ac:dyDescent="0.2">
      <c r="A2555" s="5">
        <v>2494</v>
      </c>
      <c r="B2555" s="138">
        <f>'Acct Summary 7-8'!C8</f>
        <v>481017</v>
      </c>
      <c r="C2555" s="2" t="s">
        <v>573</v>
      </c>
      <c r="D2555" s="2" t="str">
        <f t="shared" si="38"/>
        <v>Error?</v>
      </c>
    </row>
    <row r="2556" spans="1:4" x14ac:dyDescent="0.2">
      <c r="A2556" s="5">
        <v>2495</v>
      </c>
      <c r="B2556" s="138">
        <f>'Acct Summary 7-8'!C12</f>
        <v>174217</v>
      </c>
      <c r="C2556" s="2" t="s">
        <v>573</v>
      </c>
      <c r="D2556" s="2" t="str">
        <f t="shared" si="38"/>
        <v>Error?</v>
      </c>
    </row>
    <row r="2557" spans="1:4" x14ac:dyDescent="0.2">
      <c r="A2557" s="5">
        <v>2496</v>
      </c>
      <c r="B2557" s="138">
        <f>'Acct Summary 7-8'!C13</f>
        <v>136208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235879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546304</v>
      </c>
      <c r="C2561" s="2" t="s">
        <v>573</v>
      </c>
      <c r="D2561" s="2" t="str">
        <f t="shared" si="39"/>
        <v>Error?</v>
      </c>
    </row>
    <row r="2562" spans="1:4" x14ac:dyDescent="0.2">
      <c r="A2562" s="5">
        <v>2501</v>
      </c>
      <c r="B2562" s="138">
        <f>'Acct Summary 7-8'!C20</f>
        <v>-65287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81995</v>
      </c>
      <c r="D2720" s="2" t="str">
        <f t="shared" si="41"/>
        <v>Error?</v>
      </c>
    </row>
    <row r="2721" spans="1:4" x14ac:dyDescent="0.2">
      <c r="A2721" s="5">
        <v>2660</v>
      </c>
      <c r="B2721" s="138">
        <f>'Expenditures 15-22'!F51</f>
        <v>3747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85742</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169498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66381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169498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66381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-65287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169180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481017</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546304</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10379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19298</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78122</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233</v>
      </c>
      <c r="D5119" s="2" t="str">
        <f t="shared" ref="D5119:D5182" si="79">IF(ISBLANK(B5119),"OK",IF(A5119-B5119=0,"OK","Error?"))</f>
        <v>Error?</v>
      </c>
    </row>
    <row r="5120" spans="1:4" x14ac:dyDescent="0.2">
      <c r="A5120" s="5">
        <v>5059</v>
      </c>
      <c r="B5120" s="138">
        <f>'Revenues 9-14'!C108</f>
        <v>78355</v>
      </c>
      <c r="C5120" s="2" t="s">
        <v>573</v>
      </c>
      <c r="D5120" s="2" t="str">
        <f t="shared" si="79"/>
        <v>Error?</v>
      </c>
    </row>
    <row r="5121" spans="1:4" x14ac:dyDescent="0.2">
      <c r="A5121" s="5">
        <v>5060</v>
      </c>
      <c r="B5121" s="138">
        <f>'Revenues 9-14'!C109</f>
        <v>78451</v>
      </c>
      <c r="C5121" s="2" t="s">
        <v>573</v>
      </c>
      <c r="D5121" s="2" t="str">
        <f t="shared" si="79"/>
        <v>Error?</v>
      </c>
    </row>
    <row r="5122" spans="1:4" x14ac:dyDescent="0.2">
      <c r="A5122" s="5">
        <v>5061</v>
      </c>
      <c r="B5122" s="138">
        <f>'Revenues 9-14'!C111</f>
        <v>111285</v>
      </c>
      <c r="D5122" s="2" t="str">
        <f t="shared" si="79"/>
        <v>Error?</v>
      </c>
    </row>
    <row r="5123" spans="1:4" x14ac:dyDescent="0.2">
      <c r="A5123" s="5">
        <v>5062</v>
      </c>
      <c r="B5123" s="138">
        <f>'Revenues 9-14'!C112</f>
        <v>57895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169180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214088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214088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214088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214088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19298</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19298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19298</v>
      </c>
      <c r="C5326" s="2" t="s">
        <v>573</v>
      </c>
      <c r="D5326" s="2" t="str">
        <f t="shared" si="82"/>
        <v>Error?</v>
      </c>
    </row>
    <row r="5327" spans="1:5" x14ac:dyDescent="0.2">
      <c r="A5327" s="5">
        <v>5266</v>
      </c>
      <c r="B5327" s="138">
        <f>'Revenues 9-14'!C268</f>
        <v>481017</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-65287</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-6.2902977165430194</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85357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D43" sqref="D43"/>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4" t="s">
        <v>1191</v>
      </c>
      <c r="B2" s="2404"/>
      <c r="C2" s="2404"/>
      <c r="D2" s="2404"/>
      <c r="E2" s="2404"/>
      <c r="F2" s="2404"/>
      <c r="G2" s="2404"/>
      <c r="H2" s="2404"/>
      <c r="I2" s="2404"/>
      <c r="J2" s="2404"/>
      <c r="K2" s="2404"/>
      <c r="L2" s="2404"/>
    </row>
    <row r="3" spans="1:29" ht="13.5" customHeight="1" x14ac:dyDescent="0.2">
      <c r="A3" s="2390" t="s">
        <v>1190</v>
      </c>
      <c r="B3" s="2390"/>
      <c r="C3" s="2390"/>
      <c r="D3" s="2390"/>
      <c r="E3" s="2390"/>
      <c r="F3" s="2390"/>
      <c r="G3" s="2390"/>
      <c r="H3" s="2390"/>
      <c r="I3" s="2390"/>
      <c r="J3" s="2390"/>
      <c r="K3" s="2390"/>
      <c r="L3" s="2390"/>
    </row>
    <row r="4" spans="1:29" ht="13.5" customHeight="1" x14ac:dyDescent="0.2">
      <c r="A4" s="2404" t="s">
        <v>1987</v>
      </c>
      <c r="B4" s="2421"/>
      <c r="C4" s="2421"/>
      <c r="D4" s="2421"/>
      <c r="E4" s="2421"/>
      <c r="F4" s="2421"/>
      <c r="G4" s="2421"/>
      <c r="H4" s="2421"/>
      <c r="I4" s="2421"/>
      <c r="J4" s="2421"/>
      <c r="K4" s="2421"/>
      <c r="L4" s="242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84" t="str">
        <f>COVER!A17</f>
        <v>Delabar CTE System</v>
      </c>
      <c r="B7" s="2385"/>
      <c r="C7" s="2385"/>
      <c r="D7" s="2422"/>
      <c r="E7" s="2423">
        <f>COVER!A13</f>
        <v>33094729045</v>
      </c>
      <c r="F7" s="2424"/>
      <c r="G7" s="2391">
        <f>COVER!T23</f>
        <v>60.008476000000002</v>
      </c>
      <c r="H7" s="2392"/>
      <c r="I7" s="2392"/>
      <c r="J7" s="2392"/>
      <c r="K7" s="2392"/>
      <c r="L7" s="2393"/>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94"/>
      <c r="B9" s="2395"/>
      <c r="C9" s="2395"/>
      <c r="D9" s="2395"/>
      <c r="E9" s="2395"/>
      <c r="F9" s="2396"/>
      <c r="G9" s="2397" t="str">
        <f>COVER!T13</f>
        <v>Cavanaugh, Davies, Blackman &amp; Cramblet</v>
      </c>
      <c r="H9" s="2398"/>
      <c r="I9" s="2398"/>
      <c r="J9" s="2398"/>
      <c r="K9" s="2398"/>
      <c r="L9" s="2399"/>
    </row>
    <row r="10" spans="1:29" ht="13.5" customHeight="1" x14ac:dyDescent="0.2">
      <c r="A10" s="2381" t="str">
        <f>COVER!A38</f>
        <v>Nancy Bitner</v>
      </c>
      <c r="B10" s="2382"/>
      <c r="C10" s="2382"/>
      <c r="D10" s="2382"/>
      <c r="E10" s="2382"/>
      <c r="F10" s="2383"/>
      <c r="G10" s="2397" t="str">
        <f>COVER!T17</f>
        <v>1021 N. Main Street, PO Box 318</v>
      </c>
      <c r="H10" s="2410"/>
      <c r="I10" s="2410"/>
      <c r="J10" s="2410"/>
      <c r="K10" s="2410"/>
      <c r="L10" s="2411"/>
    </row>
    <row r="11" spans="1:29" ht="13.5" customHeight="1" x14ac:dyDescent="0.2">
      <c r="A11" s="1183" t="s">
        <v>1519</v>
      </c>
      <c r="B11" s="1184"/>
      <c r="C11" s="1185"/>
      <c r="D11" s="1190"/>
      <c r="E11" s="1185"/>
      <c r="F11" s="1189"/>
      <c r="G11" s="2397" t="str">
        <f>COVER!T19</f>
        <v>Monmouth</v>
      </c>
      <c r="H11" s="2410"/>
      <c r="I11" s="2410"/>
      <c r="J11" s="2410"/>
      <c r="K11" s="2410"/>
      <c r="L11" s="2411"/>
    </row>
    <row r="12" spans="1:29" ht="13.5" customHeight="1" x14ac:dyDescent="0.2">
      <c r="A12" s="2415" t="s">
        <v>1518</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1520</v>
      </c>
      <c r="H13" s="2406"/>
      <c r="I13" s="2418" t="str">
        <f>COVER!T25</f>
        <v>cdbccpas@monmouthcpa.com</v>
      </c>
      <c r="J13" s="2419"/>
      <c r="K13" s="2419"/>
      <c r="L13" s="2420"/>
    </row>
    <row r="14" spans="1:29" ht="13.5" customHeight="1" x14ac:dyDescent="0.2">
      <c r="A14" s="2397" t="str">
        <f>COVER!A19</f>
        <v>121 S. Prairie St</v>
      </c>
      <c r="B14" s="2410"/>
      <c r="C14" s="2410"/>
      <c r="D14" s="2410"/>
      <c r="E14" s="2410"/>
      <c r="F14" s="2411"/>
      <c r="G14" s="1194" t="s">
        <v>1185</v>
      </c>
      <c r="H14" s="1192"/>
      <c r="I14" s="1192"/>
      <c r="J14" s="1192"/>
      <c r="K14" s="1192"/>
      <c r="L14" s="1193"/>
    </row>
    <row r="15" spans="1:29" ht="13.5" customHeight="1" x14ac:dyDescent="0.2">
      <c r="A15" s="2397" t="str">
        <f>COVER!A21</f>
        <v>Galesburg</v>
      </c>
      <c r="B15" s="2410"/>
      <c r="C15" s="2410"/>
      <c r="D15" s="2410"/>
      <c r="E15" s="2410"/>
      <c r="F15" s="2411"/>
      <c r="G15" s="2407" t="str">
        <f>COVER!T15</f>
        <v>Rod Davies</v>
      </c>
      <c r="H15" s="2408"/>
      <c r="I15" s="2408"/>
      <c r="J15" s="2408"/>
      <c r="K15" s="2408"/>
      <c r="L15" s="2409"/>
    </row>
    <row r="16" spans="1:29" ht="12.2" customHeight="1" x14ac:dyDescent="0.2">
      <c r="A16" s="2387">
        <f>COVER!A25</f>
        <v>61401</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4" t="s">
        <v>1184</v>
      </c>
      <c r="H17" s="1192"/>
      <c r="I17" s="1192"/>
      <c r="J17" s="1192"/>
      <c r="K17" s="1196" t="s">
        <v>1183</v>
      </c>
      <c r="L17" s="1189"/>
      <c r="M17" s="1182"/>
    </row>
    <row r="18" spans="1:13" ht="12.2" customHeight="1" x14ac:dyDescent="0.2">
      <c r="A18" s="2381"/>
      <c r="B18" s="2382"/>
      <c r="C18" s="2382"/>
      <c r="D18" s="2382"/>
      <c r="E18" s="2382"/>
      <c r="F18" s="2383"/>
      <c r="G18" s="2384" t="str">
        <f>COVER!T21</f>
        <v>309-734-2330</v>
      </c>
      <c r="H18" s="2385"/>
      <c r="I18" s="2385"/>
      <c r="J18" s="2385"/>
      <c r="K18" s="2384" t="str">
        <f>COVER!X21</f>
        <v>309-734-2349</v>
      </c>
      <c r="L18" s="238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4"/>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3" sqref="D43"/>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5" t="str">
        <f>'Single Audit Cover'!A7</f>
        <v>Delabar CTE System</v>
      </c>
      <c r="B1" s="2421"/>
      <c r="C1" s="2421"/>
      <c r="D1" s="2421"/>
    </row>
    <row r="2" spans="1:11" s="1211" customFormat="1" ht="12.75" x14ac:dyDescent="0.2">
      <c r="A2" s="2426">
        <f>'Single Audit Cover'!E7</f>
        <v>33094729045</v>
      </c>
      <c r="B2" s="2427"/>
      <c r="C2" s="2427"/>
      <c r="D2" s="2427"/>
    </row>
    <row r="3" spans="1:11" s="1211" customFormat="1" ht="12.75" x14ac:dyDescent="0.2">
      <c r="A3" s="2425" t="s">
        <v>1513</v>
      </c>
      <c r="B3" s="2421"/>
      <c r="C3" s="2421"/>
      <c r="D3" s="2421"/>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3" sqref="D43"/>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29" t="str">
        <f>'Single Audit Cover'!A7</f>
        <v>Delabar CTE System</v>
      </c>
      <c r="B1" s="2429"/>
      <c r="C1" s="2429"/>
      <c r="D1" s="2429"/>
      <c r="E1" s="2429"/>
    </row>
    <row r="2" spans="1:5" x14ac:dyDescent="0.2">
      <c r="A2" s="2430">
        <f>'Single Audit Cover'!E7</f>
        <v>33094729045</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6" t="s">
        <v>1243</v>
      </c>
    </row>
    <row r="10" spans="1:5" x14ac:dyDescent="0.2">
      <c r="A10" s="1257" t="s">
        <v>1242</v>
      </c>
      <c r="B10" s="1258" t="s">
        <v>1241</v>
      </c>
      <c r="C10" s="1258"/>
      <c r="D10" s="1259">
        <f>SUM('Acct Summary 7-8'!C7:K7)</f>
        <v>19298</v>
      </c>
    </row>
    <row r="11" spans="1:5" ht="18" customHeight="1" x14ac:dyDescent="0.2">
      <c r="A11" s="1257" t="s">
        <v>1240</v>
      </c>
      <c r="B11" s="1258"/>
      <c r="C11" s="1258"/>
    </row>
    <row r="12" spans="1:5" x14ac:dyDescent="0.2">
      <c r="A12" s="1257" t="s">
        <v>1239</v>
      </c>
      <c r="B12" s="1258" t="s">
        <v>1238</v>
      </c>
      <c r="C12" s="1258"/>
      <c r="D12" s="1260">
        <f>SUM('Revenues 9-14'!C112:D112,'Revenues 9-14'!F112:G112)</f>
        <v>57895</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0</v>
      </c>
    </row>
    <row r="19" spans="1:4" ht="13.5" thickBot="1" x14ac:dyDescent="0.25">
      <c r="A19" s="1261" t="s">
        <v>1235</v>
      </c>
      <c r="D19" s="1262">
        <f>SUM(D10:D17)</f>
        <v>77193</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1"/>
      <c r="B24" s="2431"/>
      <c r="D24" s="1264"/>
    </row>
    <row r="25" spans="1:4" x14ac:dyDescent="0.2">
      <c r="A25" s="2428"/>
      <c r="B25" s="2428"/>
      <c r="D25" s="1264"/>
    </row>
    <row r="26" spans="1:4" x14ac:dyDescent="0.2">
      <c r="A26" s="2428"/>
      <c r="B26" s="2428"/>
      <c r="D26" s="1264"/>
    </row>
    <row r="27" spans="1:4" x14ac:dyDescent="0.2">
      <c r="A27" s="2428"/>
      <c r="B27" s="2428"/>
      <c r="D27" s="1264"/>
    </row>
    <row r="28" spans="1:4" x14ac:dyDescent="0.2">
      <c r="A28" s="2428"/>
      <c r="B28" s="2428"/>
      <c r="D28" s="1264"/>
    </row>
    <row r="29" spans="1:4" x14ac:dyDescent="0.2">
      <c r="A29" s="2428"/>
      <c r="B29" s="2428"/>
      <c r="D29" s="1264"/>
    </row>
    <row r="30" spans="1:4" x14ac:dyDescent="0.2">
      <c r="A30" s="2428"/>
      <c r="B30" s="2428"/>
      <c r="D30" s="1264"/>
    </row>
    <row r="32" spans="1:4" x14ac:dyDescent="0.2">
      <c r="A32" s="1256" t="s">
        <v>1233</v>
      </c>
      <c r="D32" s="1259">
        <f>SUM(D19:D30)</f>
        <v>77193</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28"/>
      <c r="B40" s="2428"/>
      <c r="D40" s="1264"/>
    </row>
    <row r="41" spans="1:4" x14ac:dyDescent="0.2">
      <c r="A41" s="2428"/>
      <c r="B41" s="2428"/>
      <c r="D41" s="1267"/>
    </row>
    <row r="42" spans="1:4" x14ac:dyDescent="0.2">
      <c r="A42" s="2428"/>
      <c r="B42" s="2428"/>
      <c r="D42" s="1267"/>
    </row>
    <row r="43" spans="1:4" x14ac:dyDescent="0.2">
      <c r="A43" s="2428"/>
      <c r="B43" s="2428"/>
      <c r="D43" s="1267"/>
    </row>
    <row r="44" spans="1:4" x14ac:dyDescent="0.2">
      <c r="A44" s="2428"/>
      <c r="B44" s="2428"/>
      <c r="D44" s="1267"/>
    </row>
    <row r="45" spans="1:4" x14ac:dyDescent="0.2">
      <c r="A45" s="2428"/>
      <c r="B45" s="2428"/>
      <c r="D45" s="1267"/>
    </row>
    <row r="47" spans="1:4" x14ac:dyDescent="0.2">
      <c r="B47" s="1268" t="s">
        <v>1227</v>
      </c>
      <c r="C47" s="1268"/>
      <c r="D47" s="1269">
        <f>SUM(D35:D45)</f>
        <v>0</v>
      </c>
    </row>
    <row r="49" spans="2:4" x14ac:dyDescent="0.2">
      <c r="B49" s="1268" t="s">
        <v>1226</v>
      </c>
      <c r="C49" s="1268"/>
      <c r="D49" s="1269">
        <f>D32-D47</f>
        <v>77193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D43" sqref="D43"/>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0" t="str">
        <f>'Single Audit Cover'!A7</f>
        <v>Delabar CTE System</v>
      </c>
      <c r="C1" s="2433"/>
      <c r="D1" s="2433"/>
      <c r="E1" s="2433"/>
      <c r="F1" s="2433"/>
      <c r="G1" s="2433"/>
      <c r="H1" s="2433"/>
      <c r="I1" s="2433"/>
      <c r="J1" s="2433"/>
      <c r="K1" s="2433"/>
      <c r="L1" s="2433"/>
      <c r="M1" s="2433"/>
    </row>
    <row r="2" spans="2:14" ht="15" x14ac:dyDescent="0.2">
      <c r="B2" s="2434">
        <f>'Single Audit Cover'!E7</f>
        <v>33094729045</v>
      </c>
      <c r="C2" s="2434"/>
      <c r="D2" s="2434"/>
      <c r="E2" s="2434"/>
      <c r="F2" s="2434"/>
      <c r="G2" s="2434"/>
      <c r="H2" s="2434"/>
      <c r="I2" s="2434"/>
      <c r="J2" s="2434"/>
      <c r="K2" s="2434"/>
      <c r="L2" s="2434"/>
      <c r="M2" s="2434"/>
      <c r="N2" s="1298"/>
    </row>
    <row r="3" spans="2:14" ht="15" x14ac:dyDescent="0.2">
      <c r="B3" s="2435" t="s">
        <v>1219</v>
      </c>
      <c r="C3" s="2435"/>
      <c r="D3" s="2435"/>
      <c r="E3" s="2435"/>
      <c r="F3" s="2435"/>
      <c r="G3" s="2435"/>
      <c r="H3" s="2435"/>
      <c r="I3" s="2435"/>
      <c r="J3" s="2435"/>
      <c r="K3" s="2435"/>
      <c r="L3" s="2435"/>
      <c r="M3" s="2435"/>
      <c r="N3" s="1298"/>
    </row>
    <row r="4" spans="2:14" ht="15" x14ac:dyDescent="0.2">
      <c r="B4" s="2436" t="str">
        <f>'Single Audit Cover'!A4</f>
        <v>Year Ending June 30, 2019</v>
      </c>
      <c r="C4" s="2436"/>
      <c r="D4" s="2436"/>
      <c r="E4" s="2436"/>
      <c r="F4" s="2436"/>
      <c r="G4" s="2436"/>
      <c r="H4" s="2436"/>
      <c r="I4" s="2436"/>
      <c r="J4" s="2436"/>
      <c r="K4" s="2436"/>
      <c r="L4" s="2436"/>
      <c r="M4" s="2436"/>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activeCell="D43" sqref="D43"/>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Delabar CTE System</v>
      </c>
      <c r="B1" s="2438"/>
      <c r="C1" s="2438"/>
      <c r="D1" s="2438"/>
      <c r="E1" s="2438"/>
      <c r="F1" s="2438"/>
    </row>
    <row r="2" spans="1:7" ht="13.5" customHeight="1" x14ac:dyDescent="0.2">
      <c r="A2" s="2434">
        <f>'Single Audit Cover'!E7</f>
        <v>33094729045</v>
      </c>
      <c r="B2" s="2434"/>
      <c r="C2" s="2434"/>
      <c r="D2" s="2434"/>
      <c r="E2" s="2434"/>
      <c r="F2" s="2434"/>
      <c r="G2" s="1271"/>
    </row>
    <row r="3" spans="1:7" ht="15.75" customHeight="1" x14ac:dyDescent="0.2">
      <c r="A3" s="2439" t="s">
        <v>1271</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2" t="s">
        <v>1728</v>
      </c>
      <c r="C6" s="317"/>
      <c r="D6" s="317"/>
    </row>
    <row r="7" spans="1:7" ht="60.95" customHeight="1" x14ac:dyDescent="0.2">
      <c r="A7" s="2437" t="s">
        <v>1729</v>
      </c>
      <c r="B7" s="2437"/>
      <c r="C7" s="2437"/>
      <c r="D7" s="2437"/>
      <c r="E7" s="2437"/>
      <c r="F7" s="2437"/>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37" t="s">
        <v>1731</v>
      </c>
      <c r="B13" s="2437"/>
      <c r="C13" s="2437"/>
      <c r="D13" s="2437"/>
      <c r="E13" s="2437"/>
      <c r="F13" s="2437"/>
    </row>
    <row r="14" spans="1:7" ht="9.75" customHeight="1" x14ac:dyDescent="0.2">
      <c r="C14" s="1256"/>
      <c r="D14" s="1256"/>
    </row>
    <row r="15" spans="1:7" ht="13.5" customHeight="1" x14ac:dyDescent="0.2">
      <c r="C15" s="1845" t="s">
        <v>1270</v>
      </c>
      <c r="D15" s="2442" t="s">
        <v>1269</v>
      </c>
      <c r="E15" s="2442"/>
      <c r="F15" s="2442"/>
    </row>
    <row r="16" spans="1:7" ht="13.5" customHeight="1" x14ac:dyDescent="0.2">
      <c r="A16" s="1278"/>
      <c r="B16" s="1272" t="s">
        <v>1268</v>
      </c>
      <c r="C16" s="1845" t="s">
        <v>1267</v>
      </c>
      <c r="D16" s="2443" t="s">
        <v>1588</v>
      </c>
      <c r="E16" s="2443"/>
      <c r="F16" s="2443"/>
    </row>
    <row r="17" spans="1:6" ht="20.45" customHeight="1" x14ac:dyDescent="0.2">
      <c r="A17" s="1279"/>
      <c r="B17" s="1280"/>
      <c r="C17" s="1281"/>
      <c r="D17" s="2441"/>
      <c r="E17" s="2441"/>
      <c r="F17" s="2441"/>
    </row>
    <row r="18" spans="1:6" ht="20.65" customHeight="1" x14ac:dyDescent="0.2">
      <c r="A18" s="1279"/>
      <c r="B18" s="1280"/>
      <c r="C18" s="1281"/>
      <c r="D18" s="2441"/>
      <c r="E18" s="2441"/>
      <c r="F18" s="2441"/>
    </row>
    <row r="19" spans="1:6" ht="20.65" customHeight="1" x14ac:dyDescent="0.2">
      <c r="A19" s="1279"/>
      <c r="B19" s="1280"/>
      <c r="C19" s="1281"/>
      <c r="D19" s="2441"/>
      <c r="E19" s="2441"/>
      <c r="F19" s="2441"/>
    </row>
    <row r="20" spans="1:6" ht="20.65" customHeight="1" x14ac:dyDescent="0.2">
      <c r="A20" s="1279"/>
      <c r="B20" s="1280"/>
      <c r="C20" s="1281"/>
      <c r="D20" s="2441"/>
      <c r="E20" s="2441"/>
      <c r="F20" s="2441"/>
    </row>
    <row r="21" spans="1:6" ht="20.65" customHeight="1" x14ac:dyDescent="0.2">
      <c r="A21" s="1279"/>
      <c r="B21" s="1280"/>
      <c r="C21" s="1281"/>
      <c r="D21" s="2441"/>
      <c r="E21" s="2441"/>
      <c r="F21" s="2441"/>
    </row>
    <row r="22" spans="1:6" ht="20.65" customHeight="1" x14ac:dyDescent="0.2">
      <c r="A22" s="1279"/>
      <c r="B22" s="1280"/>
      <c r="C22" s="1281"/>
      <c r="D22" s="2441"/>
      <c r="E22" s="2441"/>
      <c r="F22" s="2441"/>
    </row>
    <row r="23" spans="1:6" ht="20.65" customHeight="1" x14ac:dyDescent="0.2">
      <c r="A23" s="1279"/>
      <c r="B23" s="1280"/>
      <c r="C23" s="1281"/>
      <c r="D23" s="2441"/>
      <c r="E23" s="2441"/>
      <c r="F23" s="2441"/>
    </row>
    <row r="24" spans="1:6" ht="20.65" customHeight="1" x14ac:dyDescent="0.2">
      <c r="A24" s="1279"/>
      <c r="B24" s="1280"/>
      <c r="C24" s="1281"/>
      <c r="D24" s="2441"/>
      <c r="E24" s="2441"/>
      <c r="F24" s="2441"/>
    </row>
    <row r="25" spans="1:6" ht="20.65" customHeight="1" x14ac:dyDescent="0.2">
      <c r="A25" s="1279"/>
      <c r="B25" s="1280"/>
      <c r="C25" s="1281"/>
      <c r="D25" s="2441"/>
      <c r="E25" s="2441"/>
      <c r="F25" s="2441"/>
    </row>
    <row r="26" spans="1:6" ht="20.65" customHeight="1" x14ac:dyDescent="0.2">
      <c r="A26" s="1279"/>
      <c r="B26" s="1280"/>
      <c r="C26" s="1281"/>
      <c r="D26" s="2441"/>
      <c r="E26" s="2441"/>
      <c r="F26" s="2441"/>
    </row>
    <row r="27" spans="1:6" ht="20.65" customHeight="1" x14ac:dyDescent="0.2">
      <c r="A27" s="1279"/>
      <c r="B27" s="1280"/>
      <c r="C27" s="1281"/>
      <c r="D27" s="2441"/>
      <c r="E27" s="2441"/>
      <c r="F27" s="2441"/>
    </row>
    <row r="28" spans="1:6" ht="20.65" customHeight="1" x14ac:dyDescent="0.2">
      <c r="A28" s="1279"/>
      <c r="B28" s="1280"/>
      <c r="C28" s="1281"/>
      <c r="D28" s="2441"/>
      <c r="E28" s="2441"/>
      <c r="F28" s="2441"/>
    </row>
    <row r="29" spans="1:6" ht="20.65" customHeight="1" x14ac:dyDescent="0.2">
      <c r="A29" s="1279"/>
      <c r="B29" s="1280"/>
      <c r="C29" s="1281"/>
      <c r="D29" s="2441"/>
      <c r="E29" s="2441"/>
      <c r="F29" s="2441"/>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45" t="s">
        <v>1732</v>
      </c>
      <c r="B32" s="2445"/>
      <c r="C32" s="2445"/>
      <c r="D32" s="2445"/>
      <c r="E32" s="2445"/>
      <c r="F32" s="2445"/>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46">
        <f>+C33+C34</f>
        <v>0</v>
      </c>
      <c r="F34" s="2447"/>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8" t="s">
        <v>1590</v>
      </c>
      <c r="C49" s="2448"/>
      <c r="D49" s="2448"/>
      <c r="E49" s="1395"/>
    </row>
    <row r="50" spans="1:5" s="1296" customFormat="1" ht="3.75" customHeight="1" x14ac:dyDescent="0.2">
      <c r="A50" s="1295"/>
      <c r="B50" s="1844"/>
      <c r="C50" s="1844"/>
      <c r="D50" s="1844"/>
      <c r="E50" s="1395"/>
    </row>
    <row r="51" spans="1:5" s="1296" customFormat="1" ht="20.25" customHeight="1" x14ac:dyDescent="0.2">
      <c r="A51" s="1297">
        <v>6</v>
      </c>
      <c r="B51" s="2444" t="s">
        <v>1551</v>
      </c>
      <c r="C51" s="2444"/>
      <c r="D51" s="2444"/>
    </row>
    <row r="52" spans="1:5" ht="14.25" customHeight="1" x14ac:dyDescent="0.2">
      <c r="A52" s="1297"/>
      <c r="B52" s="2444"/>
      <c r="C52" s="2444"/>
      <c r="D52" s="244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C43" sqref="C43:F43"/>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Delabar CTE System</v>
      </c>
      <c r="C1" s="2454"/>
      <c r="D1" s="2454"/>
      <c r="E1" s="2454"/>
      <c r="F1" s="2454"/>
      <c r="G1" s="2454"/>
      <c r="H1" s="2454"/>
      <c r="I1" s="2454"/>
      <c r="J1" s="1405"/>
    </row>
    <row r="2" spans="2:10" s="317" customFormat="1" ht="12.75" customHeight="1" x14ac:dyDescent="0.2">
      <c r="B2" s="2455">
        <f>'Single Audit Cover'!E7</f>
        <v>33094729045</v>
      </c>
      <c r="C2" s="2456"/>
      <c r="D2" s="2456"/>
      <c r="E2" s="2456"/>
      <c r="F2" s="2456"/>
      <c r="G2" s="2456"/>
      <c r="H2" s="2456"/>
      <c r="I2" s="2456"/>
      <c r="J2" s="1405"/>
    </row>
    <row r="3" spans="2:10" s="317" customFormat="1" ht="12.75" customHeight="1" x14ac:dyDescent="0.2">
      <c r="B3" s="2457" t="s">
        <v>1285</v>
      </c>
      <c r="C3" s="2458"/>
      <c r="D3" s="2458"/>
      <c r="E3" s="2458"/>
      <c r="F3" s="2458"/>
      <c r="G3" s="2458"/>
      <c r="H3" s="2458"/>
      <c r="I3" s="2458"/>
      <c r="J3" s="1406"/>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57" t="s">
        <v>1284</v>
      </c>
      <c r="C7" s="2458"/>
      <c r="D7" s="2458"/>
      <c r="E7" s="2458"/>
      <c r="F7" s="2458"/>
      <c r="G7" s="2458"/>
      <c r="H7" s="2458"/>
      <c r="I7" s="2458"/>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59"/>
      <c r="D11" s="2459"/>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60"/>
      <c r="E29" s="2460"/>
      <c r="F29" s="2460"/>
      <c r="G29" s="2460"/>
      <c r="H29" s="2460"/>
      <c r="I29" s="2460"/>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1" t="s">
        <v>1751</v>
      </c>
      <c r="D37" s="2462"/>
      <c r="E37" s="2462"/>
      <c r="F37" s="2463"/>
      <c r="G37" s="2461" t="s">
        <v>1592</v>
      </c>
      <c r="H37" s="2462"/>
      <c r="I37" s="2463"/>
    </row>
    <row r="38" spans="2:9" ht="16.5" customHeight="1" x14ac:dyDescent="0.2">
      <c r="B38" s="1427"/>
      <c r="C38" s="2449"/>
      <c r="D38" s="2450"/>
      <c r="E38" s="2450"/>
      <c r="F38" s="2451"/>
      <c r="G38" s="2464"/>
      <c r="H38" s="2465"/>
      <c r="I38" s="2466"/>
    </row>
    <row r="39" spans="2:9" ht="16.5" customHeight="1" x14ac:dyDescent="0.2">
      <c r="B39" s="1427"/>
      <c r="C39" s="2449"/>
      <c r="D39" s="2450"/>
      <c r="E39" s="2450"/>
      <c r="F39" s="2451"/>
      <c r="G39" s="2452"/>
      <c r="H39" s="2452"/>
      <c r="I39" s="2452"/>
    </row>
    <row r="40" spans="2:9" ht="16.5" customHeight="1" x14ac:dyDescent="0.2">
      <c r="B40" s="1427"/>
      <c r="C40" s="2449"/>
      <c r="D40" s="2450"/>
      <c r="E40" s="2450"/>
      <c r="F40" s="2451"/>
      <c r="G40" s="2452"/>
      <c r="H40" s="2452"/>
      <c r="I40" s="2452"/>
    </row>
    <row r="41" spans="2:9" ht="16.5" customHeight="1" x14ac:dyDescent="0.2">
      <c r="B41" s="1427"/>
      <c r="C41" s="2449"/>
      <c r="D41" s="2450"/>
      <c r="E41" s="2450"/>
      <c r="F41" s="2451"/>
      <c r="G41" s="2452"/>
      <c r="H41" s="2452"/>
      <c r="I41" s="2452"/>
    </row>
    <row r="42" spans="2:9" ht="16.5" customHeight="1" x14ac:dyDescent="0.2">
      <c r="B42" s="1427"/>
      <c r="C42" s="2449"/>
      <c r="D42" s="2450"/>
      <c r="E42" s="2450"/>
      <c r="F42" s="2451"/>
      <c r="G42" s="2452"/>
      <c r="H42" s="2452"/>
      <c r="I42" s="2452"/>
    </row>
    <row r="43" spans="2:9" ht="16.5" customHeight="1" x14ac:dyDescent="0.2">
      <c r="B43" s="1427"/>
      <c r="C43" s="2467" t="s">
        <v>1593</v>
      </c>
      <c r="D43" s="2468"/>
      <c r="E43" s="2468"/>
      <c r="F43" s="2469"/>
      <c r="G43" s="2470">
        <f>SUM(G38:I42)</f>
        <v>0</v>
      </c>
      <c r="H43" s="2470"/>
      <c r="I43" s="2470"/>
    </row>
    <row r="44" spans="2:9" ht="12.75" customHeight="1" x14ac:dyDescent="0.2"/>
    <row r="45" spans="2:9" ht="12.75" customHeight="1" x14ac:dyDescent="0.2">
      <c r="B45" s="1418" t="s">
        <v>2062</v>
      </c>
      <c r="D45" s="2471">
        <v>0</v>
      </c>
      <c r="E45" s="2472"/>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3"/>
      <c r="F49" s="2473"/>
      <c r="G49" s="2473"/>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Delabar CTE System</v>
      </c>
      <c r="C1" s="2453"/>
      <c r="D1" s="2453"/>
      <c r="E1" s="2453"/>
      <c r="F1" s="2453"/>
      <c r="G1" s="2453"/>
      <c r="H1" s="2453"/>
      <c r="I1" s="2453"/>
      <c r="J1" s="2453"/>
      <c r="K1" s="2453"/>
      <c r="L1" s="1370"/>
      <c r="M1" s="1370"/>
    </row>
    <row r="2" spans="1:13" ht="12" customHeight="1" x14ac:dyDescent="0.2">
      <c r="B2" s="2455">
        <f>'Single Audit Cover'!E7</f>
        <v>33094729045</v>
      </c>
      <c r="C2" s="2455"/>
      <c r="D2" s="2455"/>
      <c r="E2" s="2455"/>
      <c r="F2" s="2455"/>
      <c r="G2" s="2455"/>
      <c r="H2" s="2455"/>
      <c r="I2" s="2455"/>
      <c r="J2" s="2455"/>
      <c r="K2" s="2455"/>
      <c r="L2" s="1371"/>
      <c r="M2" s="1372"/>
    </row>
    <row r="3" spans="1:13" ht="10.35" customHeight="1" x14ac:dyDescent="0.2">
      <c r="B3" s="2476" t="s">
        <v>1285</v>
      </c>
      <c r="C3" s="2476"/>
      <c r="D3" s="2476"/>
      <c r="E3" s="2476"/>
      <c r="F3" s="2476"/>
      <c r="G3" s="2476"/>
      <c r="H3" s="2476"/>
      <c r="I3" s="2476"/>
      <c r="J3" s="2476"/>
      <c r="K3" s="2476"/>
      <c r="L3" s="1373"/>
      <c r="M3" s="1373"/>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7" t="s">
        <v>1296</v>
      </c>
      <c r="C7" s="2477"/>
      <c r="D7" s="2478"/>
      <c r="E7" s="2478"/>
      <c r="F7" s="2478"/>
      <c r="G7" s="2478"/>
      <c r="H7" s="2478"/>
      <c r="I7" s="2478"/>
      <c r="J7" s="2478"/>
      <c r="K7" s="247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1</v>
      </c>
      <c r="E10" s="322"/>
      <c r="F10" s="1383" t="s">
        <v>1295</v>
      </c>
      <c r="G10" s="1384"/>
      <c r="H10" s="1385" t="s">
        <v>1294</v>
      </c>
      <c r="I10" s="1384" t="s">
        <v>2065</v>
      </c>
      <c r="J10" s="1386" t="s">
        <v>1293</v>
      </c>
      <c r="K10" s="322"/>
      <c r="L10" s="1377"/>
    </row>
    <row r="11" spans="1:13" ht="13.5" customHeight="1" x14ac:dyDescent="0.2">
      <c r="B11" s="322"/>
      <c r="C11" s="322"/>
      <c r="D11" s="322"/>
      <c r="E11" s="322"/>
      <c r="F11" s="322"/>
      <c r="G11" s="1379"/>
      <c r="H11" s="322"/>
      <c r="I11" s="1387" t="s">
        <v>1292</v>
      </c>
      <c r="J11" s="322"/>
      <c r="K11" s="1388">
        <v>1990</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58.5" customHeight="1" x14ac:dyDescent="0.2">
      <c r="B14" s="2475" t="s">
        <v>2087</v>
      </c>
      <c r="C14" s="2475"/>
      <c r="D14" s="2475"/>
      <c r="E14" s="2475"/>
      <c r="F14" s="2475"/>
      <c r="G14" s="2475"/>
      <c r="H14" s="2475"/>
      <c r="I14" s="2475"/>
      <c r="J14" s="2475"/>
      <c r="K14" s="247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0.5" customHeight="1" x14ac:dyDescent="0.2">
      <c r="B17" s="2475" t="s">
        <v>2088</v>
      </c>
      <c r="C17" s="2475"/>
      <c r="D17" s="2475"/>
      <c r="E17" s="2475"/>
      <c r="F17" s="2475"/>
      <c r="G17" s="2475"/>
      <c r="H17" s="2475"/>
      <c r="I17" s="2475"/>
      <c r="J17" s="2475"/>
      <c r="K17" s="2475"/>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9" t="s">
        <v>2089</v>
      </c>
      <c r="C20" s="2479"/>
      <c r="D20" s="2475"/>
      <c r="E20" s="2475"/>
      <c r="F20" s="2475"/>
      <c r="G20" s="2475"/>
      <c r="H20" s="2475"/>
      <c r="I20" s="2475"/>
      <c r="J20" s="2475"/>
      <c r="K20" s="2475"/>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5" t="s">
        <v>2114</v>
      </c>
      <c r="C23" s="2475"/>
      <c r="D23" s="2475"/>
      <c r="E23" s="2475"/>
      <c r="F23" s="2475"/>
      <c r="G23" s="2475"/>
      <c r="H23" s="2475"/>
      <c r="I23" s="2475"/>
      <c r="J23" s="2475"/>
      <c r="K23" s="2475"/>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5"/>
      <c r="C26" s="2475"/>
      <c r="D26" s="2475"/>
      <c r="E26" s="2475"/>
      <c r="F26" s="2475"/>
      <c r="G26" s="2475"/>
      <c r="H26" s="2475"/>
      <c r="I26" s="2475"/>
      <c r="J26" s="2475"/>
      <c r="K26" s="2475"/>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4" t="s">
        <v>2090</v>
      </c>
      <c r="C29" s="2474"/>
      <c r="D29" s="2475"/>
      <c r="E29" s="2475"/>
      <c r="F29" s="2475"/>
      <c r="G29" s="2475"/>
      <c r="H29" s="2475"/>
      <c r="I29" s="2475"/>
      <c r="J29" s="2475"/>
      <c r="K29" s="247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4" t="s">
        <v>2091</v>
      </c>
      <c r="C32" s="2474"/>
      <c r="D32" s="2475"/>
      <c r="E32" s="2475"/>
      <c r="F32" s="2475"/>
      <c r="G32" s="2475"/>
      <c r="H32" s="2475"/>
      <c r="I32" s="2475"/>
      <c r="J32" s="2475"/>
      <c r="K32" s="247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4294967295" verticalDpi="4294967295"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0" zoomScale="110" zoomScaleNormal="110" workbookViewId="0">
      <selection activeCell="D43" sqref="D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Delabar CTE System</v>
      </c>
      <c r="C1" s="2453"/>
      <c r="D1" s="2453"/>
      <c r="E1" s="2453"/>
      <c r="F1" s="2453"/>
      <c r="G1" s="2453"/>
      <c r="H1" s="2453"/>
      <c r="I1" s="2453"/>
      <c r="J1" s="2453"/>
      <c r="K1" s="2453"/>
      <c r="L1" s="1370"/>
      <c r="M1" s="1370"/>
    </row>
    <row r="2" spans="1:13" ht="12" customHeight="1" x14ac:dyDescent="0.2">
      <c r="B2" s="2455">
        <f>'Single Audit Cover'!E7</f>
        <v>33094729045</v>
      </c>
      <c r="C2" s="2455"/>
      <c r="D2" s="2455"/>
      <c r="E2" s="2455"/>
      <c r="F2" s="2455"/>
      <c r="G2" s="2455"/>
      <c r="H2" s="2455"/>
      <c r="I2" s="2455"/>
      <c r="J2" s="2455"/>
      <c r="K2" s="2455"/>
      <c r="L2" s="1371"/>
      <c r="M2" s="1372"/>
    </row>
    <row r="3" spans="1:13" ht="10.35" customHeight="1" x14ac:dyDescent="0.2">
      <c r="B3" s="2476" t="s">
        <v>1285</v>
      </c>
      <c r="C3" s="2476"/>
      <c r="D3" s="2476"/>
      <c r="E3" s="2476"/>
      <c r="F3" s="2476"/>
      <c r="G3" s="2476"/>
      <c r="H3" s="2476"/>
      <c r="I3" s="2476"/>
      <c r="J3" s="2476"/>
      <c r="K3" s="2476"/>
      <c r="L3" s="1940"/>
      <c r="M3" s="1940"/>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7" t="s">
        <v>1296</v>
      </c>
      <c r="C7" s="2477"/>
      <c r="D7" s="2478"/>
      <c r="E7" s="2478"/>
      <c r="F7" s="2478"/>
      <c r="G7" s="2478"/>
      <c r="H7" s="2478"/>
      <c r="I7" s="2478"/>
      <c r="J7" s="2478"/>
      <c r="K7" s="247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2</v>
      </c>
      <c r="E10" s="322"/>
      <c r="F10" s="1383" t="s">
        <v>1295</v>
      </c>
      <c r="G10" s="1384"/>
      <c r="H10" s="1385" t="s">
        <v>1294</v>
      </c>
      <c r="I10" s="1384" t="s">
        <v>2065</v>
      </c>
      <c r="J10" s="1386" t="s">
        <v>1293</v>
      </c>
      <c r="K10" s="322"/>
      <c r="L10" s="1377"/>
    </row>
    <row r="11" spans="1:13" ht="13.5" customHeight="1" x14ac:dyDescent="0.2">
      <c r="B11" s="322"/>
      <c r="C11" s="322"/>
      <c r="D11" s="322"/>
      <c r="E11" s="322"/>
      <c r="F11" s="322"/>
      <c r="G11" s="1379"/>
      <c r="H11" s="322"/>
      <c r="I11" s="1387" t="s">
        <v>1292</v>
      </c>
      <c r="J11" s="322"/>
      <c r="K11" s="1388">
        <v>2018</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5" t="s">
        <v>2106</v>
      </c>
      <c r="C14" s="2475"/>
      <c r="D14" s="2475"/>
      <c r="E14" s="2475"/>
      <c r="F14" s="2475"/>
      <c r="G14" s="2475"/>
      <c r="H14" s="2475"/>
      <c r="I14" s="2475"/>
      <c r="J14" s="2475"/>
      <c r="K14" s="247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5" t="s">
        <v>2107</v>
      </c>
      <c r="C17" s="2475"/>
      <c r="D17" s="2475"/>
      <c r="E17" s="2475"/>
      <c r="F17" s="2475"/>
      <c r="G17" s="2475"/>
      <c r="H17" s="2475"/>
      <c r="I17" s="2475"/>
      <c r="J17" s="2475"/>
      <c r="K17" s="2475"/>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9"/>
      <c r="C20" s="2479"/>
      <c r="D20" s="2475"/>
      <c r="E20" s="2475"/>
      <c r="F20" s="2475"/>
      <c r="G20" s="2475"/>
      <c r="H20" s="2475"/>
      <c r="I20" s="2475"/>
      <c r="J20" s="2475"/>
      <c r="K20" s="2475"/>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5"/>
      <c r="C23" s="2475"/>
      <c r="D23" s="2475"/>
      <c r="E23" s="2475"/>
      <c r="F23" s="2475"/>
      <c r="G23" s="2475"/>
      <c r="H23" s="2475"/>
      <c r="I23" s="2475"/>
      <c r="J23" s="2475"/>
      <c r="K23" s="2475"/>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5" t="s">
        <v>2108</v>
      </c>
      <c r="C26" s="2475"/>
      <c r="D26" s="2475"/>
      <c r="E26" s="2475"/>
      <c r="F26" s="2475"/>
      <c r="G26" s="2475"/>
      <c r="H26" s="2475"/>
      <c r="I26" s="2475"/>
      <c r="J26" s="2475"/>
      <c r="K26" s="2475"/>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4" t="s">
        <v>2109</v>
      </c>
      <c r="C29" s="2474"/>
      <c r="D29" s="2475"/>
      <c r="E29" s="2475"/>
      <c r="F29" s="2475"/>
      <c r="G29" s="2475"/>
      <c r="H29" s="2475"/>
      <c r="I29" s="2475"/>
      <c r="J29" s="2475"/>
      <c r="K29" s="247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4" t="s">
        <v>2110</v>
      </c>
      <c r="C32" s="2474"/>
      <c r="D32" s="2475"/>
      <c r="E32" s="2475"/>
      <c r="F32" s="2475"/>
      <c r="G32" s="2475"/>
      <c r="H32" s="2475"/>
      <c r="I32" s="2475"/>
      <c r="J32" s="2475"/>
      <c r="K32" s="247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D43" sqref="D4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Delabar CTE System</v>
      </c>
      <c r="C1" s="2480"/>
      <c r="D1" s="2480"/>
      <c r="E1" s="2480"/>
      <c r="F1" s="2480"/>
      <c r="G1" s="2480"/>
      <c r="H1" s="2480"/>
      <c r="I1" s="2480"/>
      <c r="J1" s="2480"/>
      <c r="K1" s="2480"/>
      <c r="L1" s="1448"/>
    </row>
    <row r="2" spans="1:12" ht="12.75" customHeight="1" x14ac:dyDescent="0.2">
      <c r="B2" s="2481">
        <f>'Single Audit Cover'!E7</f>
        <v>33094729045</v>
      </c>
      <c r="C2" s="2481"/>
      <c r="D2" s="2481"/>
      <c r="E2" s="2481"/>
      <c r="F2" s="2481"/>
      <c r="G2" s="2481"/>
      <c r="H2" s="2481"/>
      <c r="I2" s="2481"/>
      <c r="J2" s="2481"/>
      <c r="K2" s="2481"/>
      <c r="L2" s="1449"/>
    </row>
    <row r="3" spans="1:12" ht="12.75" customHeight="1" x14ac:dyDescent="0.2">
      <c r="B3" s="2476" t="s">
        <v>1285</v>
      </c>
      <c r="C3" s="2476"/>
      <c r="D3" s="2476"/>
      <c r="E3" s="2476"/>
      <c r="F3" s="2476"/>
      <c r="G3" s="2476"/>
      <c r="H3" s="2476"/>
      <c r="I3" s="2476"/>
      <c r="J3" s="2476"/>
      <c r="K3" s="2476"/>
      <c r="L3" s="1373"/>
    </row>
    <row r="4" spans="1:12" ht="12.75" customHeight="1" x14ac:dyDescent="0.2">
      <c r="B4" s="2476" t="str">
        <f>'Single Audit Cover'!A4</f>
        <v>Year Ending June 30, 2019</v>
      </c>
      <c r="C4" s="2476"/>
      <c r="D4" s="2476"/>
      <c r="E4" s="2476"/>
      <c r="F4" s="2476"/>
      <c r="G4" s="2476"/>
      <c r="H4" s="2476"/>
      <c r="I4" s="2476"/>
      <c r="J4" s="2476"/>
      <c r="K4" s="2476"/>
      <c r="L4" s="1373"/>
    </row>
    <row r="5" spans="1:12" ht="5.25" customHeight="1" x14ac:dyDescent="0.2">
      <c r="B5" s="1256" t="s">
        <v>1169</v>
      </c>
      <c r="C5" s="1256"/>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1989</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60"/>
      <c r="G12" s="2460"/>
      <c r="H12" s="2460"/>
      <c r="I12" s="2460"/>
      <c r="J12" s="2460"/>
      <c r="K12" s="2460"/>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3"/>
      <c r="E14" s="2483"/>
      <c r="F14" s="2483"/>
      <c r="H14" s="1458" t="s">
        <v>1303</v>
      </c>
      <c r="I14" s="2484"/>
      <c r="J14" s="2484"/>
      <c r="K14" s="2484"/>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4"/>
      <c r="E16" s="2484"/>
      <c r="F16" s="2484"/>
      <c r="G16" s="2484"/>
      <c r="H16" s="2484"/>
      <c r="I16" s="2484"/>
      <c r="J16" s="2484"/>
      <c r="K16" s="2484"/>
      <c r="L16" s="322"/>
    </row>
    <row r="17" spans="2:12" ht="13.5" customHeight="1" x14ac:dyDescent="0.2">
      <c r="B17" s="1383" t="s">
        <v>1301</v>
      </c>
      <c r="C17" s="1383"/>
      <c r="D17" s="2485"/>
      <c r="E17" s="2485"/>
      <c r="F17" s="2485"/>
      <c r="G17" s="2485"/>
      <c r="H17" s="2485"/>
      <c r="I17" s="2485"/>
      <c r="J17" s="2485"/>
      <c r="K17" s="2485"/>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5"/>
      <c r="C20" s="2475"/>
      <c r="D20" s="2475"/>
      <c r="E20" s="2475"/>
      <c r="F20" s="2475"/>
      <c r="G20" s="2475"/>
      <c r="H20" s="2475"/>
      <c r="I20" s="2475"/>
      <c r="J20" s="2475"/>
      <c r="K20" s="2475"/>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43" sqref="D4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3" t="str">
        <f>'Single Audit Cover'!A7</f>
        <v>Delabar CTE System</v>
      </c>
      <c r="C1" s="2453"/>
      <c r="D1" s="2453"/>
      <c r="E1" s="1468"/>
    </row>
    <row r="2" spans="2:5" s="1278" customFormat="1" ht="12.75" customHeight="1" x14ac:dyDescent="0.2">
      <c r="B2" s="2455">
        <f>'Single Audit Cover'!E7</f>
        <v>33094729045</v>
      </c>
      <c r="C2" s="2455"/>
      <c r="D2" s="2455"/>
      <c r="E2" s="1469"/>
    </row>
    <row r="3" spans="2:5" ht="12.75" customHeight="1" x14ac:dyDescent="0.2">
      <c r="B3" s="2476" t="s">
        <v>1766</v>
      </c>
      <c r="C3" s="2476"/>
      <c r="D3" s="2476"/>
      <c r="E3" s="1270"/>
    </row>
    <row r="4" spans="2:5" s="1278" customFormat="1" ht="12.75" customHeight="1" x14ac:dyDescent="0.2">
      <c r="B4" s="2486" t="str">
        <f>'Single Audit Cover'!A4</f>
        <v>Year Ending June 30, 2019</v>
      </c>
      <c r="C4" s="2486"/>
      <c r="D4" s="2486"/>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t="s">
        <v>2092</v>
      </c>
      <c r="C7" s="324" t="s">
        <v>2093</v>
      </c>
      <c r="D7" s="324" t="s">
        <v>2094</v>
      </c>
      <c r="E7" s="324"/>
    </row>
    <row r="8" spans="2:5" ht="13.5" customHeight="1" x14ac:dyDescent="0.2">
      <c r="B8" s="1473"/>
      <c r="C8" s="324"/>
      <c r="D8" s="324" t="s">
        <v>2095</v>
      </c>
      <c r="E8" s="324"/>
    </row>
    <row r="9" spans="2:5" ht="13.5" customHeight="1" x14ac:dyDescent="0.2">
      <c r="B9" s="1474"/>
      <c r="C9" s="323"/>
      <c r="D9" s="323"/>
      <c r="E9" s="323"/>
    </row>
    <row r="10" spans="2:5" ht="13.5" customHeight="1" x14ac:dyDescent="0.2">
      <c r="B10" s="1473" t="s">
        <v>2096</v>
      </c>
      <c r="C10" s="323" t="s">
        <v>2097</v>
      </c>
      <c r="D10" s="323" t="s">
        <v>2111</v>
      </c>
      <c r="E10" s="323"/>
    </row>
    <row r="11" spans="2:5" ht="13.5" customHeight="1" x14ac:dyDescent="0.2">
      <c r="B11" s="1473"/>
      <c r="C11" s="323" t="s">
        <v>2098</v>
      </c>
      <c r="D11" s="323"/>
      <c r="E11" s="323"/>
    </row>
    <row r="12" spans="2:5" ht="13.5" customHeight="1" x14ac:dyDescent="0.2">
      <c r="B12" s="1473"/>
      <c r="C12" s="323"/>
      <c r="D12" s="323"/>
      <c r="E12" s="323"/>
    </row>
    <row r="13" spans="2:5" ht="13.5" customHeight="1" x14ac:dyDescent="0.2">
      <c r="B13" s="1473" t="s">
        <v>2099</v>
      </c>
      <c r="C13" s="323" t="s">
        <v>2100</v>
      </c>
      <c r="D13" s="323" t="s">
        <v>2112</v>
      </c>
      <c r="E13" s="323"/>
    </row>
    <row r="14" spans="2:5" ht="13.5" customHeight="1" x14ac:dyDescent="0.2">
      <c r="B14" s="1473"/>
      <c r="C14" s="323" t="s">
        <v>30</v>
      </c>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purl.org/dc/terms/"/>
    <ds:schemaRef ds:uri="4d435f69-8686-490b-bd6d-b153bf22ab50"/>
    <ds:schemaRef ds:uri="http://schemas.microsoft.com/office/infopath/2007/PartnerControls"/>
    <ds:schemaRef ds:uri="6ce3111e-7420-4802-b50a-75d4e9a0b980"/>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d21dc803-237d-4c68-8692-8d731fd29118"/>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2019-11-07T14:13:16Z</cp:lastPrinted>
  <dcterms:created xsi:type="dcterms:W3CDTF">2003-10-29T19:06:34Z</dcterms:created>
  <dcterms:modified xsi:type="dcterms:W3CDTF">2019-12-26T14:40:44Z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